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7" i="1" l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D140" i="1"/>
  <c r="B140" i="1"/>
  <c r="D125" i="1" l="1"/>
  <c r="B95" i="1" l="1"/>
  <c r="D94" i="1"/>
  <c r="B94" i="1"/>
  <c r="B93" i="1"/>
  <c r="D92" i="1"/>
  <c r="B92" i="1"/>
  <c r="B91" i="1"/>
  <c r="D90" i="1"/>
  <c r="B90" i="1"/>
  <c r="B89" i="1"/>
  <c r="D70" i="1" l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B55" i="1" l="1"/>
  <c r="D55" i="1" s="1"/>
  <c r="D54" i="1"/>
  <c r="B54" i="1"/>
  <c r="D53" i="1"/>
  <c r="B53" i="1"/>
  <c r="D52" i="1"/>
  <c r="B52" i="1"/>
  <c r="D51" i="1"/>
  <c r="B51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AH62" i="2" a="1"/>
  <c r="AH62" i="2" s="1"/>
  <c r="AH151" i="2" a="1"/>
  <c r="AH151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36" i="2" l="1"/>
  <c r="BI47" i="2"/>
  <c r="BI32" i="2"/>
  <c r="BI8" i="2"/>
  <c r="BI4" i="2"/>
  <c r="BI40" i="2"/>
  <c r="BI157" i="2"/>
  <c r="BI165" i="2"/>
  <c r="BI53" i="2"/>
  <c r="BI146" i="2"/>
  <c r="BI69" i="2"/>
  <c r="BI95" i="2"/>
  <c r="BI152" i="2"/>
  <c r="BI82" i="2"/>
  <c r="BI169" i="2"/>
  <c r="BI174" i="2"/>
  <c r="BI111" i="2"/>
  <c r="BI81" i="2"/>
  <c r="BI188" i="2"/>
  <c r="BI103" i="2"/>
  <c r="BI177" i="2"/>
  <c r="BI140" i="2"/>
  <c r="BI98" i="2"/>
  <c r="BI26" i="2"/>
  <c r="BI42" i="2"/>
  <c r="BI106" i="2"/>
  <c r="BI150" i="2"/>
  <c r="BI202" i="2"/>
  <c r="BI201" i="2"/>
  <c r="BI72" i="2"/>
  <c r="BI11" i="2"/>
  <c r="BI153" i="2"/>
  <c r="BI21" i="2"/>
  <c r="BI13" i="2"/>
  <c r="BI115" i="2"/>
  <c r="BI191" i="2"/>
  <c r="BI116" i="2"/>
  <c r="BI179" i="2"/>
  <c r="BI126" i="2"/>
  <c r="BI49" i="2"/>
  <c r="BI193" i="2"/>
  <c r="BI189" i="2"/>
  <c r="BI75" i="2"/>
  <c r="BI105" i="2"/>
  <c r="BI141" i="2"/>
  <c r="BI93" i="2"/>
  <c r="BI130" i="2"/>
  <c r="BI77" i="2"/>
  <c r="BI23" i="2"/>
  <c r="BI71" i="2"/>
  <c r="BI61" i="2"/>
  <c r="BI5" i="2"/>
  <c r="BI20" i="2"/>
  <c r="BI181" i="2"/>
  <c r="BI48" i="2"/>
  <c r="BI108" i="2"/>
  <c r="BI12" i="2"/>
  <c r="BI195" i="2"/>
  <c r="BI30" i="2"/>
  <c r="BI28" i="2"/>
  <c r="BI144" i="2"/>
  <c r="BI138" i="2"/>
  <c r="BI125" i="2"/>
  <c r="BI27" i="2"/>
  <c r="BI131" i="2"/>
  <c r="BI162" i="2"/>
  <c r="BI123" i="2"/>
  <c r="BI173" i="2"/>
  <c r="BI35" i="2"/>
  <c r="BI163" i="2"/>
  <c r="BI149" i="2"/>
  <c r="BI104" i="2"/>
  <c r="BI102" i="2"/>
  <c r="BI175" i="2"/>
  <c r="BI34" i="2"/>
  <c r="BI172" i="2"/>
  <c r="BI196" i="2"/>
  <c r="BI145" i="2"/>
  <c r="BI190" i="2"/>
  <c r="BI198" i="2"/>
  <c r="BI164" i="2"/>
  <c r="BI113" i="2"/>
  <c r="BI128" i="2"/>
  <c r="BI124" i="2"/>
  <c r="BI79" i="2"/>
  <c r="BI45" i="2"/>
  <c r="BI24" i="2"/>
  <c r="BI86" i="2"/>
  <c r="BI44" i="2"/>
  <c r="BI112" i="2"/>
  <c r="BI84" i="2"/>
  <c r="BI78" i="2"/>
  <c r="BI80" i="2"/>
  <c r="BI176" i="2"/>
  <c r="BI33" i="2"/>
  <c r="BI122" i="2"/>
  <c r="BI25" i="2"/>
  <c r="BI168" i="2"/>
  <c r="BI9" i="2"/>
  <c r="BI90" i="2"/>
  <c r="BI87" i="2"/>
  <c r="BI62" i="2"/>
  <c r="BI89" i="2"/>
  <c r="BI67" i="2"/>
  <c r="BI197" i="2"/>
  <c r="BI133" i="2"/>
  <c r="BI17" i="2"/>
  <c r="BI155" i="2"/>
  <c r="BI76" i="2"/>
  <c r="BI109" i="2"/>
  <c r="BI184" i="2"/>
  <c r="BI158" i="2"/>
  <c r="BI3" i="2"/>
  <c r="C8" i="4" s="1"/>
  <c r="E8" i="4" s="1"/>
  <c r="F8" i="4" s="1"/>
  <c r="G8" i="4" s="1"/>
  <c r="L8" i="4" s="1"/>
  <c r="BI52" i="2"/>
  <c r="BI65" i="2"/>
  <c r="BI203" i="2"/>
  <c r="BI167" i="2"/>
  <c r="BI58" i="2"/>
  <c r="BI38" i="2"/>
  <c r="BI110" i="2"/>
  <c r="BI159" i="2"/>
  <c r="BI96" i="2"/>
  <c r="BI74" i="2"/>
  <c r="BI139" i="2"/>
  <c r="BI132" i="2"/>
  <c r="BI22" i="2"/>
  <c r="BI97" i="2"/>
  <c r="BI64" i="2"/>
  <c r="BI186" i="2"/>
  <c r="BI10" i="2"/>
  <c r="BI142" i="2"/>
  <c r="BI37" i="2"/>
  <c r="BI160" i="2"/>
  <c r="BI154" i="2"/>
  <c r="BI183" i="2"/>
  <c r="BI60" i="2"/>
  <c r="BI29" i="2"/>
  <c r="BI66" i="2"/>
  <c r="BI118" i="2"/>
  <c r="BI73" i="2"/>
  <c r="BI187" i="2"/>
  <c r="BI127" i="2"/>
  <c r="BI119" i="2"/>
  <c r="BI114" i="2"/>
  <c r="BI134" i="2"/>
  <c r="BI46" i="2"/>
  <c r="BI135" i="2"/>
  <c r="BI107" i="2"/>
  <c r="BI99" i="2"/>
  <c r="BI148" i="2"/>
  <c r="BI63" i="2"/>
  <c r="BI88" i="2"/>
  <c r="BI129" i="2"/>
  <c r="BI151" i="2"/>
  <c r="BI15" i="2"/>
  <c r="BI55" i="2"/>
  <c r="BI185" i="2"/>
  <c r="BI194" i="2"/>
  <c r="BI166" i="2"/>
  <c r="BI31" i="2"/>
  <c r="BI180" i="2"/>
  <c r="BI101" i="2"/>
  <c r="BI117" i="2"/>
  <c r="BI182" i="2"/>
  <c r="BI19" i="2"/>
  <c r="BI161" i="2"/>
  <c r="BI59" i="2"/>
  <c r="BI68" i="2"/>
  <c r="BI7" i="2"/>
  <c r="BI18" i="2"/>
  <c r="BI56" i="2"/>
  <c r="BI92" i="2"/>
  <c r="BI94" i="2"/>
  <c r="BI51" i="2"/>
  <c r="BI83" i="2"/>
  <c r="BI70" i="2"/>
  <c r="BI16" i="2"/>
  <c r="BI156" i="2"/>
  <c r="BI54" i="2"/>
  <c r="BI200" i="2"/>
  <c r="BI85" i="2"/>
  <c r="BI41" i="2"/>
  <c r="BI199" i="2"/>
  <c r="BI91" i="2"/>
  <c r="BI170" i="2"/>
  <c r="BI137" i="2"/>
  <c r="BI120" i="2"/>
  <c r="BI50" i="2"/>
  <c r="BI178" i="2"/>
  <c r="BI57" i="2"/>
  <c r="BI43" i="2"/>
  <c r="BI6" i="2"/>
  <c r="BI14" i="2"/>
  <c r="BI143" i="2"/>
  <c r="BI136" i="2"/>
  <c r="BI121" i="2"/>
  <c r="BI39" i="2"/>
  <c r="BI100" i="2"/>
  <c r="BI192" i="2"/>
  <c r="BI171" i="2"/>
  <c r="BI14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<sst xmlns="http://schemas.openxmlformats.org/spreadsheetml/2006/main" count="1174" uniqueCount="324">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</sst>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227.40345702308142</c:v>
                </c:pt>
                <c:pt idx="27">
                  <c:v>242.69825965817117</c:v>
                </c:pt>
                <c:pt idx="28">
                  <c:v>257.97114577920252</c:v>
                </c:pt>
                <c:pt idx="29">
                  <c:v>273.22359576358815</c:v>
                </c:pt>
                <c:pt idx="30">
                  <c:v>288.45691115019287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28960"/>
        <c:axId val="-1602442016"/>
      </c:scatterChart>
      <c:valAx>
        <c:axId val="-1602428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42016"/>
        <c:crosses val="autoZero"/>
        <c:crossBetween val="midCat"/>
      </c:valAx>
      <c:valAx>
        <c:axId val="-160244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2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0592"/>
        <c:axId val="-1602430048"/>
      </c:scatterChart>
      <c:valAx>
        <c:axId val="-1602430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0048"/>
        <c:crosses val="autoZero"/>
        <c:crossBetween val="midCat"/>
      </c:valAx>
      <c:valAx>
        <c:axId val="-160243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0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164.84271741906895</c:v>
                </c:pt>
                <c:pt idx="32">
                  <c:v>175.84660766635898</c:v>
                </c:pt>
                <c:pt idx="33">
                  <c:v>186.83433601621644</c:v>
                </c:pt>
                <c:pt idx="34">
                  <c:v>197.80698770295146</c:v>
                </c:pt>
                <c:pt idx="35">
                  <c:v>208.76551758833105</c:v>
                </c:pt>
                <c:pt idx="36">
                  <c:v>219.71077199506905</c:v>
                </c:pt>
                <c:pt idx="37">
                  <c:v>230.64350595500562</c:v>
                </c:pt>
                <c:pt idx="38">
                  <c:v>241.56439701120595</c:v>
                </c:pt>
                <c:pt idx="39">
                  <c:v>252.47405639040196</c:v>
                </c:pt>
                <c:pt idx="40">
                  <c:v>263.37303814114438</c:v>
                </c:pt>
                <c:pt idx="41">
                  <c:v>274.26184667867386</c:v>
                </c:pt>
                <c:pt idx="42">
                  <c:v>285.14094306784921</c:v>
                </c:pt>
                <c:pt idx="43">
                  <c:v>296.0107502962943</c:v>
                </c:pt>
                <c:pt idx="44">
                  <c:v>306.87165773194323</c:v>
                </c:pt>
                <c:pt idx="45">
                  <c:v>317.7240249161319</c:v>
                </c:pt>
                <c:pt idx="46">
                  <c:v>328.56818481106296</c:v>
                </c:pt>
                <c:pt idx="47">
                  <c:v>339.404446595921</c:v>
                </c:pt>
                <c:pt idx="48">
                  <c:v>350.23309808707387</c:v>
                </c:pt>
                <c:pt idx="49">
                  <c:v>361.05440784319961</c:v>
                </c:pt>
                <c:pt idx="50">
                  <c:v>371.86862700476513</c:v>
                </c:pt>
                <c:pt idx="51">
                  <c:v>382.67599090828907</c:v>
                </c:pt>
                <c:pt idx="52">
                  <c:v>224.58843727387963</c:v>
                </c:pt>
                <c:pt idx="53">
                  <c:v>237.13703486473312</c:v>
                </c:pt>
                <c:pt idx="54">
                  <c:v>249.67049910909861</c:v>
                </c:pt>
                <c:pt idx="55">
                  <c:v>262.1896970591535</c:v>
                </c:pt>
                <c:pt idx="56">
                  <c:v>274.69540615618865</c:v>
                </c:pt>
                <c:pt idx="57">
                  <c:v>287.18832723748181</c:v>
                </c:pt>
                <c:pt idx="58">
                  <c:v>299.66909515967956</c:v>
                </c:pt>
                <c:pt idx="59">
                  <c:v>312.13828755857463</c:v>
                </c:pt>
                <c:pt idx="60">
                  <c:v>324.59643213511464</c:v>
                </c:pt>
                <c:pt idx="61">
                  <c:v>337.0440127637977</c:v>
                </c:pt>
                <c:pt idx="62">
                  <c:v>252.35841209837415</c:v>
                </c:pt>
                <c:pt idx="63">
                  <c:v>262.73284691865393</c:v>
                </c:pt>
                <c:pt idx="64">
                  <c:v>273.09803939468674</c:v>
                </c:pt>
                <c:pt idx="65">
                  <c:v>283.45438999358481</c:v>
                </c:pt>
                <c:pt idx="66">
                  <c:v>293.80226750956632</c:v>
                </c:pt>
                <c:pt idx="67">
                  <c:v>304.1420126204228</c:v>
                </c:pt>
                <c:pt idx="68">
                  <c:v>314.47394093474452</c:v>
                </c:pt>
                <c:pt idx="69">
                  <c:v>324.79834561750562</c:v>
                </c:pt>
                <c:pt idx="70">
                  <c:v>335.11549966417346</c:v>
                </c:pt>
                <c:pt idx="71">
                  <c:v>345.42565787999388</c:v>
                </c:pt>
                <c:pt idx="72">
                  <c:v>355.72905861051299</c:v>
                </c:pt>
                <c:pt idx="73">
                  <c:v>366.02592526105121</c:v>
                </c:pt>
                <c:pt idx="74">
                  <c:v>281.90576500782691</c:v>
                </c:pt>
                <c:pt idx="75">
                  <c:v>291.46151941530582</c:v>
                </c:pt>
                <c:pt idx="76">
                  <c:v>301.01027742846799</c:v>
                </c:pt>
                <c:pt idx="77">
                  <c:v>310.55229243957757</c:v>
                </c:pt>
                <c:pt idx="78">
                  <c:v>320.08780098731535</c:v>
                </c:pt>
                <c:pt idx="79">
                  <c:v>329.61702435733599</c:v>
                </c:pt>
                <c:pt idx="80">
                  <c:v>339.14016998796029</c:v>
                </c:pt>
                <c:pt idx="81">
                  <c:v>348.65743270964441</c:v>
                </c:pt>
                <c:pt idx="82">
                  <c:v>358.16899584197898</c:v>
                </c:pt>
                <c:pt idx="83">
                  <c:v>367.6750321680222</c:v>
                </c:pt>
                <c:pt idx="84">
                  <c:v>377.17570480256467</c:v>
                </c:pt>
                <c:pt idx="85">
                  <c:v>386.67116796831129</c:v>
                </c:pt>
                <c:pt idx="86">
                  <c:v>310.25502677283077</c:v>
                </c:pt>
                <c:pt idx="87">
                  <c:v>318.98740593712216</c:v>
                </c:pt>
                <c:pt idx="88">
                  <c:v>327.71449394580071</c:v>
                </c:pt>
                <c:pt idx="89">
                  <c:v>336.43645167959829</c:v>
                </c:pt>
                <c:pt idx="90">
                  <c:v>345.15343099079291</c:v>
                </c:pt>
                <c:pt idx="91">
                  <c:v>353.86557543007984</c:v>
                </c:pt>
                <c:pt idx="92">
                  <c:v>362.57302089808519</c:v>
                </c:pt>
                <c:pt idx="93">
                  <c:v>371.27589623099385</c:v>
                </c:pt>
                <c:pt idx="94">
                  <c:v>379.97432372837557</c:v>
                </c:pt>
                <c:pt idx="95">
                  <c:v>388.66841963013354</c:v>
                </c:pt>
                <c:pt idx="96">
                  <c:v>397.35829454853496</c:v>
                </c:pt>
                <c:pt idx="97">
                  <c:v>406.04405386046079</c:v>
                </c:pt>
                <c:pt idx="98">
                  <c:v>334.41940603910359</c:v>
                </c:pt>
                <c:pt idx="99">
                  <c:v>342.29956794326068</c:v>
                </c:pt>
                <c:pt idx="100">
                  <c:v>350.17574235486921</c:v>
                </c:pt>
                <c:pt idx="101">
                  <c:v>358.04803168315965</c:v>
                </c:pt>
                <c:pt idx="102">
                  <c:v>365.91653346305401</c:v>
                </c:pt>
                <c:pt idx="103">
                  <c:v>373.78134068929666</c:v>
                </c:pt>
                <c:pt idx="104">
                  <c:v>381.64254212097973</c:v>
                </c:pt>
                <c:pt idx="105">
                  <c:v>389.5002225596557</c:v>
                </c:pt>
                <c:pt idx="106">
                  <c:v>397.35446310382605</c:v>
                </c:pt>
                <c:pt idx="107">
                  <c:v>405.20534138224815</c:v>
                </c:pt>
                <c:pt idx="108">
                  <c:v>413.05293176821164</c:v>
                </c:pt>
                <c:pt idx="109">
                  <c:v>420.89730557667326</c:v>
                </c:pt>
                <c:pt idx="110">
                  <c:v>347.55719193287496</c:v>
                </c:pt>
                <c:pt idx="111">
                  <c:v>354.6376250588753</c:v>
                </c:pt>
                <c:pt idx="112">
                  <c:v>361.71496177810724</c:v>
                </c:pt>
                <c:pt idx="113">
                  <c:v>368.78927127528959</c:v>
                </c:pt>
                <c:pt idx="114">
                  <c:v>375.86061986197655</c:v>
                </c:pt>
                <c:pt idx="115">
                  <c:v>382.92907114888521</c:v>
                </c:pt>
                <c:pt idx="116">
                  <c:v>389.99468620482639</c:v>
                </c:pt>
                <c:pt idx="117">
                  <c:v>397.05752370351001</c:v>
                </c:pt>
                <c:pt idx="118">
                  <c:v>404.11764005935606</c:v>
                </c:pt>
                <c:pt idx="119">
                  <c:v>411.17508955331346</c:v>
                </c:pt>
                <c:pt idx="120">
                  <c:v>418.22992444958589</c:v>
                </c:pt>
                <c:pt idx="121">
                  <c:v>425.28219510406785</c:v>
                </c:pt>
                <c:pt idx="122">
                  <c:v>222.90571332852585</c:v>
                </c:pt>
                <c:pt idx="123">
                  <c:v>227.85759264677219</c:v>
                </c:pt>
                <c:pt idx="124">
                  <c:v>232.80700909259977</c:v>
                </c:pt>
                <c:pt idx="125">
                  <c:v>237.75402251395312</c:v>
                </c:pt>
                <c:pt idx="126">
                  <c:v>242.69869006033048</c:v>
                </c:pt>
                <c:pt idx="127">
                  <c:v>247.64106635821557</c:v>
                </c:pt>
                <c:pt idx="128">
                  <c:v>252.58120367175096</c:v>
                </c:pt>
                <c:pt idx="129">
                  <c:v>257.51915205016695</c:v>
                </c:pt>
                <c:pt idx="130">
                  <c:v>262.45495946329339</c:v>
                </c:pt>
                <c:pt idx="131">
                  <c:v>267.38867192633239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2768"/>
        <c:axId val="-1602439296"/>
      </c:scatterChart>
      <c:valAx>
        <c:axId val="-160243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9296"/>
        <c:crosses val="autoZero"/>
        <c:crossBetween val="midCat"/>
      </c:valAx>
      <c:valAx>
        <c:axId val="-16024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2224"/>
        <c:axId val="-1602436032"/>
      </c:scatterChart>
      <c:valAx>
        <c:axId val="-1602432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6032"/>
        <c:crosses val="autoZero"/>
        <c:crossBetween val="midCat"/>
      </c:valAx>
      <c:valAx>
        <c:axId val="-160243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2.1783933313195907</c:v>
                </c:pt>
                <c:pt idx="2">
                  <c:v>3.2515024704273436</c:v>
                </c:pt>
                <c:pt idx="3">
                  <c:v>4.8556688364244662</c:v>
                </c:pt>
                <c:pt idx="4">
                  <c:v>7.2548281901023399</c:v>
                </c:pt>
                <c:pt idx="5">
                  <c:v>10.844613940090364</c:v>
                </c:pt>
                <c:pt idx="6">
                  <c:v>16.218311194229386</c:v>
                </c:pt>
                <c:pt idx="7">
                  <c:v>24.265950626944104</c:v>
                </c:pt>
                <c:pt idx="8">
                  <c:v>50.11887056866022</c:v>
                </c:pt>
                <c:pt idx="9">
                  <c:v>83.200321720579822</c:v>
                </c:pt>
                <c:pt idx="10">
                  <c:v>118.4500210383858</c:v>
                </c:pt>
                <c:pt idx="11">
                  <c:v>153.44087745363728</c:v>
                </c:pt>
                <c:pt idx="12">
                  <c:v>190.7204247411147</c:v>
                </c:pt>
                <c:pt idx="13">
                  <c:v>227.82966235272238</c:v>
                </c:pt>
                <c:pt idx="14">
                  <c:v>262.33942025677754</c:v>
                </c:pt>
                <c:pt idx="15">
                  <c:v>296.74663475456794</c:v>
                </c:pt>
                <c:pt idx="16">
                  <c:v>328.61627365817043</c:v>
                </c:pt>
                <c:pt idx="17">
                  <c:v>360.41769146943358</c:v>
                </c:pt>
                <c:pt idx="18">
                  <c:v>387.27841746168315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28416"/>
        <c:axId val="-1602438752"/>
      </c:scatterChart>
      <c:valAx>
        <c:axId val="-160242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8752"/>
        <c:crosses val="autoZero"/>
        <c:crossBetween val="midCat"/>
      </c:valAx>
      <c:valAx>
        <c:axId val="-160243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2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222.53665149290285</c:v>
                </c:pt>
                <c:pt idx="22">
                  <c:v>168.76600247780945</c:v>
                </c:pt>
                <c:pt idx="23">
                  <c:v>188.99270051612007</c:v>
                </c:pt>
                <c:pt idx="24">
                  <c:v>209.16892529171821</c:v>
                </c:pt>
                <c:pt idx="25">
                  <c:v>229.3002313036466</c:v>
                </c:pt>
                <c:pt idx="26">
                  <c:v>249.39111690003995</c:v>
                </c:pt>
                <c:pt idx="27">
                  <c:v>269.4452958976164</c:v>
                </c:pt>
                <c:pt idx="28">
                  <c:v>289.46588388785705</c:v>
                </c:pt>
                <c:pt idx="29">
                  <c:v>242.85879845897907</c:v>
                </c:pt>
                <c:pt idx="30">
                  <c:v>264.60158409045465</c:v>
                </c:pt>
                <c:pt idx="31">
                  <c:v>286.30408597271895</c:v>
                </c:pt>
                <c:pt idx="32">
                  <c:v>307.96978591902433</c:v>
                </c:pt>
                <c:pt idx="33">
                  <c:v>329.60163580364463</c:v>
                </c:pt>
                <c:pt idx="34">
                  <c:v>351.20216844044018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5488"/>
        <c:axId val="-1602426240"/>
      </c:scatterChart>
      <c:valAx>
        <c:axId val="-160243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26240"/>
        <c:crosses val="autoZero"/>
        <c:crossBetween val="midCat"/>
      </c:valAx>
      <c:valAx>
        <c:axId val="-160242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27328"/>
        <c:axId val="-1602426784"/>
      </c:scatterChart>
      <c:valAx>
        <c:axId val="-1602427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26784"/>
        <c:crosses val="autoZero"/>
        <c:crossBetween val="midCat"/>
      </c:valAx>
      <c:valAx>
        <c:axId val="-16024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27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1136"/>
        <c:axId val="-1602433856"/>
      </c:scatterChart>
      <c:valAx>
        <c:axId val="-1602431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3856"/>
        <c:crosses val="autoZero"/>
        <c:crossBetween val="midCat"/>
      </c:valAx>
      <c:valAx>
        <c:axId val="-160243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1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7120"/>
        <c:axId val="-1602436576"/>
      </c:scatterChart>
      <c:valAx>
        <c:axId val="-160243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6576"/>
        <c:crosses val="autoZero"/>
        <c:crossBetween val="midCat"/>
      </c:valAx>
      <c:valAx>
        <c:axId val="-160243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2431680"/>
        <c:axId val="-1602424608"/>
      </c:scatterChart>
      <c:valAx>
        <c:axId val="-1602431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24608"/>
        <c:crosses val="autoZero"/>
        <c:crossBetween val="midCat"/>
      </c:valAx>
      <c:valAx>
        <c:axId val="-16024246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243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E14" sqref="E1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1.65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9</v>
      </c>
      <c r="C9" s="35">
        <v>0.23300000000000001</v>
      </c>
      <c r="D9" s="36">
        <f t="shared" ref="D9:D18" si="0">C9*$C$5</f>
        <v>0.38445000000000001</v>
      </c>
      <c r="E9" s="37">
        <v>130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0.19900000000000001</v>
      </c>
      <c r="D10" s="36">
        <f t="shared" si="0"/>
        <v>0.32834999999999998</v>
      </c>
      <c r="E10" s="37">
        <v>131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14</v>
      </c>
      <c r="C11" s="35">
        <v>0.114</v>
      </c>
      <c r="D11" s="36">
        <f t="shared" si="0"/>
        <v>0.18809999999999999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117</v>
      </c>
      <c r="C12" s="35">
        <v>0.40899999999999997</v>
      </c>
      <c r="D12" s="36">
        <f t="shared" si="0"/>
        <v>0.67484999999999995</v>
      </c>
      <c r="E12" s="37">
        <v>18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18</v>
      </c>
      <c r="C13" s="35">
        <v>4.4999999999999998E-2</v>
      </c>
      <c r="D13" s="36">
        <f t="shared" si="0"/>
        <v>7.4249999999999997E-2</v>
      </c>
      <c r="E13" s="37">
        <v>70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1.65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chevelu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f>(47)/1.56</f>
        <v>30.128205128205128</v>
      </c>
      <c r="C36" s="54"/>
      <c r="D36" s="63"/>
      <c r="E36" s="63"/>
      <c r="F36" s="54"/>
      <c r="G36" s="54"/>
      <c r="H36" s="54"/>
      <c r="I36" s="52">
        <f>IFERROR(B36/A36,"")</f>
        <v>2.0085470085470085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f>(86+6)/1.56</f>
        <v>58.974358974358971</v>
      </c>
      <c r="C37" s="63"/>
      <c r="D37" s="63"/>
      <c r="E37" s="63"/>
      <c r="F37" s="54"/>
      <c r="G37" s="54"/>
      <c r="H37" s="54"/>
      <c r="I37" s="56">
        <f t="shared" ref="I37:I55" si="1">IF(A37&lt;&gt;0,(B37-(B36-D36))/(A37-A36),"")</f>
        <v>5.7692307692307683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f>(127+6+10)/1.56</f>
        <v>91.666666666666657</v>
      </c>
      <c r="C38" s="63"/>
      <c r="D38" s="63"/>
      <c r="E38" s="63"/>
      <c r="F38" s="54"/>
      <c r="G38" s="54"/>
      <c r="H38" s="54"/>
      <c r="I38" s="56">
        <f t="shared" si="1"/>
        <v>6.5384615384615374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f>(167+6+10+13)/1.56</f>
        <v>125.64102564102564</v>
      </c>
      <c r="C39" s="63">
        <v>1</v>
      </c>
      <c r="D39" s="63">
        <f>(6+10+13+15)/1.56</f>
        <v>28.205128205128204</v>
      </c>
      <c r="E39" s="63"/>
      <c r="F39" s="54"/>
      <c r="G39" s="54"/>
      <c r="H39" s="54">
        <v>1</v>
      </c>
      <c r="I39" s="52">
        <f t="shared" si="1"/>
        <v>6.7948717948717956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f>(205)/1.56</f>
        <v>131.41025641025641</v>
      </c>
      <c r="C40" s="63"/>
      <c r="D40" s="63"/>
      <c r="E40" s="63"/>
      <c r="F40" s="54"/>
      <c r="G40" s="54"/>
      <c r="H40" s="54"/>
      <c r="I40" s="52">
        <f t="shared" si="1"/>
        <v>6.7948717948717956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f>(239+17)/1.56</f>
        <v>164.10256410256409</v>
      </c>
      <c r="C41" s="63">
        <v>2</v>
      </c>
      <c r="D41" s="63">
        <f>(17+18)/1.56</f>
        <v>22.435897435897434</v>
      </c>
      <c r="E41" s="63"/>
      <c r="F41" s="54"/>
      <c r="G41" s="54"/>
      <c r="H41" s="54"/>
      <c r="I41" s="56">
        <f t="shared" si="1"/>
        <v>6.5384615384615357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f>(270)/1.56</f>
        <v>173.07692307692307</v>
      </c>
      <c r="C42" s="63"/>
      <c r="D42" s="63"/>
      <c r="E42" s="63"/>
      <c r="F42" s="54"/>
      <c r="G42" s="54"/>
      <c r="H42" s="54"/>
      <c r="I42" s="56">
        <f t="shared" si="1"/>
        <v>6.2820512820512819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50</v>
      </c>
      <c r="B43" s="63">
        <f>(298+19)/1.56</f>
        <v>203.2051282051282</v>
      </c>
      <c r="C43" s="63">
        <v>3</v>
      </c>
      <c r="D43" s="63">
        <f>(19+19)/1.56</f>
        <v>24.358974358974358</v>
      </c>
      <c r="E43" s="63"/>
      <c r="F43" s="54"/>
      <c r="G43" s="54"/>
      <c r="H43" s="54"/>
      <c r="I43" s="52">
        <f t="shared" si="1"/>
        <v>6.0256410256410273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55</v>
      </c>
      <c r="B44" s="63">
        <f>(323)/1.56</f>
        <v>207.05128205128204</v>
      </c>
      <c r="C44" s="63"/>
      <c r="D44" s="63"/>
      <c r="E44" s="63"/>
      <c r="F44" s="54"/>
      <c r="G44" s="54"/>
      <c r="H44" s="54"/>
      <c r="I44" s="52">
        <f t="shared" si="1"/>
        <v>5.6410256410256405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60</v>
      </c>
      <c r="B45" s="63">
        <f>(345+19)/1.56</f>
        <v>233.33333333333331</v>
      </c>
      <c r="C45" s="63">
        <v>4</v>
      </c>
      <c r="D45" s="63">
        <f>(19+19)/1.56</f>
        <v>24.358974358974358</v>
      </c>
      <c r="E45" s="63"/>
      <c r="F45" s="54"/>
      <c r="G45" s="54"/>
      <c r="H45" s="54"/>
      <c r="I45" s="52">
        <f t="shared" si="1"/>
        <v>5.2564102564102537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65</v>
      </c>
      <c r="B46" s="63">
        <f>(365)/1.56</f>
        <v>233.97435897435898</v>
      </c>
      <c r="C46" s="63"/>
      <c r="D46" s="63"/>
      <c r="E46" s="63"/>
      <c r="F46" s="54"/>
      <c r="G46" s="54"/>
      <c r="H46" s="54"/>
      <c r="I46" s="52">
        <f t="shared" si="1"/>
        <v>5.0000000000000053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70</v>
      </c>
      <c r="B47" s="63">
        <f>(385+18)/1.56</f>
        <v>258.33333333333331</v>
      </c>
      <c r="C47" s="63">
        <v>5</v>
      </c>
      <c r="D47" s="63">
        <f>(18+18)/1.56</f>
        <v>23.076923076923077</v>
      </c>
      <c r="E47" s="63"/>
      <c r="F47" s="54"/>
      <c r="G47" s="54"/>
      <c r="H47" s="54"/>
      <c r="I47" s="52">
        <f t="shared" si="1"/>
        <v>4.8717948717948669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75</v>
      </c>
      <c r="B48" s="63">
        <f>(402)/1.56</f>
        <v>257.69230769230768</v>
      </c>
      <c r="C48" s="63"/>
      <c r="D48" s="63"/>
      <c r="E48" s="63"/>
      <c r="F48" s="54"/>
      <c r="G48" s="54"/>
      <c r="H48" s="54"/>
      <c r="I48" s="52">
        <f t="shared" si="1"/>
        <v>4.4871794871794863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80</v>
      </c>
      <c r="B49" s="63">
        <f>(418+18)/1.56</f>
        <v>279.4871794871795</v>
      </c>
      <c r="C49" s="63">
        <v>6</v>
      </c>
      <c r="D49" s="63">
        <f>(18+17)/1.56</f>
        <v>22.435897435897434</v>
      </c>
      <c r="E49" s="63"/>
      <c r="F49" s="54"/>
      <c r="G49" s="54"/>
      <c r="H49" s="54"/>
      <c r="I49" s="52">
        <f t="shared" si="1"/>
        <v>4.3589743589743648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85</v>
      </c>
      <c r="B50" s="63">
        <f>(432)/1.56</f>
        <v>276.92307692307691</v>
      </c>
      <c r="C50" s="53"/>
      <c r="D50" s="63"/>
      <c r="E50" s="63"/>
      <c r="F50" s="54"/>
      <c r="G50" s="54"/>
      <c r="H50" s="54"/>
      <c r="I50" s="52">
        <f t="shared" si="1"/>
        <v>3.9743589743589722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90</v>
      </c>
      <c r="B51" s="63">
        <f>(445+17)/1.56</f>
        <v>296.15384615384613</v>
      </c>
      <c r="C51" s="53">
        <v>7</v>
      </c>
      <c r="D51" s="63">
        <f>(17+16)/1.56</f>
        <v>21.153846153846153</v>
      </c>
      <c r="E51" s="63"/>
      <c r="F51" s="54"/>
      <c r="G51" s="54"/>
      <c r="H51" s="54"/>
      <c r="I51" s="52">
        <f t="shared" si="1"/>
        <v>3.8461538461538454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63">
        <f>(467+16)/1.56</f>
        <v>309.61538461538458</v>
      </c>
      <c r="C52" s="53">
        <v>8</v>
      </c>
      <c r="D52" s="63">
        <f>(16+16)/1.56</f>
        <v>20.512820512820511</v>
      </c>
      <c r="E52" s="63"/>
      <c r="F52" s="54"/>
      <c r="G52" s="54"/>
      <c r="H52" s="54"/>
      <c r="I52" s="52">
        <f t="shared" si="1"/>
        <v>3.4615384615384586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110</v>
      </c>
      <c r="B53" s="63">
        <f>(486+15)/1.56</f>
        <v>321.15384615384613</v>
      </c>
      <c r="C53" s="53">
        <v>9</v>
      </c>
      <c r="D53" s="63">
        <f>(15+15)/1.56</f>
        <v>19.23076923076923</v>
      </c>
      <c r="E53" s="63"/>
      <c r="F53" s="54"/>
      <c r="G53" s="54"/>
      <c r="H53" s="54"/>
      <c r="I53" s="52">
        <f t="shared" si="1"/>
        <v>3.2051282051282044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120</v>
      </c>
      <c r="B54" s="63">
        <f>(502+14)/1.56</f>
        <v>330.76923076923077</v>
      </c>
      <c r="C54" s="53">
        <v>10</v>
      </c>
      <c r="D54" s="63">
        <f>(14+14)/1.56</f>
        <v>17.948717948717949</v>
      </c>
      <c r="E54" s="63"/>
      <c r="F54" s="54"/>
      <c r="G54" s="54"/>
      <c r="H54" s="54"/>
      <c r="I54" s="52">
        <f t="shared" si="1"/>
        <v>2.8846153846153868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130</v>
      </c>
      <c r="B55" s="63">
        <f>(516+13)/1.56</f>
        <v>339.10256410256409</v>
      </c>
      <c r="C55" s="53">
        <v>11</v>
      </c>
      <c r="D55" s="63">
        <f>B55</f>
        <v>339.10256410256409</v>
      </c>
      <c r="E55" s="63"/>
      <c r="F55" s="54"/>
      <c r="G55" s="54"/>
      <c r="H55" s="54"/>
      <c r="I55" s="52">
        <f t="shared" si="1"/>
        <v>2.6282051282051269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3">
        <f>191.43/1.3</f>
        <v>147.25384615384615</v>
      </c>
      <c r="C62" s="53"/>
      <c r="D62" s="63"/>
      <c r="E62" s="54"/>
      <c r="F62" s="54"/>
      <c r="G62" s="54"/>
      <c r="H62" s="54"/>
      <c r="I62" s="56">
        <f>IFERROR(B62/A62,"")</f>
        <v>4.9084615384615384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51</v>
      </c>
      <c r="B63" s="63">
        <f>(487.27/1.3)</f>
        <v>374.82307692307688</v>
      </c>
      <c r="C63" s="53">
        <v>1</v>
      </c>
      <c r="D63" s="63">
        <f>(221.21/1.3)</f>
        <v>170.16153846153847</v>
      </c>
      <c r="E63" s="54"/>
      <c r="F63" s="54"/>
      <c r="G63" s="54"/>
      <c r="H63" s="54"/>
      <c r="I63" s="52">
        <f>IF(A63&lt;&gt;0,(B63-(B62-D62))/(A63-A62),"")</f>
        <v>10.836630036630035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61</v>
      </c>
      <c r="B64" s="63">
        <f>427.85/1.3</f>
        <v>329.11538461538464</v>
      </c>
      <c r="C64" s="53">
        <v>2</v>
      </c>
      <c r="D64" s="63">
        <f>(123.19/1.3)</f>
        <v>94.76153846153845</v>
      </c>
      <c r="E64" s="54"/>
      <c r="F64" s="54"/>
      <c r="G64" s="54"/>
      <c r="H64" s="54"/>
      <c r="I64" s="52">
        <f>IF(A64&lt;&gt;0,(B64-(B63-D63))/(A64-A63),"")</f>
        <v>12.445384615384622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73</v>
      </c>
      <c r="B65" s="63">
        <f>465.57/1.3</f>
        <v>358.1307692307692</v>
      </c>
      <c r="C65" s="53">
        <v>3</v>
      </c>
      <c r="D65" s="63">
        <f>(121.66/1.3)</f>
        <v>93.584615384615375</v>
      </c>
      <c r="E65" s="54"/>
      <c r="F65" s="54"/>
      <c r="G65" s="54"/>
      <c r="H65" s="54"/>
      <c r="I65" s="52">
        <f>IF(A65&lt;&gt;0,(B65-(B64-D64))/(A65-A64),"")</f>
        <v>10.314743589743586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85</v>
      </c>
      <c r="B66" s="63">
        <f>492.48/1.3</f>
        <v>378.83076923076925</v>
      </c>
      <c r="C66" s="53">
        <v>4</v>
      </c>
      <c r="D66" s="63">
        <f>(110.77/1.3)</f>
        <v>85.207692307692298</v>
      </c>
      <c r="E66" s="54"/>
      <c r="F66" s="54"/>
      <c r="G66" s="54"/>
      <c r="H66" s="54"/>
      <c r="I66" s="52">
        <f t="shared" ref="I66:I81" si="2">IF(A66&lt;&gt;0,(B66-(B65-D65))/(A66-A65),"")</f>
        <v>9.52371794871795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97</v>
      </c>
      <c r="B67" s="63">
        <f>517.76/1.3</f>
        <v>398.27692307692308</v>
      </c>
      <c r="C67" s="53">
        <v>5</v>
      </c>
      <c r="D67" s="63">
        <f>(103.57/1.3)</f>
        <v>79.669230769230765</v>
      </c>
      <c r="E67" s="54"/>
      <c r="F67" s="54"/>
      <c r="G67" s="54"/>
      <c r="H67" s="54"/>
      <c r="I67" s="52">
        <f t="shared" si="2"/>
        <v>8.7211538461538449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109</v>
      </c>
      <c r="B68" s="63">
        <f>537.16/1.3</f>
        <v>413.2</v>
      </c>
      <c r="C68" s="53">
        <v>6</v>
      </c>
      <c r="D68" s="63">
        <f>(104.85/1.3)</f>
        <v>80.653846153846146</v>
      </c>
      <c r="E68" s="54"/>
      <c r="F68" s="54"/>
      <c r="G68" s="54"/>
      <c r="H68" s="54"/>
      <c r="I68" s="52">
        <f t="shared" si="2"/>
        <v>7.882692307692305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8">
        <v>121</v>
      </c>
      <c r="B69" s="63">
        <f>542.89/1.3</f>
        <v>417.60769230769228</v>
      </c>
      <c r="C69" s="58">
        <v>7</v>
      </c>
      <c r="D69" s="63">
        <f>(269.2/1.3)</f>
        <v>207.07692307692307</v>
      </c>
      <c r="E69" s="66"/>
      <c r="F69" s="66"/>
      <c r="G69" s="66"/>
      <c r="H69" s="66"/>
      <c r="I69" s="52">
        <f t="shared" si="2"/>
        <v>7.0884615384615346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8">
        <v>131</v>
      </c>
      <c r="B70" s="63">
        <f>337.5/1.3</f>
        <v>259.61538461538458</v>
      </c>
      <c r="C70" s="58">
        <v>8</v>
      </c>
      <c r="D70" s="63">
        <f>(337.5/1.3)</f>
        <v>259.61538461538458</v>
      </c>
      <c r="E70" s="66"/>
      <c r="F70" s="66"/>
      <c r="G70" s="66"/>
      <c r="H70" s="66"/>
      <c r="I70" s="52">
        <f t="shared" si="2"/>
        <v>4.9084615384615375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Peuplier Soligo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7</v>
      </c>
      <c r="B114" s="63">
        <v>18.36</v>
      </c>
      <c r="C114" s="53"/>
      <c r="D114" s="63"/>
      <c r="E114" s="54"/>
      <c r="F114" s="54"/>
      <c r="G114" s="54"/>
      <c r="H114" s="54"/>
      <c r="I114" s="56">
        <f>IFERROR(B114/A114,"")</f>
        <v>2.6228571428571428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8</v>
      </c>
      <c r="B115" s="63">
        <v>38.76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20.399999999999999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9</v>
      </c>
      <c r="B116" s="63">
        <v>65.28</v>
      </c>
      <c r="C116" s="53"/>
      <c r="D116" s="63"/>
      <c r="E116" s="54"/>
      <c r="F116" s="54"/>
      <c r="G116" s="54"/>
      <c r="H116" s="54"/>
      <c r="I116" s="56">
        <f t="shared" si="4"/>
        <v>26.520000000000003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10</v>
      </c>
      <c r="B117" s="63">
        <v>93.84</v>
      </c>
      <c r="C117" s="53"/>
      <c r="D117" s="63"/>
      <c r="E117" s="54"/>
      <c r="F117" s="54"/>
      <c r="G117" s="54"/>
      <c r="H117" s="54"/>
      <c r="I117" s="56">
        <f t="shared" si="4"/>
        <v>28.560000000000002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11</v>
      </c>
      <c r="B118" s="63">
        <v>122.4</v>
      </c>
      <c r="C118" s="53"/>
      <c r="D118" s="63"/>
      <c r="E118" s="54"/>
      <c r="F118" s="54"/>
      <c r="G118" s="54"/>
      <c r="H118" s="54"/>
      <c r="I118" s="56">
        <f t="shared" si="4"/>
        <v>28.560000000000002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12</v>
      </c>
      <c r="B119" s="63">
        <v>153</v>
      </c>
      <c r="C119" s="53"/>
      <c r="D119" s="63"/>
      <c r="E119" s="54"/>
      <c r="F119" s="54"/>
      <c r="G119" s="54"/>
      <c r="H119" s="54"/>
      <c r="I119" s="56">
        <f t="shared" si="4"/>
        <v>30.599999999999994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13</v>
      </c>
      <c r="B120" s="63">
        <v>183.6</v>
      </c>
      <c r="C120" s="63"/>
      <c r="D120" s="63"/>
      <c r="E120" s="93"/>
      <c r="F120" s="93"/>
      <c r="G120" s="93"/>
      <c r="H120" s="93"/>
      <c r="I120" s="56">
        <f t="shared" si="4"/>
        <v>30.599999999999994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14</v>
      </c>
      <c r="B121" s="63">
        <v>212.16</v>
      </c>
      <c r="C121" s="63"/>
      <c r="D121" s="63"/>
      <c r="E121" s="93"/>
      <c r="F121" s="93"/>
      <c r="G121" s="93"/>
      <c r="H121" s="93"/>
      <c r="I121" s="56">
        <f t="shared" si="4"/>
        <v>28.560000000000002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15</v>
      </c>
      <c r="B122" s="63">
        <v>240.72</v>
      </c>
      <c r="C122" s="63"/>
      <c r="D122" s="63"/>
      <c r="E122" s="93"/>
      <c r="F122" s="93"/>
      <c r="G122" s="93"/>
      <c r="H122" s="93"/>
      <c r="I122" s="56">
        <f t="shared" si="4"/>
        <v>28.560000000000002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16</v>
      </c>
      <c r="B123" s="63">
        <v>267.24</v>
      </c>
      <c r="C123" s="63"/>
      <c r="D123" s="63"/>
      <c r="E123" s="93"/>
      <c r="F123" s="93"/>
      <c r="G123" s="93"/>
      <c r="H123" s="93"/>
      <c r="I123" s="56">
        <f t="shared" si="4"/>
        <v>26.52000000000001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17</v>
      </c>
      <c r="B124" s="63">
        <v>293.76</v>
      </c>
      <c r="C124" s="63"/>
      <c r="D124" s="63"/>
      <c r="E124" s="93"/>
      <c r="F124" s="93"/>
      <c r="G124" s="93"/>
      <c r="H124" s="93"/>
      <c r="I124" s="56">
        <f t="shared" si="4"/>
        <v>26.519999999999982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18</v>
      </c>
      <c r="B125" s="63">
        <v>316.2</v>
      </c>
      <c r="C125" s="63">
        <v>1</v>
      </c>
      <c r="D125" s="63">
        <f>B125</f>
        <v>316.2</v>
      </c>
      <c r="E125" s="54">
        <v>0.78</v>
      </c>
      <c r="F125" s="54"/>
      <c r="G125" s="54"/>
      <c r="H125" s="54">
        <v>0.22</v>
      </c>
      <c r="I125" s="56">
        <f t="shared" si="4"/>
        <v>22.439999999999998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Douglas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21</v>
      </c>
      <c r="B140" s="63">
        <f>234.08/1.3</f>
        <v>180.06153846153848</v>
      </c>
      <c r="C140" s="63">
        <v>1</v>
      </c>
      <c r="D140" s="63">
        <f>79.52/1.3</f>
        <v>61.169230769230765</v>
      </c>
      <c r="E140" s="54"/>
      <c r="F140" s="54">
        <v>0.5</v>
      </c>
      <c r="G140" s="54">
        <v>0.5</v>
      </c>
      <c r="H140" s="93"/>
      <c r="I140" s="60">
        <f>IFERROR(B140/A140,"")</f>
        <v>8.5743589743589759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28</v>
      </c>
      <c r="B141" s="63">
        <f>306.49/1.3</f>
        <v>235.76153846153846</v>
      </c>
      <c r="C141" s="63">
        <v>2</v>
      </c>
      <c r="D141" s="63">
        <f>73.99/1.3</f>
        <v>56.91538461538461</v>
      </c>
      <c r="E141" s="54"/>
      <c r="F141" s="54">
        <v>0.5</v>
      </c>
      <c r="G141" s="54">
        <v>0.5</v>
      </c>
      <c r="H141" s="93"/>
      <c r="I141" s="60">
        <f t="shared" ref="I141:I159" si="5">IF(A141&lt;&gt;0,(B141-(B140-D140))/(A141-A140),"")</f>
        <v>16.695604395604395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3">
        <f>397.14/1.3</f>
        <v>305.49230769230769</v>
      </c>
      <c r="C142" s="63">
        <v>3</v>
      </c>
      <c r="D142" s="63">
        <f>91.65/1.3</f>
        <v>70.5</v>
      </c>
      <c r="E142" s="54"/>
      <c r="F142" s="54"/>
      <c r="G142" s="54"/>
      <c r="H142" s="93"/>
      <c r="I142" s="60">
        <f t="shared" si="5"/>
        <v>18.092307692307688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42</v>
      </c>
      <c r="B143" s="63">
        <f>471.38/1.3</f>
        <v>362.59999999999997</v>
      </c>
      <c r="C143" s="63">
        <v>4</v>
      </c>
      <c r="D143" s="63">
        <f>104.87/1.3</f>
        <v>80.669230769230765</v>
      </c>
      <c r="E143" s="93"/>
      <c r="F143" s="93"/>
      <c r="G143" s="93"/>
      <c r="H143" s="93"/>
      <c r="I143" s="60">
        <f t="shared" si="5"/>
        <v>18.229670329670324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49</v>
      </c>
      <c r="B144" s="63">
        <f>525.94/1.3</f>
        <v>404.56923076923078</v>
      </c>
      <c r="C144" s="63">
        <v>5</v>
      </c>
      <c r="D144" s="63">
        <f>117.59/1.3</f>
        <v>90.453846153846158</v>
      </c>
      <c r="E144" s="93"/>
      <c r="F144" s="93"/>
      <c r="G144" s="93"/>
      <c r="H144" s="93"/>
      <c r="I144" s="60">
        <f t="shared" si="5"/>
        <v>17.519780219780223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56</v>
      </c>
      <c r="B145" s="63">
        <f>556.02/1.3</f>
        <v>427.7076923076923</v>
      </c>
      <c r="C145" s="63">
        <v>6</v>
      </c>
      <c r="D145" s="63">
        <f>98.63/1.3</f>
        <v>75.869230769230768</v>
      </c>
      <c r="E145" s="93"/>
      <c r="F145" s="93"/>
      <c r="G145" s="93"/>
      <c r="H145" s="93"/>
      <c r="I145" s="60">
        <f t="shared" si="5"/>
        <v>16.227472527472521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63</v>
      </c>
      <c r="B146" s="63">
        <f>592.43/1.3</f>
        <v>455.71538461538455</v>
      </c>
      <c r="C146" s="63">
        <v>7</v>
      </c>
      <c r="D146" s="63">
        <f>103.64/1.3</f>
        <v>79.723076923076917</v>
      </c>
      <c r="E146" s="93"/>
      <c r="F146" s="93"/>
      <c r="G146" s="93"/>
      <c r="H146" s="93"/>
      <c r="I146" s="60">
        <f t="shared" si="5"/>
        <v>14.839560439560435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3">
        <v>70</v>
      </c>
      <c r="B147" s="63">
        <f>609.79/1.3</f>
        <v>469.06923076923073</v>
      </c>
      <c r="C147" s="63">
        <v>8</v>
      </c>
      <c r="D147" s="63">
        <f>609.79/1.3</f>
        <v>469.06923076923073</v>
      </c>
      <c r="E147" s="93"/>
      <c r="F147" s="93"/>
      <c r="G147" s="93"/>
      <c r="H147" s="93"/>
      <c r="I147" s="60">
        <f>IF(A147&lt;&gt;0,(B147-(B146-D146))/(A147-A146),"")</f>
        <v>13.296703296703299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9" sqref="B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chevelu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Peuplier Soligo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Douglas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493.70175665335978</v>
      </c>
      <c r="T3" s="62">
        <f>IF('Données projet'!E9&gt;30,$R$33-$H$33,LOOKUP('Données projet'!$E$9,$A$3:$A$203,R3:R203)-LOOKUP('Données projet'!$E$9,$A$3:$A$203,$H$3:$H$203))</f>
        <v>325.12357781685949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284.0976902574692</v>
      </c>
      <c r="AO3" s="62">
        <f>IF('Données projet'!E10&gt;30,$AM$33-$H$33,LOOKUP('Données projet'!$E$10,$A$3:$A$203,AM3:AM203)-LOOKUP('Données projet'!$E$10,$A$3:$A$203,$H$3:$H$203))</f>
        <v>190.4880882944471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428.8489304403459</v>
      </c>
      <c r="BJ3" s="62">
        <f>IF('Données projet'!E11&gt;30,$BH$33-$H$33,LOOKUP('Données projet'!$E$11,$A$3:$A$203,BH3:BH203)-LOOKUP('Données projet'!$E$11,$A$3:$A$203,$H$3:$H$203))</f>
        <v>247.01165577562966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144.05409916132993</v>
      </c>
      <c r="CE3" s="62">
        <f>IF('Données projet'!E12&gt;30,$CC$33-$H$33,LOOKUP('Données projet'!$E$12,$A$3:$A$203,CC3:CC203)-LOOKUP('Données projet'!$E$12,$A$3:$A$203,$H$3:$H$203))</f>
        <v>409.2784174616832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321.13335003345236</v>
      </c>
      <c r="CZ3" s="62">
        <f>IF('Données projet'!E13&gt;30,$CX$33-$H$33,LOOKUP('Données projet'!$E$13,$A$3:$A$203,CX3:CX203)-LOOKUP('Données projet'!$E$13,$A$3:$A$203,$H$3:$H$203))</f>
        <v>301.26825075712128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2.0085470085470085</v>
      </c>
      <c r="N4" s="14">
        <f>IF('Données projet'!$A$36&gt;35,N3+M4-V3,IF(A4&lt;'Données projet'!$A$36,$K$205^A4,IF(A4='Données projet'!$A$36,'Données projet'!$B$36,N3+M4-V3)))</f>
        <v>1.2548684989282006</v>
      </c>
      <c r="O4" s="14">
        <f>N4*VLOOKUP('Données projet'!$B$9,Paramètres!$A$1:$I$89,3,0)*VLOOKUP('Données projet'!$B$9,Paramètres!$A$1:$I$89,5,0)</f>
        <v>1.3115885550797555</v>
      </c>
      <c r="P4" s="14">
        <f>EXP(-1.0587+0.8836*LN(O4)+0.284)</f>
        <v>0.5856498554818651</v>
      </c>
      <c r="Q4" s="22">
        <f t="shared" ref="Q4:Q34" si="2">(O4+P4)*0.475*44/12</f>
        <v>3.3043568983948219</v>
      </c>
      <c r="R4" s="62">
        <f t="shared" si="0"/>
        <v>261.19324578728367</v>
      </c>
      <c r="S4" s="62">
        <f ca="1">AVERAGE(OFFSET($R$3,0,0,'Données projet'!$E$9+1,1))-AVERAGE(OFFSET($H$3,0,0,'Données projet'!$E$9+1,1))</f>
        <v>493.70175665335978</v>
      </c>
      <c r="T4" s="62">
        <f>$T$3</f>
        <v>325.12357781685949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4.9084615384615384</v>
      </c>
      <c r="AI4" s="14">
        <f>IF('Données projet'!$A$62&gt;35,AI3+AH4-AQ3,IF(A4&lt;'Données projet'!$A$62,$AF$205^A4,IF(A4='Données projet'!$A$62,'Données projet'!$B$62,AI3+AH4-AQ3)))</f>
        <v>1.1810516433311786</v>
      </c>
      <c r="AJ4" s="14">
        <f>AI4*VLOOKUP('Données projet'!$B$10,Paramètres!$A$1:$I$89,3,0)*VLOOKUP('Données projet'!$B$10,Paramètres!$A$1:$I$89,5,0)</f>
        <v>0.55273216907899159</v>
      </c>
      <c r="AK4" s="14">
        <f>EXP(-1.0587+0.8836*LN(AJ4)+0.284)</f>
        <v>0.27292171413945432</v>
      </c>
      <c r="AL4" s="22">
        <f t="shared" ref="AL4:AL67" si="4">(AJ4+AK4)*0.475*44/12</f>
        <v>1.4380138466054599</v>
      </c>
      <c r="AM4" s="62">
        <f t="shared" ref="AM4:AM67" si="5">AL4+(AD4+AE4)*44/12</f>
        <v>259.32690273549434</v>
      </c>
      <c r="AN4" s="62">
        <f ca="1">AVERAGE(OFFSET($AM$3,0,0,'Données projet'!$E$10+1,1))-AVERAGE(OFFSET($H$3,0,0,'Données projet'!$E$10+1,1))</f>
        <v>284.0976902574692</v>
      </c>
      <c r="AO4" s="62">
        <f>$AO$3</f>
        <v>190.4880882944471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428.8489304403459</v>
      </c>
      <c r="BJ4" s="62">
        <f>$BJ$3</f>
        <v>247.01165577562966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2.6228571428571428</v>
      </c>
      <c r="BY4" s="13">
        <f>IF('Données projet'!$A$114&gt;35,BY3+BX4-CG3,IF(A4&lt;'Données projet'!$A$114,$BV$205^A4,IF(A4='Données projet'!$A$114,'Données projet'!$B$114,BY3+BX4-CG3)))</f>
        <v>1.5154905741783802</v>
      </c>
      <c r="BZ4" s="14">
        <f>BY4*VLOOKUP('Données projet'!$B$12,Paramètres!$A$1:$I$89,3,0)*VLOOKUP('Données projet'!$B$12,Paramètres!$A$1:$I$89,5,0)</f>
        <v>0.85109950645857824</v>
      </c>
      <c r="CA4" s="14">
        <f>EXP(-1.0587+0.8836*LN(BZ4)+0.284)</f>
        <v>0.3996526454952537</v>
      </c>
      <c r="CB4" s="22">
        <f t="shared" ref="CB4:CB67" si="10">(BZ4+CA4)*0.475*44/12</f>
        <v>2.1783933313195907</v>
      </c>
      <c r="CC4" s="62">
        <f t="shared" ref="CC4:CC67" si="11">CB4+(BT4+BU4)*44/12</f>
        <v>260.06728222020843</v>
      </c>
      <c r="CD4" s="62">
        <f ca="1">AVERAGE(OFFSET($CC$3,0,0,'Données projet'!$E$12+1,1))-AVERAGE(OFFSET($H$3,0,0,'Données projet'!$E$12+1,1))</f>
        <v>144.05409916132993</v>
      </c>
      <c r="CE4" s="62">
        <f>$CE$3</f>
        <v>409.2784174616832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8.5743589743589759</v>
      </c>
      <c r="CT4" s="13">
        <f>IF('Données projet'!$A$140&gt;35,CT3+CS4-DB3,IF(A4&lt;'Données projet'!$A$140,$CQ$205^A4,IF(A4='Données projet'!$A$140,'Données projet'!$B$140,CT3+CS4-DB3)))</f>
        <v>1.2805631431945952</v>
      </c>
      <c r="CU4" s="18">
        <f>CT4*VLOOKUP('Données projet'!$B$13,Paramètres!$A$1:$I$89,3,0)*VLOOKUP('Données projet'!$B$13,Paramètres!$A$1:$I$89,5,0)</f>
        <v>0.71583479704577868</v>
      </c>
      <c r="CV4" s="14">
        <f>EXP(-1.0587+0.8836*LN(CU4)+0.284)</f>
        <v>0.34297673370795467</v>
      </c>
      <c r="CW4" s="22">
        <f t="shared" ref="CW4:CW67" si="13">(CU4+CV4)*0.475*44/12</f>
        <v>1.8440967493960854</v>
      </c>
      <c r="CX4" s="62">
        <f t="shared" ref="CX4:CX67" si="14">CW4+(CO4+CP4)*44/12</f>
        <v>259.73298563828496</v>
      </c>
      <c r="CY4" s="62">
        <f ca="1">AVERAGE(OFFSET($CX$3,0,0,'Données projet'!$E$13+1,1))-AVERAGE(OFFSET($H$3,0,0,'Données projet'!$E$13+1,1))</f>
        <v>321.13335003345236</v>
      </c>
      <c r="CZ4" s="62">
        <f>$CZ$3</f>
        <v>301.26825075712128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2.0085470085470085</v>
      </c>
      <c r="N5" s="14">
        <f>IF('Données projet'!$A$36&gt;35,N4+M5-V4,IF(A5&lt;'Données projet'!$A$36,$K$205^A5,IF(A5='Données projet'!$A$36,'Données projet'!$B$36,N4+M5-V4)))</f>
        <v>1.5746949496023155</v>
      </c>
      <c r="O5" s="14">
        <f>N5*VLOOKUP('Données projet'!$B$9,Paramètres!$A$1:$I$89,3,0)*VLOOKUP('Données projet'!$B$9,Paramètres!$A$1:$I$89,5,0)</f>
        <v>1.6458711613243404</v>
      </c>
      <c r="P5" s="14">
        <f t="shared" ref="P5:P68" si="33">EXP(-1.0587+0.8836*LN(O5)+0.284)</f>
        <v>0.71574681686586372</v>
      </c>
      <c r="Q5" s="22">
        <f t="shared" si="2"/>
        <v>4.1131513120146055</v>
      </c>
      <c r="R5" s="62">
        <f t="shared" si="0"/>
        <v>263.22426242312577</v>
      </c>
      <c r="S5" s="62">
        <f ca="1">AVERAGE(OFFSET($R$3,0,0,'Données projet'!$E$9+1,1))-AVERAGE(OFFSET($H$3,0,0,'Données projet'!$E$9+1,1))</f>
        <v>493.70175665335978</v>
      </c>
      <c r="T5" s="62">
        <f t="shared" ref="T5:T68" si="34">$T$3</f>
        <v>325.12357781685949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4.9084615384615384</v>
      </c>
      <c r="AI5" s="14">
        <f>IF('Données projet'!$A$62&gt;35,AI4+AH5-AQ4,IF(A5&lt;'Données projet'!$A$62,$AF$205^A5,IF(A5='Données projet'!$A$62,'Données projet'!$B$62,AI4+AH5-AQ4)))</f>
        <v>1.3948829842152777</v>
      </c>
      <c r="AJ5" s="14">
        <f>AI5*VLOOKUP('Données projet'!$B$10,Paramètres!$A$1:$I$89,3,0)*VLOOKUP('Données projet'!$B$10,Paramètres!$A$1:$I$89,5,0)</f>
        <v>0.65280523661274992</v>
      </c>
      <c r="AK5" s="14">
        <f t="shared" ref="AK5:AK68" si="35">EXP(-1.0587+0.8836*LN(AJ5)+0.284)</f>
        <v>0.31615123301372139</v>
      </c>
      <c r="AL5" s="22">
        <f t="shared" si="4"/>
        <v>1.6875991845994376</v>
      </c>
      <c r="AM5" s="62">
        <f t="shared" si="5"/>
        <v>260.79871029571058</v>
      </c>
      <c r="AN5" s="62">
        <f ca="1">AVERAGE(OFFSET($AM$3,0,0,'Données projet'!$E$10+1,1))-AVERAGE(OFFSET($H$3,0,0,'Données projet'!$E$10+1,1))</f>
        <v>284.0976902574692</v>
      </c>
      <c r="AO5" s="62">
        <f t="shared" ref="AO5:AO68" si="36">$AO$3</f>
        <v>190.4880882944471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428.8489304403459</v>
      </c>
      <c r="BJ5" s="62">
        <f t="shared" ref="BJ5:BJ68" si="38">$BJ$3</f>
        <v>247.01165577562966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2.6228571428571428</v>
      </c>
      <c r="BY5" s="13">
        <f>IF('Données projet'!$A$114&gt;35,BY4+BX5-CG4,IF(A5&lt;'Données projet'!$A$114,$BV$205^A5,IF(A5='Données projet'!$A$114,'Données projet'!$B$114,BY4+BX5-CG4)))</f>
        <v>2.2967116804235164</v>
      </c>
      <c r="BZ5" s="14">
        <f>BY5*VLOOKUP('Données projet'!$B$12,Paramètres!$A$1:$I$89,3,0)*VLOOKUP('Données projet'!$B$12,Paramètres!$A$1:$I$89,5,0)</f>
        <v>1.2898332797258467</v>
      </c>
      <c r="CA5" s="14">
        <f t="shared" ref="CA5:CA68" si="39">EXP(-1.0587+0.8836*LN(BZ5)+0.284)</f>
        <v>0.57705809085444648</v>
      </c>
      <c r="CB5" s="22">
        <f t="shared" si="10"/>
        <v>3.2515024704273436</v>
      </c>
      <c r="CC5" s="62">
        <f t="shared" si="11"/>
        <v>262.36261358153848</v>
      </c>
      <c r="CD5" s="62">
        <f ca="1">AVERAGE(OFFSET($CC$3,0,0,'Données projet'!$E$12+1,1))-AVERAGE(OFFSET($H$3,0,0,'Données projet'!$E$12+1,1))</f>
        <v>144.05409916132993</v>
      </c>
      <c r="CE5" s="62">
        <f t="shared" ref="CE5:CE68" si="40">$CE$3</f>
        <v>409.2784174616832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8.5743589743589759</v>
      </c>
      <c r="CT5" s="13">
        <f>IF('Données projet'!$A$140&gt;35,CT4+CS5-DB4,IF(A5&lt;'Données projet'!$A$140,$CQ$205^A5,IF(A5='Données projet'!$A$140,'Données projet'!$B$140,CT4+CS5-DB4)))</f>
        <v>1.6398419637084214</v>
      </c>
      <c r="CU5" s="18">
        <f>CT5*VLOOKUP('Données projet'!$B$13,Paramètres!$A$1:$I$89,3,0)*VLOOKUP('Données projet'!$B$13,Paramètres!$A$1:$I$89,5,0)</f>
        <v>0.91667165771300751</v>
      </c>
      <c r="CV5" s="14">
        <f t="shared" ref="CV5:CV68" si="41">EXP(-1.0587+0.8836*LN(CU5)+0.284)</f>
        <v>0.42674081455780177</v>
      </c>
      <c r="CW5" s="22">
        <f t="shared" si="13"/>
        <v>2.3397767225383261</v>
      </c>
      <c r="CX5" s="62">
        <f t="shared" si="14"/>
        <v>261.45088783364946</v>
      </c>
      <c r="CY5" s="62">
        <f ca="1">AVERAGE(OFFSET($CX$3,0,0,'Données projet'!$E$13+1,1))-AVERAGE(OFFSET($H$3,0,0,'Données projet'!$E$13+1,1))</f>
        <v>321.13335003345236</v>
      </c>
      <c r="CZ5" s="62">
        <f t="shared" ref="CZ5:CZ68" si="42">$CZ$3</f>
        <v>301.26825075712128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2.0085470085470085</v>
      </c>
      <c r="N6" s="14">
        <f>IF('Données projet'!$A$36&gt;35,N5+M6-V5,IF(A6&lt;'Données projet'!$A$36,$K$205^A6,IF(A6='Données projet'!$A$36,'Données projet'!$B$36,N5+M6-V5)))</f>
        <v>1.9760350876772761</v>
      </c>
      <c r="O6" s="14">
        <f>N6*VLOOKUP('Données projet'!$B$9,Paramètres!$A$1:$I$89,3,0)*VLOOKUP('Données projet'!$B$9,Paramètres!$A$1:$I$89,5,0)</f>
        <v>2.0653518736402892</v>
      </c>
      <c r="P6" s="14">
        <f t="shared" si="33"/>
        <v>0.87474367330306557</v>
      </c>
      <c r="Q6" s="22">
        <f t="shared" si="2"/>
        <v>5.1206664109263427</v>
      </c>
      <c r="R6" s="62">
        <f t="shared" si="0"/>
        <v>265.45399974425965</v>
      </c>
      <c r="S6" s="62">
        <f ca="1">AVERAGE(OFFSET($R$3,0,0,'Données projet'!$E$9+1,1))-AVERAGE(OFFSET($H$3,0,0,'Données projet'!$E$9+1,1))</f>
        <v>493.70175665335978</v>
      </c>
      <c r="T6" s="62">
        <f t="shared" si="34"/>
        <v>325.12357781685949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4.9084615384615384</v>
      </c>
      <c r="AI6" s="14">
        <f>IF('Données projet'!$A$62&gt;35,AI5+AH6-AQ5,IF(A6&lt;'Données projet'!$A$62,$AF$205^A6,IF(A6='Données projet'!$A$62,'Données projet'!$B$62,AI5+AH6-AQ5)))</f>
        <v>1.6474288407621522</v>
      </c>
      <c r="AJ6" s="14">
        <f>AI6*VLOOKUP('Données projet'!$B$10,Paramètres!$A$1:$I$89,3,0)*VLOOKUP('Données projet'!$B$10,Paramètres!$A$1:$I$89,5,0)</f>
        <v>0.7709966974766872</v>
      </c>
      <c r="AK6" s="14">
        <f t="shared" si="35"/>
        <v>0.36622810482944673</v>
      </c>
      <c r="AL6" s="22">
        <f t="shared" si="4"/>
        <v>1.9806665306831832</v>
      </c>
      <c r="AM6" s="62">
        <f t="shared" si="5"/>
        <v>262.31399986401652</v>
      </c>
      <c r="AN6" s="62">
        <f ca="1">AVERAGE(OFFSET($AM$3,0,0,'Données projet'!$E$10+1,1))-AVERAGE(OFFSET($H$3,0,0,'Données projet'!$E$10+1,1))</f>
        <v>284.0976902574692</v>
      </c>
      <c r="AO6" s="62">
        <f t="shared" si="36"/>
        <v>190.4880882944471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428.8489304403459</v>
      </c>
      <c r="BJ6" s="62">
        <f t="shared" si="38"/>
        <v>247.01165577562966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2.6228571428571428</v>
      </c>
      <c r="BY6" s="13">
        <f>IF('Données projet'!$A$114&gt;35,BY5+BX6-CG5,IF(A6&lt;'Données projet'!$A$114,$BV$205^A6,IF(A6='Données projet'!$A$114,'Données projet'!$B$114,BY5+BX6-CG5)))</f>
        <v>3.4806449032872271</v>
      </c>
      <c r="BZ6" s="14">
        <f>BY6*VLOOKUP('Données projet'!$B$12,Paramètres!$A$1:$I$89,3,0)*VLOOKUP('Données projet'!$B$12,Paramètres!$A$1:$I$89,5,0)</f>
        <v>1.9547301776861068</v>
      </c>
      <c r="CA6" s="14">
        <f t="shared" si="39"/>
        <v>0.83321365183990337</v>
      </c>
      <c r="CB6" s="22">
        <f t="shared" si="10"/>
        <v>4.8556688364244662</v>
      </c>
      <c r="CC6" s="62">
        <f t="shared" si="11"/>
        <v>265.18900216975777</v>
      </c>
      <c r="CD6" s="62">
        <f ca="1">AVERAGE(OFFSET($CC$3,0,0,'Données projet'!$E$12+1,1))-AVERAGE(OFFSET($H$3,0,0,'Données projet'!$E$12+1,1))</f>
        <v>144.05409916132993</v>
      </c>
      <c r="CE6" s="62">
        <f t="shared" si="40"/>
        <v>409.2784174616832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8.5743589743589759</v>
      </c>
      <c r="CT6" s="13">
        <f>IF('Données projet'!$A$140&gt;35,CT5+CS6-DB5,IF(A6&lt;'Données projet'!$A$140,$CQ$205^A6,IF(A6='Données projet'!$A$140,'Données projet'!$B$140,CT5+CS6-DB5)))</f>
        <v>2.0999211793888533</v>
      </c>
      <c r="CU6" s="18">
        <f>CT6*VLOOKUP('Données projet'!$B$13,Paramètres!$A$1:$I$89,3,0)*VLOOKUP('Données projet'!$B$13,Paramètres!$A$1:$I$89,5,0)</f>
        <v>1.173855939278369</v>
      </c>
      <c r="CV6" s="14">
        <f t="shared" si="41"/>
        <v>0.53096232167316981</v>
      </c>
      <c r="CW6" s="22">
        <f t="shared" si="13"/>
        <v>2.9692251378239298</v>
      </c>
      <c r="CX6" s="62">
        <f t="shared" si="14"/>
        <v>263.30255847115723</v>
      </c>
      <c r="CY6" s="62">
        <f ca="1">AVERAGE(OFFSET($CX$3,0,0,'Données projet'!$E$13+1,1))-AVERAGE(OFFSET($H$3,0,0,'Données projet'!$E$13+1,1))</f>
        <v>321.13335003345236</v>
      </c>
      <c r="CZ6" s="62">
        <f t="shared" si="42"/>
        <v>301.26825075712128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2.0085470085470085</v>
      </c>
      <c r="N7" s="14">
        <f>IF('Données projet'!$A$36&gt;35,N6+M7-V6,IF(A7&lt;'Données projet'!$A$36,$K$205^A7,IF(A7='Données projet'!$A$36,'Données projet'!$B$36,N6+M7-V6)))</f>
        <v>2.4796641843030387</v>
      </c>
      <c r="O7" s="14">
        <f>N7*VLOOKUP('Données projet'!$B$9,Paramètres!$A$1:$I$89,3,0)*VLOOKUP('Données projet'!$B$9,Paramètres!$A$1:$I$89,5,0)</f>
        <v>2.5917450054335363</v>
      </c>
      <c r="P7" s="14">
        <f t="shared" si="33"/>
        <v>1.069060282146026</v>
      </c>
      <c r="Q7" s="22">
        <f t="shared" si="2"/>
        <v>6.375902542534404</v>
      </c>
      <c r="R7" s="62">
        <f t="shared" si="0"/>
        <v>267.93145809808993</v>
      </c>
      <c r="S7" s="62">
        <f ca="1">AVERAGE(OFFSET($R$3,0,0,'Données projet'!$E$9+1,1))-AVERAGE(OFFSET($H$3,0,0,'Données projet'!$E$9+1,1))</f>
        <v>493.70175665335978</v>
      </c>
      <c r="T7" s="62">
        <f t="shared" si="34"/>
        <v>325.12357781685949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4.9084615384615384</v>
      </c>
      <c r="AI7" s="14">
        <f>IF('Données projet'!$A$62&gt;35,AI6+AH7-AQ6,IF(A7&lt;'Données projet'!$A$62,$AF$205^A7,IF(A7='Données projet'!$A$62,'Données projet'!$B$62,AI6+AH7-AQ6)))</f>
        <v>1.9456985396533186</v>
      </c>
      <c r="AJ7" s="14">
        <f>AI7*VLOOKUP('Données projet'!$B$10,Paramètres!$A$1:$I$89,3,0)*VLOOKUP('Données projet'!$B$10,Paramètres!$A$1:$I$89,5,0)</f>
        <v>0.91058691655775315</v>
      </c>
      <c r="AK7" s="14">
        <f t="shared" si="35"/>
        <v>0.42423691816235021</v>
      </c>
      <c r="AL7" s="22">
        <f t="shared" si="4"/>
        <v>2.32481817880418</v>
      </c>
      <c r="AM7" s="62">
        <f t="shared" si="5"/>
        <v>263.88037373435975</v>
      </c>
      <c r="AN7" s="62">
        <f ca="1">AVERAGE(OFFSET($AM$3,0,0,'Données projet'!$E$10+1,1))-AVERAGE(OFFSET($H$3,0,0,'Données projet'!$E$10+1,1))</f>
        <v>284.0976902574692</v>
      </c>
      <c r="AO7" s="62">
        <f t="shared" si="36"/>
        <v>190.4880882944471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428.8489304403459</v>
      </c>
      <c r="BJ7" s="62">
        <f t="shared" si="38"/>
        <v>247.01165577562966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2.6228571428571428</v>
      </c>
      <c r="BY7" s="13">
        <f>IF('Données projet'!$A$114&gt;35,BY6+BX7-CG6,IF(A7&lt;'Données projet'!$A$114,$BV$205^A7,IF(A7='Données projet'!$A$114,'Données projet'!$B$114,BY6+BX7-CG6)))</f>
        <v>5.2748845429938127</v>
      </c>
      <c r="BZ7" s="14">
        <f>BY7*VLOOKUP('Données projet'!$B$12,Paramètres!$A$1:$I$89,3,0)*VLOOKUP('Données projet'!$B$12,Paramètres!$A$1:$I$89,5,0)</f>
        <v>2.9623751593453251</v>
      </c>
      <c r="CA7" s="14">
        <f t="shared" si="39"/>
        <v>1.2030764330579322</v>
      </c>
      <c r="CB7" s="22">
        <f t="shared" si="10"/>
        <v>7.2548281901023399</v>
      </c>
      <c r="CC7" s="62">
        <f t="shared" si="11"/>
        <v>268.81038374565787</v>
      </c>
      <c r="CD7" s="62">
        <f ca="1">AVERAGE(OFFSET($CC$3,0,0,'Données projet'!$E$12+1,1))-AVERAGE(OFFSET($H$3,0,0,'Données projet'!$E$12+1,1))</f>
        <v>144.05409916132993</v>
      </c>
      <c r="CE7" s="62">
        <f t="shared" si="40"/>
        <v>409.2784174616832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8.5743589743589759</v>
      </c>
      <c r="CT7" s="13">
        <f>IF('Données projet'!$A$140&gt;35,CT6+CS7-DB6,IF(A7&lt;'Données projet'!$A$140,$CQ$205^A7,IF(A7='Données projet'!$A$140,'Données projet'!$B$140,CT6+CS7-DB6)))</f>
        <v>2.6890816659390917</v>
      </c>
      <c r="CU7" s="18">
        <f>CT7*VLOOKUP('Données projet'!$B$13,Paramètres!$A$1:$I$89,3,0)*VLOOKUP('Données projet'!$B$13,Paramètres!$A$1:$I$89,5,0)</f>
        <v>1.5031966512599522</v>
      </c>
      <c r="CV7" s="14">
        <f t="shared" si="41"/>
        <v>0.66063750505958863</v>
      </c>
      <c r="CW7" s="22">
        <f t="shared" si="13"/>
        <v>3.7686778222565338</v>
      </c>
      <c r="CX7" s="62">
        <f t="shared" si="14"/>
        <v>265.32423337781205</v>
      </c>
      <c r="CY7" s="62">
        <f ca="1">AVERAGE(OFFSET($CX$3,0,0,'Données projet'!$E$13+1,1))-AVERAGE(OFFSET($H$3,0,0,'Données projet'!$E$13+1,1))</f>
        <v>321.13335003345236</v>
      </c>
      <c r="CZ7" s="62">
        <f t="shared" si="42"/>
        <v>301.26825075712128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2.0085470085470085</v>
      </c>
      <c r="N8" s="14">
        <f>IF('Données projet'!$A$36&gt;35,N7+M8-V7,IF(A8&lt;'Données projet'!$A$36,$K$205^A8,IF(A8='Données projet'!$A$36,'Données projet'!$B$36,N7+M8-V7)))</f>
        <v>3.1116524728023753</v>
      </c>
      <c r="O8" s="14">
        <f>N8*VLOOKUP('Données projet'!$B$9,Paramètres!$A$1:$I$89,3,0)*VLOOKUP('Données projet'!$B$9,Paramètres!$A$1:$I$89,5,0)</f>
        <v>3.2522991645730426</v>
      </c>
      <c r="P8" s="14">
        <f t="shared" si="33"/>
        <v>1.3065426155602187</v>
      </c>
      <c r="Q8" s="22">
        <f t="shared" si="2"/>
        <v>7.9399827670654304</v>
      </c>
      <c r="R8" s="62">
        <f t="shared" si="0"/>
        <v>270.7177605448432</v>
      </c>
      <c r="S8" s="62">
        <f ca="1">AVERAGE(OFFSET($R$3,0,0,'Données projet'!$E$9+1,1))-AVERAGE(OFFSET($H$3,0,0,'Données projet'!$E$9+1,1))</f>
        <v>493.70175665335978</v>
      </c>
      <c r="T8" s="62">
        <f t="shared" si="34"/>
        <v>325.12357781685949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4.9084615384615384</v>
      </c>
      <c r="AI8" s="14">
        <f>IF('Données projet'!$A$62&gt;35,AI7+AH8-AQ7,IF(A8&lt;'Données projet'!$A$62,$AF$205^A8,IF(A8='Données projet'!$A$62,'Données projet'!$B$62,AI7+AH8-AQ7)))</f>
        <v>2.2979704576846265</v>
      </c>
      <c r="AJ8" s="14">
        <f>AI8*VLOOKUP('Données projet'!$B$10,Paramètres!$A$1:$I$89,3,0)*VLOOKUP('Données projet'!$B$10,Paramètres!$A$1:$I$89,5,0)</f>
        <v>1.0754501741964051</v>
      </c>
      <c r="AK8" s="14">
        <f t="shared" si="35"/>
        <v>0.49143405532927165</v>
      </c>
      <c r="AL8" s="22">
        <f t="shared" si="4"/>
        <v>2.7289900330905534</v>
      </c>
      <c r="AM8" s="62">
        <f t="shared" si="5"/>
        <v>265.50676781086833</v>
      </c>
      <c r="AN8" s="62">
        <f ca="1">AVERAGE(OFFSET($AM$3,0,0,'Données projet'!$E$10+1,1))-AVERAGE(OFFSET($H$3,0,0,'Données projet'!$E$10+1,1))</f>
        <v>284.0976902574692</v>
      </c>
      <c r="AO8" s="62">
        <f t="shared" si="36"/>
        <v>190.4880882944471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428.8489304403459</v>
      </c>
      <c r="BJ8" s="62">
        <f t="shared" si="38"/>
        <v>247.01165577562966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2.6228571428571428</v>
      </c>
      <c r="BY8" s="13">
        <f>IF('Données projet'!$A$114&gt;35,BY7+BX8-CG7,IF(A8&lt;'Données projet'!$A$114,$BV$205^A8,IF(A8='Données projet'!$A$114,'Données projet'!$B$114,BY7+BX8-CG7)))</f>
        <v>7.9940378047863554</v>
      </c>
      <c r="BZ8" s="14">
        <f>BY8*VLOOKUP('Données projet'!$B$12,Paramètres!$A$1:$I$89,3,0)*VLOOKUP('Données projet'!$B$12,Paramètres!$A$1:$I$89,5,0)</f>
        <v>4.4894516311680173</v>
      </c>
      <c r="CA8" s="14">
        <f t="shared" si="39"/>
        <v>1.7371209660130538</v>
      </c>
      <c r="CB8" s="22">
        <f t="shared" si="10"/>
        <v>10.844613940090364</v>
      </c>
      <c r="CC8" s="62">
        <f t="shared" si="11"/>
        <v>273.62239171786814</v>
      </c>
      <c r="CD8" s="62">
        <f ca="1">AVERAGE(OFFSET($CC$3,0,0,'Données projet'!$E$12+1,1))-AVERAGE(OFFSET($H$3,0,0,'Données projet'!$E$12+1,1))</f>
        <v>144.05409916132993</v>
      </c>
      <c r="CE8" s="62">
        <f t="shared" si="40"/>
        <v>409.2784174616832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8.5743589743589759</v>
      </c>
      <c r="CT8" s="13">
        <f>IF('Données projet'!$A$140&gt;35,CT7+CS8-DB7,IF(A8&lt;'Données projet'!$A$140,$CQ$205^A8,IF(A8='Données projet'!$A$140,'Données projet'!$B$140,CT7+CS8-DB7)))</f>
        <v>3.4435388704419219</v>
      </c>
      <c r="CU8" s="18">
        <f>CT8*VLOOKUP('Données projet'!$B$13,Paramètres!$A$1:$I$89,3,0)*VLOOKUP('Données projet'!$B$13,Paramètres!$A$1:$I$89,5,0)</f>
        <v>1.9249382285770344</v>
      </c>
      <c r="CV8" s="14">
        <f t="shared" si="41"/>
        <v>0.8219828324466435</v>
      </c>
      <c r="CW8" s="22">
        <f t="shared" si="13"/>
        <v>4.7842208479495723</v>
      </c>
      <c r="CX8" s="62">
        <f t="shared" si="14"/>
        <v>267.56199862572737</v>
      </c>
      <c r="CY8" s="62">
        <f ca="1">AVERAGE(OFFSET($CX$3,0,0,'Données projet'!$E$13+1,1))-AVERAGE(OFFSET($H$3,0,0,'Données projet'!$E$13+1,1))</f>
        <v>321.13335003345236</v>
      </c>
      <c r="CZ8" s="62">
        <f t="shared" si="42"/>
        <v>301.26825075712128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2.0085470085470085</v>
      </c>
      <c r="N9" s="14">
        <f>IF('Données projet'!$A$36&gt;35,N8+M9-V8,IF(A9&lt;'Données projet'!$A$36,$K$205^A9,IF(A9='Données projet'!$A$36,'Données projet'!$B$36,N8+M9-V8)))</f>
        <v>3.9047146677317404</v>
      </c>
      <c r="O9" s="14">
        <f>N9*VLOOKUP('Données projet'!$B$9,Paramètres!$A$1:$I$89,3,0)*VLOOKUP('Données projet'!$B$9,Paramètres!$A$1:$I$89,5,0)</f>
        <v>4.0812077707132151</v>
      </c>
      <c r="P9" s="14">
        <f t="shared" si="33"/>
        <v>1.5967795593792025</v>
      </c>
      <c r="Q9" s="22">
        <f t="shared" si="2"/>
        <v>9.8891612665776254</v>
      </c>
      <c r="R9" s="62">
        <f t="shared" si="0"/>
        <v>273.88916126657762</v>
      </c>
      <c r="S9" s="62">
        <f ca="1">AVERAGE(OFFSET($R$3,0,0,'Données projet'!$E$9+1,1))-AVERAGE(OFFSET($H$3,0,0,'Données projet'!$E$9+1,1))</f>
        <v>493.70175665335978</v>
      </c>
      <c r="T9" s="62">
        <f t="shared" si="34"/>
        <v>325.12357781685949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4.9084615384615384</v>
      </c>
      <c r="AI9" s="14">
        <f>IF('Données projet'!$A$62&gt;35,AI8+AH9-AQ8,IF(A9&lt;'Données projet'!$A$62,$AF$205^A9,IF(A9='Données projet'!$A$62,'Données projet'!$B$62,AI8+AH9-AQ8)))</f>
        <v>2.7140217853749289</v>
      </c>
      <c r="AJ9" s="14">
        <f>AI9*VLOOKUP('Données projet'!$B$10,Paramètres!$A$1:$I$89,3,0)*VLOOKUP('Données projet'!$B$10,Paramètres!$A$1:$I$89,5,0)</f>
        <v>1.2701621955554667</v>
      </c>
      <c r="AK9" s="14">
        <f t="shared" si="35"/>
        <v>0.56927490371064715</v>
      </c>
      <c r="AL9" s="22">
        <f t="shared" si="4"/>
        <v>3.203686281221815</v>
      </c>
      <c r="AM9" s="62">
        <f t="shared" si="5"/>
        <v>267.20368628122179</v>
      </c>
      <c r="AN9" s="62">
        <f ca="1">AVERAGE(OFFSET($AM$3,0,0,'Données projet'!$E$10+1,1))-AVERAGE(OFFSET($H$3,0,0,'Données projet'!$E$10+1,1))</f>
        <v>284.0976902574692</v>
      </c>
      <c r="AO9" s="62">
        <f t="shared" si="36"/>
        <v>190.4880882944471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428.8489304403459</v>
      </c>
      <c r="BJ9" s="62">
        <f t="shared" si="38"/>
        <v>247.01165577562966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2.6228571428571428</v>
      </c>
      <c r="BY9" s="13">
        <f>IF('Données projet'!$A$114&gt;35,BY8+BX9-CG8,IF(A9&lt;'Données projet'!$A$114,$BV$205^A9,IF(A9='Données projet'!$A$114,'Données projet'!$B$114,BY8+BX9-CG8)))</f>
        <v>12.114888942779352</v>
      </c>
      <c r="BZ9" s="14">
        <f>BY9*VLOOKUP('Données projet'!$B$12,Paramètres!$A$1:$I$89,3,0)*VLOOKUP('Données projet'!$B$12,Paramètres!$A$1:$I$89,5,0)</f>
        <v>6.8037216302648842</v>
      </c>
      <c r="CA9" s="14">
        <f t="shared" si="39"/>
        <v>2.5082273807759128</v>
      </c>
      <c r="CB9" s="22">
        <f t="shared" si="10"/>
        <v>16.218311194229386</v>
      </c>
      <c r="CC9" s="62">
        <f t="shared" si="11"/>
        <v>280.21831119422939</v>
      </c>
      <c r="CD9" s="62">
        <f ca="1">AVERAGE(OFFSET($CC$3,0,0,'Données projet'!$E$12+1,1))-AVERAGE(OFFSET($H$3,0,0,'Données projet'!$E$12+1,1))</f>
        <v>144.05409916132993</v>
      </c>
      <c r="CE9" s="62">
        <f t="shared" si="40"/>
        <v>409.2784174616832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8.5743589743589759</v>
      </c>
      <c r="CT9" s="13">
        <f>IF('Données projet'!$A$140&gt;35,CT8+CS9-DB8,IF(A9&lt;'Données projet'!$A$140,$CQ$205^A9,IF(A9='Données projet'!$A$140,'Données projet'!$B$140,CT8+CS9-DB8)))</f>
        <v>4.4096689596458729</v>
      </c>
      <c r="CU9" s="18">
        <f>CT9*VLOOKUP('Données projet'!$B$13,Paramètres!$A$1:$I$89,3,0)*VLOOKUP('Données projet'!$B$13,Paramètres!$A$1:$I$89,5,0)</f>
        <v>2.4650049484420431</v>
      </c>
      <c r="CV9" s="14">
        <f t="shared" si="41"/>
        <v>1.0227329990537903</v>
      </c>
      <c r="CW9" s="22">
        <f t="shared" si="13"/>
        <v>6.0744769252219095</v>
      </c>
      <c r="CX9" s="62">
        <f t="shared" si="14"/>
        <v>270.07447692522192</v>
      </c>
      <c r="CY9" s="62">
        <f ca="1">AVERAGE(OFFSET($CX$3,0,0,'Données projet'!$E$13+1,1))-AVERAGE(OFFSET($H$3,0,0,'Données projet'!$E$13+1,1))</f>
        <v>321.13335003345236</v>
      </c>
      <c r="CZ9" s="62">
        <f t="shared" si="42"/>
        <v>301.26825075712128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2.0085470085470085</v>
      </c>
      <c r="N10" s="14">
        <f>IF('Données projet'!$A$36&gt;35,N9+M10-V9,IF(A10&lt;'Données projet'!$A$36,$K$205^A10,IF(A10='Données projet'!$A$36,'Données projet'!$B$36,N9+M10-V9)))</f>
        <v>4.899903433839456</v>
      </c>
      <c r="O10" s="14">
        <f>N10*VLOOKUP('Données projet'!$B$9,Paramètres!$A$1:$I$89,3,0)*VLOOKUP('Données projet'!$B$9,Paramètres!$A$1:$I$89,5,0)</f>
        <v>5.1213790690489995</v>
      </c>
      <c r="P10" s="14">
        <f t="shared" si="33"/>
        <v>1.9514900860374758</v>
      </c>
      <c r="Q10" s="22">
        <f t="shared" si="2"/>
        <v>12.318580445108942</v>
      </c>
      <c r="R10" s="62">
        <f t="shared" si="0"/>
        <v>277.54080266733115</v>
      </c>
      <c r="S10" s="62">
        <f ca="1">AVERAGE(OFFSET($R$3,0,0,'Données projet'!$E$9+1,1))-AVERAGE(OFFSET($H$3,0,0,'Données projet'!$E$9+1,1))</f>
        <v>493.70175665335978</v>
      </c>
      <c r="T10" s="62">
        <f t="shared" si="34"/>
        <v>325.12357781685949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4.9084615384615384</v>
      </c>
      <c r="AI10" s="14">
        <f>IF('Données projet'!$A$62&gt;35,AI9+AH10-AQ9,IF(A10&lt;'Données projet'!$A$62,$AF$205^A10,IF(A10='Données projet'!$A$62,'Données projet'!$B$62,AI9+AH10-AQ9)))</f>
        <v>3.2053998896536791</v>
      </c>
      <c r="AJ10" s="14">
        <f>AI10*VLOOKUP('Données projet'!$B$10,Paramètres!$A$1:$I$89,3,0)*VLOOKUP('Données projet'!$B$10,Paramètres!$A$1:$I$89,5,0)</f>
        <v>1.5001271483579217</v>
      </c>
      <c r="AK10" s="14">
        <f t="shared" si="35"/>
        <v>0.65944537721878049</v>
      </c>
      <c r="AL10" s="22">
        <f t="shared" si="4"/>
        <v>3.7612554820460891</v>
      </c>
      <c r="AM10" s="62">
        <f t="shared" si="5"/>
        <v>268.9834777042683</v>
      </c>
      <c r="AN10" s="62">
        <f ca="1">AVERAGE(OFFSET($AM$3,0,0,'Données projet'!$E$10+1,1))-AVERAGE(OFFSET($H$3,0,0,'Données projet'!$E$10+1,1))</f>
        <v>284.0976902574692</v>
      </c>
      <c r="AO10" s="62">
        <f t="shared" si="36"/>
        <v>190.4880882944471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428.8489304403459</v>
      </c>
      <c r="BJ10" s="62">
        <f t="shared" si="38"/>
        <v>247.01165577562966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>
        <f>VLOOKUP(A10,'Données projet'!$A$113:$I$133,2,0)</f>
        <v>18.36</v>
      </c>
      <c r="BW10" s="13">
        <f>VLOOKUP(A10,'Données projet'!$A$113:$I$133,9,0)</f>
        <v>2.6228571428571428</v>
      </c>
      <c r="BX10" s="13">
        <f t="array" ref="BX10">INDEX(BW:BW,MIN(IF(ISNUMBER(BW10:BW206),ROW(BW10:BW206),"")))</f>
        <v>2.6228571428571428</v>
      </c>
      <c r="BY10" s="13">
        <f>IF('Données projet'!$A$114&gt;35,BY9+BX10-CG9,IF(A10&lt;'Données projet'!$A$114,$BV$205^A10,IF(A10='Données projet'!$A$114,'Données projet'!$B$114,BY9+BX10-CG9)))</f>
        <v>18.36</v>
      </c>
      <c r="BZ10" s="14">
        <f>BY10*VLOOKUP('Données projet'!$B$12,Paramètres!$A$1:$I$89,3,0)*VLOOKUP('Données projet'!$B$12,Paramètres!$A$1:$I$89,5,0)</f>
        <v>10.310976</v>
      </c>
      <c r="CA10" s="14">
        <f t="shared" si="39"/>
        <v>3.6216272307813044</v>
      </c>
      <c r="CB10" s="22">
        <f t="shared" si="10"/>
        <v>24.265950626944104</v>
      </c>
      <c r="CC10" s="62">
        <f t="shared" si="11"/>
        <v>289.48817284916635</v>
      </c>
      <c r="CD10" s="62">
        <f ca="1">AVERAGE(OFFSET($CC$3,0,0,'Données projet'!$E$12+1,1))-AVERAGE(OFFSET($H$3,0,0,'Données projet'!$E$12+1,1))</f>
        <v>144.05409916132993</v>
      </c>
      <c r="CE10" s="62">
        <f t="shared" si="40"/>
        <v>409.2784174616832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8.5743589743589759</v>
      </c>
      <c r="CT10" s="13">
        <f>IF('Données projet'!$A$140&gt;35,CT9+CS10-DB9,IF(A10&lt;'Données projet'!$A$140,$CQ$205^A10,IF(A10='Données projet'!$A$140,'Données projet'!$B$140,CT9+CS10-DB9)))</f>
        <v>5.6468595434117601</v>
      </c>
      <c r="CU10" s="18">
        <f>CT10*VLOOKUP('Données projet'!$B$13,Paramètres!$A$1:$I$89,3,0)*VLOOKUP('Données projet'!$B$13,Paramètres!$A$1:$I$89,5,0)</f>
        <v>3.1565944847671736</v>
      </c>
      <c r="CV10" s="14">
        <f t="shared" si="41"/>
        <v>1.2725117193021875</v>
      </c>
      <c r="CW10" s="22">
        <f t="shared" si="13"/>
        <v>7.7140266387541381</v>
      </c>
      <c r="CX10" s="62">
        <f t="shared" si="14"/>
        <v>272.93624886097638</v>
      </c>
      <c r="CY10" s="62">
        <f ca="1">AVERAGE(OFFSET($CX$3,0,0,'Données projet'!$E$13+1,1))-AVERAGE(OFFSET($H$3,0,0,'Données projet'!$E$13+1,1))</f>
        <v>321.13335003345236</v>
      </c>
      <c r="CZ10" s="62">
        <f t="shared" si="42"/>
        <v>301.26825075712128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2.0085470085470085</v>
      </c>
      <c r="N11" s="14">
        <f>IF('Données projet'!$A$36&gt;35,N10+M11-V10,IF(A11&lt;'Données projet'!$A$36,$K$205^A11,IF(A11='Données projet'!$A$36,'Données projet'!$B$36,N10+M11-V10)))</f>
        <v>6.1487344669152542</v>
      </c>
      <c r="O11" s="14">
        <f>N11*VLOOKUP('Données projet'!$B$9,Paramètres!$A$1:$I$89,3,0)*VLOOKUP('Données projet'!$B$9,Paramètres!$A$1:$I$89,5,0)</f>
        <v>6.4266572648198244</v>
      </c>
      <c r="P11" s="14">
        <f t="shared" si="33"/>
        <v>2.3849964345630501</v>
      </c>
      <c r="Q11" s="22">
        <f t="shared" si="2"/>
        <v>15.346963526425172</v>
      </c>
      <c r="R11" s="62">
        <f t="shared" si="0"/>
        <v>281.79140797086961</v>
      </c>
      <c r="S11" s="62">
        <f ca="1">AVERAGE(OFFSET($R$3,0,0,'Données projet'!$E$9+1,1))-AVERAGE(OFFSET($H$3,0,0,'Données projet'!$E$9+1,1))</f>
        <v>493.70175665335978</v>
      </c>
      <c r="T11" s="62">
        <f t="shared" si="34"/>
        <v>325.12357781685949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4.9084615384615384</v>
      </c>
      <c r="AI11" s="14">
        <f>IF('Données projet'!$A$62&gt;35,AI10+AH11-AQ10,IF(A11&lt;'Données projet'!$A$62,$AF$205^A11,IF(A11='Données projet'!$A$62,'Données projet'!$B$62,AI10+AH11-AQ10)))</f>
        <v>3.7857428072090569</v>
      </c>
      <c r="AJ11" s="14">
        <f>AI11*VLOOKUP('Données projet'!$B$10,Paramètres!$A$1:$I$89,3,0)*VLOOKUP('Données projet'!$B$10,Paramètres!$A$1:$I$89,5,0)</f>
        <v>1.7717276337738388</v>
      </c>
      <c r="AK11" s="14">
        <f t="shared" si="35"/>
        <v>0.76389843061877893</v>
      </c>
      <c r="AL11" s="22">
        <f t="shared" si="4"/>
        <v>4.4162153954838086</v>
      </c>
      <c r="AM11" s="62">
        <f t="shared" si="5"/>
        <v>270.86065983992825</v>
      </c>
      <c r="AN11" s="62">
        <f ca="1">AVERAGE(OFFSET($AM$3,0,0,'Données projet'!$E$10+1,1))-AVERAGE(OFFSET($H$3,0,0,'Données projet'!$E$10+1,1))</f>
        <v>284.0976902574692</v>
      </c>
      <c r="AO11" s="62">
        <f t="shared" si="36"/>
        <v>190.4880882944471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428.8489304403459</v>
      </c>
      <c r="BJ11" s="62">
        <f t="shared" si="38"/>
        <v>247.01165577562966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>
        <f>VLOOKUP(A11,'Données projet'!$A$113:$I$133,2,0)</f>
        <v>38.76</v>
      </c>
      <c r="BW11" s="13">
        <f>VLOOKUP(A11,'Données projet'!$A$113:$I$133,9,0)</f>
        <v>20.399999999999999</v>
      </c>
      <c r="BX11" s="13">
        <f t="array" ref="BX11">INDEX(BW:BW,MIN(IF(ISNUMBER(BW11:BW207),ROW(BW11:BW207),"")))</f>
        <v>20.399999999999999</v>
      </c>
      <c r="BY11" s="13">
        <f>IF('Données projet'!$A$114&gt;35,BY10+BX11-CG10,IF(A11&lt;'Données projet'!$A$114,$BV$205^A11,IF(A11='Données projet'!$A$114,'Données projet'!$B$114,BY10+BX11-CG10)))</f>
        <v>38.76</v>
      </c>
      <c r="BZ11" s="14">
        <f>BY11*VLOOKUP('Données projet'!$B$12,Paramètres!$A$1:$I$89,3,0)*VLOOKUP('Données projet'!$B$12,Paramètres!$A$1:$I$89,5,0)</f>
        <v>21.767615999999997</v>
      </c>
      <c r="CA11" s="14">
        <f t="shared" si="39"/>
        <v>7.0087690154987019</v>
      </c>
      <c r="CB11" s="22">
        <f t="shared" si="10"/>
        <v>50.11887056866022</v>
      </c>
      <c r="CC11" s="62">
        <f t="shared" si="11"/>
        <v>316.56331501310467</v>
      </c>
      <c r="CD11" s="62">
        <f ca="1">AVERAGE(OFFSET($CC$3,0,0,'Données projet'!$E$12+1,1))-AVERAGE(OFFSET($H$3,0,0,'Données projet'!$E$12+1,1))</f>
        <v>144.05409916132993</v>
      </c>
      <c r="CE11" s="62">
        <f t="shared" si="40"/>
        <v>409.2784174616832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8.5743589743589759</v>
      </c>
      <c r="CT11" s="13">
        <f>IF('Données projet'!$A$140&gt;35,CT10+CS11-DB10,IF(A11&lt;'Données projet'!$A$140,$CQ$205^A11,IF(A11='Données projet'!$A$140,'Données projet'!$B$140,CT10+CS11-DB10)))</f>
        <v>7.2311602060897604</v>
      </c>
      <c r="CU11" s="18">
        <f>CT11*VLOOKUP('Données projet'!$B$13,Paramètres!$A$1:$I$89,3,0)*VLOOKUP('Données projet'!$B$13,Paramètres!$A$1:$I$89,5,0)</f>
        <v>4.0422185552041761</v>
      </c>
      <c r="CV11" s="14">
        <f t="shared" si="41"/>
        <v>1.5832930757681005</v>
      </c>
      <c r="CW11" s="22">
        <f t="shared" si="13"/>
        <v>9.7977660906100486</v>
      </c>
      <c r="CX11" s="62">
        <f t="shared" si="14"/>
        <v>276.24221053505448</v>
      </c>
      <c r="CY11" s="62">
        <f ca="1">AVERAGE(OFFSET($CX$3,0,0,'Données projet'!$E$13+1,1))-AVERAGE(OFFSET($H$3,0,0,'Données projet'!$E$13+1,1))</f>
        <v>321.13335003345236</v>
      </c>
      <c r="CZ11" s="62">
        <f t="shared" si="42"/>
        <v>301.26825075712128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2.0085470085470085</v>
      </c>
      <c r="N12" s="14">
        <f>IF('Données projet'!$A$36&gt;35,N11+M12-V11,IF(A12&lt;'Données projet'!$A$36,$K$205^A12,IF(A12='Données projet'!$A$36,'Données projet'!$B$36,N11+M12-V11)))</f>
        <v>7.715853190806035</v>
      </c>
      <c r="O12" s="14">
        <f>N12*VLOOKUP('Données projet'!$B$9,Paramètres!$A$1:$I$89,3,0)*VLOOKUP('Données projet'!$B$9,Paramètres!$A$1:$I$89,5,0)</f>
        <v>8.0646097550304692</v>
      </c>
      <c r="P12" s="14">
        <f t="shared" si="33"/>
        <v>2.9148024033411493</v>
      </c>
      <c r="Q12" s="22">
        <f t="shared" si="2"/>
        <v>19.122476175830567</v>
      </c>
      <c r="R12" s="62">
        <f t="shared" si="0"/>
        <v>286.78914284249726</v>
      </c>
      <c r="S12" s="62">
        <f ca="1">AVERAGE(OFFSET($R$3,0,0,'Données projet'!$E$9+1,1))-AVERAGE(OFFSET($H$3,0,0,'Données projet'!$E$9+1,1))</f>
        <v>493.70175665335978</v>
      </c>
      <c r="T12" s="62">
        <f t="shared" si="34"/>
        <v>325.12357781685949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4.9084615384615384</v>
      </c>
      <c r="AI12" s="14">
        <f>IF('Données projet'!$A$62&gt;35,AI11+AH12-AQ11,IF(A12&lt;'Données projet'!$A$62,$AF$205^A12,IF(A12='Données projet'!$A$62,'Données projet'!$B$62,AI11+AH12-AQ11)))</f>
        <v>4.4711577636834461</v>
      </c>
      <c r="AJ12" s="14">
        <f>AI12*VLOOKUP('Données projet'!$B$10,Paramètres!$A$1:$I$89,3,0)*VLOOKUP('Données projet'!$B$10,Paramètres!$A$1:$I$89,5,0)</f>
        <v>2.0925018334038525</v>
      </c>
      <c r="AK12" s="14">
        <f t="shared" si="35"/>
        <v>0.8848963575465858</v>
      </c>
      <c r="AL12" s="22">
        <f t="shared" si="4"/>
        <v>5.1856351825720131</v>
      </c>
      <c r="AM12" s="62">
        <f t="shared" si="5"/>
        <v>272.8523018492387</v>
      </c>
      <c r="AN12" s="62">
        <f ca="1">AVERAGE(OFFSET($AM$3,0,0,'Données projet'!$E$10+1,1))-AVERAGE(OFFSET($H$3,0,0,'Données projet'!$E$10+1,1))</f>
        <v>284.0976902574692</v>
      </c>
      <c r="AO12" s="62">
        <f t="shared" si="36"/>
        <v>190.4880882944471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428.8489304403459</v>
      </c>
      <c r="BJ12" s="62">
        <f t="shared" si="38"/>
        <v>247.01165577562966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>
        <f>VLOOKUP(A12,'Données projet'!$A$113:$I$133,2,0)</f>
        <v>65.28</v>
      </c>
      <c r="BW12" s="13">
        <f>VLOOKUP(A12,'Données projet'!$A$113:$I$133,9,0)</f>
        <v>26.520000000000003</v>
      </c>
      <c r="BX12" s="13">
        <f t="array" ref="BX12">INDEX(BW:BW,MIN(IF(ISNUMBER(BW12:BW208),ROW(BW12:BW208),"")))</f>
        <v>26.520000000000003</v>
      </c>
      <c r="BY12" s="13">
        <f>IF('Données projet'!$A$114&gt;35,BY11+BX12-CG11,IF(A12&lt;'Données projet'!$A$114,$BV$205^A12,IF(A12='Données projet'!$A$114,'Données projet'!$B$114,BY11+BX12-CG11)))</f>
        <v>65.28</v>
      </c>
      <c r="BZ12" s="14">
        <f>BY12*VLOOKUP('Données projet'!$B$12,Paramètres!$A$1:$I$89,3,0)*VLOOKUP('Données projet'!$B$12,Paramètres!$A$1:$I$89,5,0)</f>
        <v>36.661248000000001</v>
      </c>
      <c r="CA12" s="14">
        <f t="shared" si="39"/>
        <v>11.109271648179805</v>
      </c>
      <c r="CB12" s="22">
        <f t="shared" si="10"/>
        <v>83.200321720579822</v>
      </c>
      <c r="CC12" s="62">
        <f t="shared" si="11"/>
        <v>350.86698838724652</v>
      </c>
      <c r="CD12" s="62">
        <f ca="1">AVERAGE(OFFSET($CC$3,0,0,'Données projet'!$E$12+1,1))-AVERAGE(OFFSET($H$3,0,0,'Données projet'!$E$12+1,1))</f>
        <v>144.05409916132993</v>
      </c>
      <c r="CE12" s="62">
        <f t="shared" si="40"/>
        <v>409.2784174616832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8.5743589743589759</v>
      </c>
      <c r="CT12" s="13">
        <f>IF('Données projet'!$A$140&gt;35,CT11+CS12-DB11,IF(A12&lt;'Données projet'!$A$140,$CQ$205^A12,IF(A12='Données projet'!$A$140,'Données projet'!$B$140,CT11+CS12-DB11)))</f>
        <v>9.2599572424539804</v>
      </c>
      <c r="CU12" s="18">
        <f>CT12*VLOOKUP('Données projet'!$B$13,Paramètres!$A$1:$I$89,3,0)*VLOOKUP('Données projet'!$B$13,Paramètres!$A$1:$I$89,5,0)</f>
        <v>5.1763160985317747</v>
      </c>
      <c r="CV12" s="14">
        <f t="shared" si="41"/>
        <v>1.969975541875469</v>
      </c>
      <c r="CW12" s="22">
        <f t="shared" si="13"/>
        <v>12.446457940375948</v>
      </c>
      <c r="CX12" s="62">
        <f t="shared" si="14"/>
        <v>280.11312460704261</v>
      </c>
      <c r="CY12" s="62">
        <f ca="1">AVERAGE(OFFSET($CX$3,0,0,'Données projet'!$E$13+1,1))-AVERAGE(OFFSET($H$3,0,0,'Données projet'!$E$13+1,1))</f>
        <v>321.13335003345236</v>
      </c>
      <c r="CZ12" s="62">
        <f t="shared" si="42"/>
        <v>301.26825075712128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2.0085470085470085</v>
      </c>
      <c r="N13" s="14">
        <f>IF('Données projet'!$A$36&gt;35,N12+M13-V12,IF(A13&lt;'Données projet'!$A$36,$K$205^A13,IF(A13='Données projet'!$A$36,'Données projet'!$B$36,N12+M13-V12)))</f>
        <v>9.6823811114971363</v>
      </c>
      <c r="O13" s="14">
        <f>N13*VLOOKUP('Données projet'!$B$9,Paramètres!$A$1:$I$89,3,0)*VLOOKUP('Données projet'!$B$9,Paramètres!$A$1:$I$89,5,0)</f>
        <v>10.120024737736808</v>
      </c>
      <c r="P13" s="14">
        <f t="shared" si="33"/>
        <v>3.5623001055261061</v>
      </c>
      <c r="Q13" s="22">
        <f t="shared" si="2"/>
        <v>23.830049102016243</v>
      </c>
      <c r="R13" s="62">
        <f t="shared" si="0"/>
        <v>292.71893799090509</v>
      </c>
      <c r="S13" s="62">
        <f ca="1">AVERAGE(OFFSET($R$3,0,0,'Données projet'!$E$9+1,1))-AVERAGE(OFFSET($H$3,0,0,'Données projet'!$E$9+1,1))</f>
        <v>493.70175665335978</v>
      </c>
      <c r="T13" s="62">
        <f t="shared" si="34"/>
        <v>325.12357781685949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4.9084615384615384</v>
      </c>
      <c r="AI13" s="14">
        <f>IF('Données projet'!$A$62&gt;35,AI12+AH13-AQ12,IF(A13&lt;'Données projet'!$A$62,$AF$205^A13,IF(A13='Données projet'!$A$62,'Données projet'!$B$62,AI12+AH13-AQ12)))</f>
        <v>5.2806682243912917</v>
      </c>
      <c r="AJ13" s="14">
        <f>AI13*VLOOKUP('Données projet'!$B$10,Paramètres!$A$1:$I$89,3,0)*VLOOKUP('Données projet'!$B$10,Paramètres!$A$1:$I$89,5,0)</f>
        <v>2.4713527290151243</v>
      </c>
      <c r="AK13" s="14">
        <f t="shared" si="35"/>
        <v>1.0250597883345953</v>
      </c>
      <c r="AL13" s="22">
        <f t="shared" si="4"/>
        <v>6.0895851343840945</v>
      </c>
      <c r="AM13" s="62">
        <f t="shared" si="5"/>
        <v>274.97847402327295</v>
      </c>
      <c r="AN13" s="62">
        <f ca="1">AVERAGE(OFFSET($AM$3,0,0,'Données projet'!$E$10+1,1))-AVERAGE(OFFSET($H$3,0,0,'Données projet'!$E$10+1,1))</f>
        <v>284.0976902574692</v>
      </c>
      <c r="AO13" s="62">
        <f t="shared" si="36"/>
        <v>190.4880882944471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428.8489304403459</v>
      </c>
      <c r="BJ13" s="62">
        <f t="shared" si="38"/>
        <v>247.01165577562966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93.84</v>
      </c>
      <c r="BW13" s="13">
        <f>VLOOKUP(A13,'Données projet'!$A$113:$I$133,9,0)</f>
        <v>28.560000000000002</v>
      </c>
      <c r="BX13" s="13">
        <f t="array" ref="BX13">INDEX(BW:BW,MIN(IF(ISNUMBER(BW13:BW209),ROW(BW13:BW209),"")))</f>
        <v>28.560000000000002</v>
      </c>
      <c r="BY13" s="13">
        <f>IF('Données projet'!$A$114&gt;35,BY12+BX13-CG12,IF(A13&lt;'Données projet'!$A$114,$BV$205^A13,IF(A13='Données projet'!$A$114,'Données projet'!$B$114,BY12+BX13-CG12)))</f>
        <v>93.84</v>
      </c>
      <c r="BZ13" s="14">
        <f>BY13*VLOOKUP('Données projet'!$B$12,Paramètres!$A$1:$I$89,3,0)*VLOOKUP('Données projet'!$B$12,Paramètres!$A$1:$I$89,5,0)</f>
        <v>52.700544000000008</v>
      </c>
      <c r="CA13" s="14">
        <f t="shared" si="39"/>
        <v>15.309037457446399</v>
      </c>
      <c r="CB13" s="22">
        <f t="shared" si="10"/>
        <v>118.4500210383858</v>
      </c>
      <c r="CC13" s="62">
        <f t="shared" si="11"/>
        <v>387.33890992727464</v>
      </c>
      <c r="CD13" s="62">
        <f ca="1">AVERAGE(OFFSET($CC$3,0,0,'Données projet'!$E$12+1,1))-AVERAGE(OFFSET($H$3,0,0,'Données projet'!$E$12+1,1))</f>
        <v>144.05409916132993</v>
      </c>
      <c r="CE13" s="62">
        <f t="shared" si="40"/>
        <v>409.2784174616832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8.5743589743589759</v>
      </c>
      <c r="CT13" s="13">
        <f>IF('Données projet'!$A$140&gt;35,CT12+CS13-DB12,IF(A13&lt;'Données projet'!$A$140,$CQ$205^A13,IF(A13='Données projet'!$A$140,'Données projet'!$B$140,CT12+CS13-DB12)))</f>
        <v>11.857959952244427</v>
      </c>
      <c r="CU13" s="18">
        <f>CT13*VLOOKUP('Données projet'!$B$13,Paramètres!$A$1:$I$89,3,0)*VLOOKUP('Données projet'!$B$13,Paramètres!$A$1:$I$89,5,0)</f>
        <v>6.6285996133046341</v>
      </c>
      <c r="CV13" s="14">
        <f t="shared" si="41"/>
        <v>2.4510961962647757</v>
      </c>
      <c r="CW13" s="22">
        <f t="shared" si="13"/>
        <v>15.813803535000055</v>
      </c>
      <c r="CX13" s="62">
        <f t="shared" si="14"/>
        <v>284.70269242388889</v>
      </c>
      <c r="CY13" s="62">
        <f ca="1">AVERAGE(OFFSET($CX$3,0,0,'Données projet'!$E$13+1,1))-AVERAGE(OFFSET($H$3,0,0,'Données projet'!$E$13+1,1))</f>
        <v>321.13335003345236</v>
      </c>
      <c r="CZ13" s="62">
        <f t="shared" si="42"/>
        <v>301.26825075712128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2.0085470085470085</v>
      </c>
      <c r="N14" s="14">
        <f>IF('Données projet'!$A$36&gt;35,N13+M14-V13,IF(A14&lt;'Données projet'!$A$36,$K$205^A14,IF(A14='Données projet'!$A$36,'Données projet'!$B$36,N13+M14-V13)))</f>
        <v>12.150115051435174</v>
      </c>
      <c r="O14" s="14">
        <f>N14*VLOOKUP('Données projet'!$B$9,Paramètres!$A$1:$I$89,3,0)*VLOOKUP('Données projet'!$B$9,Paramètres!$A$1:$I$89,5,0)</f>
        <v>12.699300251760045</v>
      </c>
      <c r="P14" s="14">
        <f t="shared" si="33"/>
        <v>4.3536337239482048</v>
      </c>
      <c r="Q14" s="22">
        <f t="shared" si="2"/>
        <v>29.700526674358532</v>
      </c>
      <c r="R14" s="62">
        <f t="shared" si="0"/>
        <v>299.81163778546966</v>
      </c>
      <c r="S14" s="62">
        <f ca="1">AVERAGE(OFFSET($R$3,0,0,'Données projet'!$E$9+1,1))-AVERAGE(OFFSET($H$3,0,0,'Données projet'!$E$9+1,1))</f>
        <v>493.70175665335978</v>
      </c>
      <c r="T14" s="62">
        <f t="shared" si="34"/>
        <v>325.12357781685949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4.9084615384615384</v>
      </c>
      <c r="AI14" s="14">
        <f>IF('Données projet'!$A$62&gt;35,AI13+AH14-AQ13,IF(A14&lt;'Données projet'!$A$62,$AF$205^A14,IF(A14='Données projet'!$A$62,'Données projet'!$B$62,AI13+AH14-AQ13)))</f>
        <v>6.2367418843040729</v>
      </c>
      <c r="AJ14" s="14">
        <f>AI14*VLOOKUP('Données projet'!$B$10,Paramètres!$A$1:$I$89,3,0)*VLOOKUP('Données projet'!$B$10,Paramètres!$A$1:$I$89,5,0)</f>
        <v>2.9187952018543064</v>
      </c>
      <c r="AK14" s="14">
        <f t="shared" si="35"/>
        <v>1.1874244488629264</v>
      </c>
      <c r="AL14" s="22">
        <f t="shared" si="4"/>
        <v>7.1516658916658464</v>
      </c>
      <c r="AM14" s="62">
        <f t="shared" si="5"/>
        <v>277.262777002777</v>
      </c>
      <c r="AN14" s="62">
        <f ca="1">AVERAGE(OFFSET($AM$3,0,0,'Données projet'!$E$10+1,1))-AVERAGE(OFFSET($H$3,0,0,'Données projet'!$E$10+1,1))</f>
        <v>284.0976902574692</v>
      </c>
      <c r="AO14" s="62">
        <f t="shared" si="36"/>
        <v>190.4880882944471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428.8489304403459</v>
      </c>
      <c r="BJ14" s="62">
        <f t="shared" si="38"/>
        <v>247.01165577562966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>
        <f>VLOOKUP(A14,'Données projet'!$A$113:$I$133,2,0)</f>
        <v>122.4</v>
      </c>
      <c r="BW14" s="13">
        <f>VLOOKUP(A14,'Données projet'!$A$113:$I$133,9,0)</f>
        <v>28.560000000000002</v>
      </c>
      <c r="BX14" s="13">
        <f t="array" ref="BX14">INDEX(BW:BW,MIN(IF(ISNUMBER(BW14:BW210),ROW(BW14:BW210),"")))</f>
        <v>28.560000000000002</v>
      </c>
      <c r="BY14" s="13">
        <f>IF('Données projet'!$A$114&gt;35,BY13+BX14-CG13,IF(A14&lt;'Données projet'!$A$114,$BV$205^A14,IF(A14='Données projet'!$A$114,'Données projet'!$B$114,BY13+BX14-CG13)))</f>
        <v>122.4</v>
      </c>
      <c r="BZ14" s="14">
        <f>BY14*VLOOKUP('Données projet'!$B$12,Paramètres!$A$1:$I$89,3,0)*VLOOKUP('Données projet'!$B$12,Paramètres!$A$1:$I$89,5,0)</f>
        <v>68.739840000000001</v>
      </c>
      <c r="CA14" s="14">
        <f t="shared" si="39"/>
        <v>19.360185332231932</v>
      </c>
      <c r="CB14" s="22">
        <f t="shared" si="10"/>
        <v>153.44087745363728</v>
      </c>
      <c r="CC14" s="62">
        <f t="shared" si="11"/>
        <v>423.5519885647484</v>
      </c>
      <c r="CD14" s="62">
        <f ca="1">AVERAGE(OFFSET($CC$3,0,0,'Données projet'!$E$12+1,1))-AVERAGE(OFFSET($H$3,0,0,'Données projet'!$E$12+1,1))</f>
        <v>144.05409916132993</v>
      </c>
      <c r="CE14" s="62">
        <f t="shared" si="40"/>
        <v>409.2784174616832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8.5743589743589759</v>
      </c>
      <c r="CT14" s="13">
        <f>IF('Données projet'!$A$140&gt;35,CT13+CS14-DB13,IF(A14&lt;'Données projet'!$A$140,$CQ$205^A14,IF(A14='Données projet'!$A$140,'Données projet'!$B$140,CT13+CS14-DB13)))</f>
        <v>15.184866468321752</v>
      </c>
      <c r="CU14" s="18">
        <f>CT14*VLOOKUP('Données projet'!$B$13,Paramètres!$A$1:$I$89,3,0)*VLOOKUP('Données projet'!$B$13,Paramètres!$A$1:$I$89,5,0)</f>
        <v>8.4883403557918609</v>
      </c>
      <c r="CV14" s="14">
        <f t="shared" si="41"/>
        <v>3.0497193673907232</v>
      </c>
      <c r="CW14" s="22">
        <f t="shared" si="13"/>
        <v>20.095454017876332</v>
      </c>
      <c r="CX14" s="62">
        <f t="shared" si="14"/>
        <v>290.20656512898745</v>
      </c>
      <c r="CY14" s="62">
        <f ca="1">AVERAGE(OFFSET($CX$3,0,0,'Données projet'!$E$13+1,1))-AVERAGE(OFFSET($H$3,0,0,'Données projet'!$E$13+1,1))</f>
        <v>321.13335003345236</v>
      </c>
      <c r="CZ14" s="62">
        <f t="shared" si="42"/>
        <v>301.26825075712128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2.0085470085470085</v>
      </c>
      <c r="N15" s="14">
        <f>IF('Données projet'!$A$36&gt;35,N14+M15-V14,IF(A15&lt;'Données projet'!$A$36,$K$205^A15,IF(A15='Données projet'!$A$36,'Données projet'!$B$36,N14+M15-V14)))</f>
        <v>15.246796636399393</v>
      </c>
      <c r="O15" s="14">
        <f>N15*VLOOKUP('Données projet'!$B$9,Paramètres!$A$1:$I$89,3,0)*VLOOKUP('Données projet'!$B$9,Paramètres!$A$1:$I$89,5,0)</f>
        <v>15.935951844364647</v>
      </c>
      <c r="P15" s="14">
        <f t="shared" si="33"/>
        <v>5.3207551415716088</v>
      </c>
      <c r="Q15" s="22">
        <f t="shared" si="2"/>
        <v>37.022098000505643</v>
      </c>
      <c r="R15" s="62">
        <f t="shared" si="0"/>
        <v>308.35543133383896</v>
      </c>
      <c r="S15" s="62">
        <f ca="1">AVERAGE(OFFSET($R$3,0,0,'Données projet'!$E$9+1,1))-AVERAGE(OFFSET($H$3,0,0,'Données projet'!$E$9+1,1))</f>
        <v>493.70175665335978</v>
      </c>
      <c r="T15" s="62">
        <f t="shared" si="34"/>
        <v>325.12357781685949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4.9084615384615384</v>
      </c>
      <c r="AI15" s="14">
        <f>IF('Données projet'!$A$62&gt;35,AI14+AH15-AQ14,IF(A15&lt;'Données projet'!$A$62,$AF$205^A15,IF(A15='Données projet'!$A$62,'Données projet'!$B$62,AI14+AH15-AQ14)))</f>
        <v>7.3659142514897171</v>
      </c>
      <c r="AJ15" s="14">
        <f>AI15*VLOOKUP('Données projet'!$B$10,Paramètres!$A$1:$I$89,3,0)*VLOOKUP('Données projet'!$B$10,Paramètres!$A$1:$I$89,5,0)</f>
        <v>3.447247869697188</v>
      </c>
      <c r="AK15" s="14">
        <f t="shared" si="35"/>
        <v>1.3755069097464061</v>
      </c>
      <c r="AL15" s="22">
        <f t="shared" si="4"/>
        <v>8.3996312408642595</v>
      </c>
      <c r="AM15" s="62">
        <f t="shared" si="5"/>
        <v>279.73296457419758</v>
      </c>
      <c r="AN15" s="62">
        <f ca="1">AVERAGE(OFFSET($AM$3,0,0,'Données projet'!$E$10+1,1))-AVERAGE(OFFSET($H$3,0,0,'Données projet'!$E$10+1,1))</f>
        <v>284.0976902574692</v>
      </c>
      <c r="AO15" s="62">
        <f t="shared" si="36"/>
        <v>190.4880882944471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428.8489304403459</v>
      </c>
      <c r="BJ15" s="62">
        <f t="shared" si="38"/>
        <v>247.01165577562966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153</v>
      </c>
      <c r="BW15" s="13">
        <f>VLOOKUP(A15,'Données projet'!$A$113:$I$133,9,0)</f>
        <v>30.599999999999994</v>
      </c>
      <c r="BX15" s="13">
        <f t="array" ref="BX15">INDEX(BW:BW,MIN(IF(ISNUMBER(BW15:BW211),ROW(BW15:BW211),"")))</f>
        <v>30.599999999999994</v>
      </c>
      <c r="BY15" s="13">
        <f>IF('Données projet'!$A$114&gt;35,BY14+BX15-CG14,IF(A15&lt;'Données projet'!$A$114,$BV$205^A15,IF(A15='Données projet'!$A$114,'Données projet'!$B$114,BY14+BX15-CG14)))</f>
        <v>153</v>
      </c>
      <c r="BZ15" s="14">
        <f>BY15*VLOOKUP('Données projet'!$B$12,Paramètres!$A$1:$I$89,3,0)*VLOOKUP('Données projet'!$B$12,Paramètres!$A$1:$I$89,5,0)</f>
        <v>85.924800000000005</v>
      </c>
      <c r="CA15" s="14">
        <f t="shared" si="39"/>
        <v>23.579750090592171</v>
      </c>
      <c r="CB15" s="22">
        <f t="shared" si="10"/>
        <v>190.7204247411147</v>
      </c>
      <c r="CC15" s="62">
        <f t="shared" si="11"/>
        <v>462.05375807444801</v>
      </c>
      <c r="CD15" s="62">
        <f ca="1">AVERAGE(OFFSET($CC$3,0,0,'Données projet'!$E$12+1,1))-AVERAGE(OFFSET($H$3,0,0,'Données projet'!$E$12+1,1))</f>
        <v>144.05409916132993</v>
      </c>
      <c r="CE15" s="62">
        <f t="shared" si="40"/>
        <v>409.2784174616832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8.5743589743589759</v>
      </c>
      <c r="CT15" s="13">
        <f>IF('Données projet'!$A$140&gt;35,CT14+CS15-DB14,IF(A15&lt;'Données projet'!$A$140,$CQ$205^A15,IF(A15='Données projet'!$A$140,'Données projet'!$B$140,CT14+CS15-DB14)))</f>
        <v>19.445180333664318</v>
      </c>
      <c r="CU15" s="18">
        <f>CT15*VLOOKUP('Données projet'!$B$13,Paramètres!$A$1:$I$89,3,0)*VLOOKUP('Données projet'!$B$13,Paramètres!$A$1:$I$89,5,0)</f>
        <v>10.869855806518354</v>
      </c>
      <c r="CV15" s="14">
        <f t="shared" si="41"/>
        <v>3.7945423088704313</v>
      </c>
      <c r="CW15" s="22">
        <f t="shared" si="13"/>
        <v>25.540493384302135</v>
      </c>
      <c r="CX15" s="62">
        <f t="shared" si="14"/>
        <v>296.87382671763544</v>
      </c>
      <c r="CY15" s="62">
        <f ca="1">AVERAGE(OFFSET($CX$3,0,0,'Données projet'!$E$13+1,1))-AVERAGE(OFFSET($H$3,0,0,'Données projet'!$E$13+1,1))</f>
        <v>321.13335003345236</v>
      </c>
      <c r="CZ15" s="62">
        <f t="shared" si="42"/>
        <v>301.26825075712128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2.0085470085470085</v>
      </c>
      <c r="N16" s="14">
        <f>IF('Données projet'!$A$36&gt;35,N15+M16-V15,IF(A16&lt;'Données projet'!$A$36,$K$205^A16,IF(A16='Données projet'!$A$36,'Données projet'!$B$36,N15+M16-V15)))</f>
        <v>19.132724808582047</v>
      </c>
      <c r="O16" s="14">
        <f>N16*VLOOKUP('Données projet'!$B$9,Paramètres!$A$1:$I$89,3,0)*VLOOKUP('Données projet'!$B$9,Paramètres!$A$1:$I$89,5,0)</f>
        <v>19.997523969929958</v>
      </c>
      <c r="P16" s="14">
        <f t="shared" si="33"/>
        <v>6.5027140709684383</v>
      </c>
      <c r="Q16" s="22">
        <f t="shared" si="2"/>
        <v>46.154581254564704</v>
      </c>
      <c r="R16" s="62">
        <f t="shared" si="0"/>
        <v>318.71013681012028</v>
      </c>
      <c r="S16" s="62">
        <f ca="1">AVERAGE(OFFSET($R$3,0,0,'Données projet'!$E$9+1,1))-AVERAGE(OFFSET($H$3,0,0,'Données projet'!$E$9+1,1))</f>
        <v>493.70175665335978</v>
      </c>
      <c r="T16" s="62">
        <f t="shared" si="34"/>
        <v>325.12357781685949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4.9084615384615384</v>
      </c>
      <c r="AI16" s="14">
        <f>IF('Données projet'!$A$62&gt;35,AI15+AH16-AQ15,IF(A16&lt;'Données projet'!$A$62,$AF$205^A16,IF(A16='Données projet'!$A$62,'Données projet'!$B$62,AI15+AH16-AQ15)))</f>
        <v>8.6995251313584792</v>
      </c>
      <c r="AJ16" s="14">
        <f>AI16*VLOOKUP('Données projet'!$B$10,Paramètres!$A$1:$I$89,3,0)*VLOOKUP('Données projet'!$B$10,Paramètres!$A$1:$I$89,5,0)</f>
        <v>4.0713777614757687</v>
      </c>
      <c r="AK16" s="14">
        <f t="shared" si="35"/>
        <v>1.5933807498842545</v>
      </c>
      <c r="AL16" s="22">
        <f t="shared" si="4"/>
        <v>9.8661210739520406</v>
      </c>
      <c r="AM16" s="62">
        <f t="shared" si="5"/>
        <v>282.4216766295076</v>
      </c>
      <c r="AN16" s="62">
        <f ca="1">AVERAGE(OFFSET($AM$3,0,0,'Données projet'!$E$10+1,1))-AVERAGE(OFFSET($H$3,0,0,'Données projet'!$E$10+1,1))</f>
        <v>284.0976902574692</v>
      </c>
      <c r="AO16" s="62">
        <f t="shared" si="36"/>
        <v>190.4880882944471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428.8489304403459</v>
      </c>
      <c r="BJ16" s="62">
        <f t="shared" si="38"/>
        <v>247.01165577562966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183.6</v>
      </c>
      <c r="BW16" s="13">
        <f>VLOOKUP(A16,'Données projet'!$A$113:$I$133,9,0)</f>
        <v>30.599999999999994</v>
      </c>
      <c r="BX16" s="13">
        <f t="array" ref="BX16">INDEX(BW:BW,MIN(IF(ISNUMBER(BW16:BW212),ROW(BW16:BW212),"")))</f>
        <v>30.599999999999994</v>
      </c>
      <c r="BY16" s="13">
        <f>IF('Données projet'!$A$114&gt;35,BY15+BX16-CG15,IF(A16&lt;'Données projet'!$A$114,$BV$205^A16,IF(A16='Données projet'!$A$114,'Données projet'!$B$114,BY15+BX16-CG15)))</f>
        <v>183.6</v>
      </c>
      <c r="BZ16" s="14">
        <f>BY16*VLOOKUP('Données projet'!$B$12,Paramètres!$A$1:$I$89,3,0)*VLOOKUP('Données projet'!$B$12,Paramètres!$A$1:$I$89,5,0)</f>
        <v>103.10975999999998</v>
      </c>
      <c r="CA16" s="14">
        <f t="shared" si="39"/>
        <v>27.701529389122925</v>
      </c>
      <c r="CB16" s="22">
        <f t="shared" si="10"/>
        <v>227.82966235272238</v>
      </c>
      <c r="CC16" s="62">
        <f t="shared" si="11"/>
        <v>500.38521790827792</v>
      </c>
      <c r="CD16" s="62">
        <f ca="1">AVERAGE(OFFSET($CC$3,0,0,'Données projet'!$E$12+1,1))-AVERAGE(OFFSET($H$3,0,0,'Données projet'!$E$12+1,1))</f>
        <v>144.05409916132993</v>
      </c>
      <c r="CE16" s="62">
        <f t="shared" si="40"/>
        <v>409.2784174616832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8.5743589743589759</v>
      </c>
      <c r="CT16" s="13">
        <f>IF('Données projet'!$A$140&gt;35,CT15+CS16-DB15,IF(A16&lt;'Données projet'!$A$140,$CQ$205^A16,IF(A16='Données projet'!$A$140,'Données projet'!$B$140,CT15+CS16-DB15)))</f>
        <v>24.900781248062909</v>
      </c>
      <c r="CU16" s="18">
        <f>CT16*VLOOKUP('Données projet'!$B$13,Paramètres!$A$1:$I$89,3,0)*VLOOKUP('Données projet'!$B$13,Paramètres!$A$1:$I$89,5,0)</f>
        <v>13.919536717667166</v>
      </c>
      <c r="CV16" s="14">
        <f t="shared" si="41"/>
        <v>4.7212709102893111</v>
      </c>
      <c r="CW16" s="22">
        <f t="shared" si="13"/>
        <v>32.466073285357531</v>
      </c>
      <c r="CX16" s="62">
        <f t="shared" si="14"/>
        <v>305.02162884091308</v>
      </c>
      <c r="CY16" s="62">
        <f ca="1">AVERAGE(OFFSET($CX$3,0,0,'Données projet'!$E$13+1,1))-AVERAGE(OFFSET($H$3,0,0,'Données projet'!$E$13+1,1))</f>
        <v>321.13335003345236</v>
      </c>
      <c r="CZ16" s="62">
        <f t="shared" si="42"/>
        <v>301.26825075712128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2.0085470085470085</v>
      </c>
      <c r="N17" s="14">
        <f>IF('Données projet'!$A$36&gt;35,N16+M17-V16,IF(A17&lt;'Données projet'!$A$36,$K$205^A17,IF(A17='Données projet'!$A$36,'Données projet'!$B$36,N16+M17-V16)))</f>
        <v>24.009053660951697</v>
      </c>
      <c r="O17" s="14">
        <f>N17*VLOOKUP('Données projet'!$B$9,Paramètres!$A$1:$I$89,3,0)*VLOOKUP('Données projet'!$B$9,Paramètres!$A$1:$I$89,5,0)</f>
        <v>25.094262886426712</v>
      </c>
      <c r="P17" s="14">
        <f t="shared" si="33"/>
        <v>7.9472347747017285</v>
      </c>
      <c r="Q17" s="22">
        <f t="shared" si="2"/>
        <v>57.547275093132022</v>
      </c>
      <c r="R17" s="62">
        <f t="shared" si="0"/>
        <v>331.32505287090981</v>
      </c>
      <c r="S17" s="62">
        <f ca="1">AVERAGE(OFFSET($R$3,0,0,'Données projet'!$E$9+1,1))-AVERAGE(OFFSET($H$3,0,0,'Données projet'!$E$9+1,1))</f>
        <v>493.70175665335978</v>
      </c>
      <c r="T17" s="62">
        <f t="shared" si="34"/>
        <v>325.12357781685949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4.9084615384615384</v>
      </c>
      <c r="AI17" s="14">
        <f>IF('Données projet'!$A$62&gt;35,AI16+AH17-AQ16,IF(A17&lt;'Données projet'!$A$62,$AF$205^A17,IF(A17='Données projet'!$A$62,'Données projet'!$B$62,AI16+AH17-AQ16)))</f>
        <v>10.27458845259182</v>
      </c>
      <c r="AJ17" s="14">
        <f>AI17*VLOOKUP('Données projet'!$B$10,Paramètres!$A$1:$I$89,3,0)*VLOOKUP('Données projet'!$B$10,Paramètres!$A$1:$I$89,5,0)</f>
        <v>4.8085073958129714</v>
      </c>
      <c r="AK17" s="14">
        <f t="shared" si="35"/>
        <v>1.8457647839586531</v>
      </c>
      <c r="AL17" s="22">
        <f t="shared" si="4"/>
        <v>11.589524046435578</v>
      </c>
      <c r="AM17" s="62">
        <f t="shared" si="5"/>
        <v>285.36730182421337</v>
      </c>
      <c r="AN17" s="62">
        <f ca="1">AVERAGE(OFFSET($AM$3,0,0,'Données projet'!$E$10+1,1))-AVERAGE(OFFSET($H$3,0,0,'Données projet'!$E$10+1,1))</f>
        <v>284.0976902574692</v>
      </c>
      <c r="AO17" s="62">
        <f t="shared" si="36"/>
        <v>190.4880882944471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428.8489304403459</v>
      </c>
      <c r="BJ17" s="62">
        <f t="shared" si="38"/>
        <v>247.01165577562966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212.16</v>
      </c>
      <c r="BW17" s="13">
        <f>VLOOKUP(A17,'Données projet'!$A$113:$I$133,9,0)</f>
        <v>28.560000000000002</v>
      </c>
      <c r="BX17" s="13">
        <f t="array" ref="BX17">INDEX(BW:BW,MIN(IF(ISNUMBER(BW17:BW213),ROW(BW17:BW213),"")))</f>
        <v>28.560000000000002</v>
      </c>
      <c r="BY17" s="13">
        <f>IF('Données projet'!$A$114&gt;35,BY16+BX17-CG16,IF(A17&lt;'Données projet'!$A$114,$BV$205^A17,IF(A17='Données projet'!$A$114,'Données projet'!$B$114,BY16+BX17-CG16)))</f>
        <v>212.16</v>
      </c>
      <c r="BZ17" s="14">
        <f>BY17*VLOOKUP('Données projet'!$B$12,Paramètres!$A$1:$I$89,3,0)*VLOOKUP('Données projet'!$B$12,Paramètres!$A$1:$I$89,5,0)</f>
        <v>119.149056</v>
      </c>
      <c r="CA17" s="14">
        <f t="shared" si="39"/>
        <v>31.476448453652193</v>
      </c>
      <c r="CB17" s="22">
        <f t="shared" si="10"/>
        <v>262.33942025677754</v>
      </c>
      <c r="CC17" s="62">
        <f t="shared" si="11"/>
        <v>536.11719803455526</v>
      </c>
      <c r="CD17" s="62">
        <f ca="1">AVERAGE(OFFSET($CC$3,0,0,'Données projet'!$E$12+1,1))-AVERAGE(OFFSET($H$3,0,0,'Données projet'!$E$12+1,1))</f>
        <v>144.05409916132993</v>
      </c>
      <c r="CE17" s="62">
        <f t="shared" si="40"/>
        <v>409.2784174616832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8.5743589743589759</v>
      </c>
      <c r="CT17" s="13">
        <f>IF('Données projet'!$A$140&gt;35,CT16+CS17-DB16,IF(A17&lt;'Données projet'!$A$140,$CQ$205^A17,IF(A17='Données projet'!$A$140,'Données projet'!$B$140,CT16+CS17-DB16)))</f>
        <v>31.88702270302047</v>
      </c>
      <c r="CU17" s="18">
        <f>CT17*VLOOKUP('Données projet'!$B$13,Paramètres!$A$1:$I$89,3,0)*VLOOKUP('Données projet'!$B$13,Paramètres!$A$1:$I$89,5,0)</f>
        <v>17.824845690988443</v>
      </c>
      <c r="CV17" s="14">
        <f t="shared" si="41"/>
        <v>5.8743313933372665</v>
      </c>
      <c r="CW17" s="22">
        <f t="shared" si="13"/>
        <v>41.27606675520061</v>
      </c>
      <c r="CX17" s="62">
        <f t="shared" si="14"/>
        <v>315.05384453297836</v>
      </c>
      <c r="CY17" s="62">
        <f ca="1">AVERAGE(OFFSET($CX$3,0,0,'Données projet'!$E$13+1,1))-AVERAGE(OFFSET($H$3,0,0,'Données projet'!$E$13+1,1))</f>
        <v>321.13335003345236</v>
      </c>
      <c r="CZ17" s="62">
        <f t="shared" si="42"/>
        <v>301.26825075712128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30.128205128205128</v>
      </c>
      <c r="L18" s="13">
        <f>VLOOKUP(A18,'Données projet'!$A$35:$I$55,9,0)</f>
        <v>2.0085470085470085</v>
      </c>
      <c r="M18" s="13">
        <f t="array" ref="M18">INDEX(L:L,MIN(IF(ISNUMBER(L18:L214),ROW(L18:L214),"")))</f>
        <v>2.0085470085470085</v>
      </c>
      <c r="N18" s="14">
        <f>IF('Données projet'!$A$36&gt;35,N17+M18-V17,IF(A18&lt;'Données projet'!$A$36,$K$205^A18,IF(A18='Données projet'!$A$36,'Données projet'!$B$36,N17+M18-V17)))</f>
        <v>30.128205128205128</v>
      </c>
      <c r="O18" s="14">
        <f>N18*VLOOKUP('Données projet'!$B$9,Paramètres!$A$1:$I$89,3,0)*VLOOKUP('Données projet'!$B$9,Paramètres!$A$1:$I$89,5,0)</f>
        <v>31.490000000000006</v>
      </c>
      <c r="P18" s="14">
        <f t="shared" si="33"/>
        <v>9.7126430402655597</v>
      </c>
      <c r="Q18" s="22">
        <f t="shared" si="2"/>
        <v>71.761269961795847</v>
      </c>
      <c r="R18" s="62">
        <f t="shared" si="0"/>
        <v>346.76126996179585</v>
      </c>
      <c r="S18" s="62">
        <f ca="1">AVERAGE(OFFSET($R$3,0,0,'Données projet'!$E$9+1,1))-AVERAGE(OFFSET($H$3,0,0,'Données projet'!$E$9+1,1))</f>
        <v>493.70175665335978</v>
      </c>
      <c r="T18" s="62">
        <f t="shared" si="34"/>
        <v>325.12357781685949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4.9084615384615384</v>
      </c>
      <c r="AI18" s="14">
        <f>IF('Données projet'!$A$62&gt;35,AI17+AH18-AQ17,IF(A18&lt;'Données projet'!$A$62,$AF$205^A18,IF(A18='Données projet'!$A$62,'Données projet'!$B$62,AI17+AH18-AQ17)))</f>
        <v>12.134819576485119</v>
      </c>
      <c r="AJ18" s="14">
        <f>AI18*VLOOKUP('Données projet'!$B$10,Paramètres!$A$1:$I$89,3,0)*VLOOKUP('Données projet'!$B$10,Paramètres!$A$1:$I$89,5,0)</f>
        <v>5.6790955617950356</v>
      </c>
      <c r="AK18" s="14">
        <f t="shared" si="35"/>
        <v>2.1381252647550886</v>
      </c>
      <c r="AL18" s="22">
        <f t="shared" si="4"/>
        <v>13.614992939574798</v>
      </c>
      <c r="AM18" s="62">
        <f t="shared" si="5"/>
        <v>288.61499293957479</v>
      </c>
      <c r="AN18" s="62">
        <f ca="1">AVERAGE(OFFSET($AM$3,0,0,'Données projet'!$E$10+1,1))-AVERAGE(OFFSET($H$3,0,0,'Données projet'!$E$10+1,1))</f>
        <v>284.0976902574692</v>
      </c>
      <c r="AO18" s="62">
        <f t="shared" si="36"/>
        <v>190.4880882944471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428.8489304403459</v>
      </c>
      <c r="BJ18" s="62">
        <f t="shared" si="38"/>
        <v>247.01165577562966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240.72</v>
      </c>
      <c r="BW18" s="13">
        <f>VLOOKUP(A18,'Données projet'!$A$113:$I$133,9,0)</f>
        <v>28.560000000000002</v>
      </c>
      <c r="BX18" s="13">
        <f t="array" ref="BX18">INDEX(BW:BW,MIN(IF(ISNUMBER(BW18:BW214),ROW(BW18:BW214),"")))</f>
        <v>28.560000000000002</v>
      </c>
      <c r="BY18" s="13">
        <f>IF('Données projet'!$A$114&gt;35,BY17+BX18-CG17,IF(A18&lt;'Données projet'!$A$114,$BV$205^A18,IF(A18='Données projet'!$A$114,'Données projet'!$B$114,BY17+BX18-CG17)))</f>
        <v>240.72</v>
      </c>
      <c r="BZ18" s="14">
        <f>BY18*VLOOKUP('Données projet'!$B$12,Paramètres!$A$1:$I$89,3,0)*VLOOKUP('Données projet'!$B$12,Paramètres!$A$1:$I$89,5,0)</f>
        <v>135.18835200000001</v>
      </c>
      <c r="CA18" s="14">
        <f t="shared" si="39"/>
        <v>35.192490921283031</v>
      </c>
      <c r="CB18" s="22">
        <f t="shared" si="10"/>
        <v>296.74663475456794</v>
      </c>
      <c r="CC18" s="62">
        <f t="shared" si="11"/>
        <v>571.74663475456794</v>
      </c>
      <c r="CD18" s="62">
        <f ca="1">AVERAGE(OFFSET($CC$3,0,0,'Données projet'!$E$12+1,1))-AVERAGE(OFFSET($H$3,0,0,'Données projet'!$E$12+1,1))</f>
        <v>144.05409916132993</v>
      </c>
      <c r="CE18" s="62">
        <f t="shared" si="40"/>
        <v>409.2784174616832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8.5743589743589759</v>
      </c>
      <c r="CT18" s="13">
        <f>IF('Données projet'!$A$140&gt;35,CT17+CS18-DB17,IF(A18&lt;'Données projet'!$A$140,$CQ$205^A18,IF(A18='Données projet'!$A$140,'Données projet'!$B$140,CT17+CS18-DB17)))</f>
        <v>40.833346019697316</v>
      </c>
      <c r="CU18" s="18">
        <f>CT18*VLOOKUP('Données projet'!$B$13,Paramètres!$A$1:$I$89,3,0)*VLOOKUP('Données projet'!$B$13,Paramètres!$A$1:$I$89,5,0)</f>
        <v>22.825840425010803</v>
      </c>
      <c r="CV18" s="14">
        <f t="shared" si="41"/>
        <v>7.3090000498686072</v>
      </c>
      <c r="CW18" s="22">
        <f t="shared" si="13"/>
        <v>52.484847160414972</v>
      </c>
      <c r="CX18" s="62">
        <f t="shared" si="14"/>
        <v>327.48484716041497</v>
      </c>
      <c r="CY18" s="62">
        <f ca="1">AVERAGE(OFFSET($CX$3,0,0,'Données projet'!$E$13+1,1))-AVERAGE(OFFSET($H$3,0,0,'Données projet'!$E$13+1,1))</f>
        <v>321.13335003345236</v>
      </c>
      <c r="CZ18" s="62">
        <f t="shared" si="42"/>
        <v>301.26825075712128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5.7692307692307683</v>
      </c>
      <c r="N19" s="14">
        <f>IF('Données projet'!$A$36&gt;35,N18+M19-V18,IF(A19&lt;'Données projet'!$A$36,$K$205^A19,IF(A19='Données projet'!$A$36,'Données projet'!$B$36,N18+M19-V18)))</f>
        <v>35.897435897435898</v>
      </c>
      <c r="O19" s="14">
        <f>N19*VLOOKUP('Données projet'!$B$9,Paramètres!$A$1:$I$89,3,0)*VLOOKUP('Données projet'!$B$9,Paramètres!$A$1:$I$89,5,0)</f>
        <v>37.520000000000003</v>
      </c>
      <c r="P19" s="14">
        <f t="shared" si="33"/>
        <v>11.338894152047692</v>
      </c>
      <c r="Q19" s="22">
        <f t="shared" si="2"/>
        <v>85.095907314816401</v>
      </c>
      <c r="R19" s="62">
        <f t="shared" si="0"/>
        <v>361.31812953703866</v>
      </c>
      <c r="S19" s="62">
        <f ca="1">AVERAGE(OFFSET($R$3,0,0,'Données projet'!$E$9+1,1))-AVERAGE(OFFSET($H$3,0,0,'Données projet'!$E$9+1,1))</f>
        <v>493.70175665335978</v>
      </c>
      <c r="T19" s="62">
        <f t="shared" si="34"/>
        <v>325.12357781685949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4.9084615384615384</v>
      </c>
      <c r="AI19" s="14">
        <f>IF('Données projet'!$A$62&gt;35,AI18+AH19-AQ18,IF(A19&lt;'Données projet'!$A$62,$AF$205^A19,IF(A19='Données projet'!$A$62,'Données projet'!$B$62,AI18+AH19-AQ18)))</f>
        <v>14.331848602335111</v>
      </c>
      <c r="AJ19" s="14">
        <f>AI19*VLOOKUP('Données projet'!$B$10,Paramètres!$A$1:$I$89,3,0)*VLOOKUP('Données projet'!$B$10,Paramètres!$A$1:$I$89,5,0)</f>
        <v>6.7073051458928319</v>
      </c>
      <c r="AK19" s="14">
        <f t="shared" si="35"/>
        <v>2.4767942738506736</v>
      </c>
      <c r="AL19" s="22">
        <f t="shared" si="4"/>
        <v>15.995639822719939</v>
      </c>
      <c r="AM19" s="62">
        <f t="shared" si="5"/>
        <v>292.21786204494219</v>
      </c>
      <c r="AN19" s="62">
        <f ca="1">AVERAGE(OFFSET($AM$3,0,0,'Données projet'!$E$10+1,1))-AVERAGE(OFFSET($H$3,0,0,'Données projet'!$E$10+1,1))</f>
        <v>284.0976902574692</v>
      </c>
      <c r="AO19" s="62">
        <f t="shared" si="36"/>
        <v>190.4880882944471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428.8489304403459</v>
      </c>
      <c r="BJ19" s="62">
        <f t="shared" si="38"/>
        <v>247.01165577562966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267.24</v>
      </c>
      <c r="BW19" s="13">
        <f>VLOOKUP(A19,'Données projet'!$A$113:$I$133,9,0)</f>
        <v>26.52000000000001</v>
      </c>
      <c r="BX19" s="13">
        <f t="array" ref="BX19">INDEX(BW:BW,MIN(IF(ISNUMBER(BW19:BW215),ROW(BW19:BW215),"")))</f>
        <v>26.52000000000001</v>
      </c>
      <c r="BY19" s="13">
        <f>IF('Données projet'!$A$114&gt;35,BY18+BX19-CG18,IF(A19&lt;'Données projet'!$A$114,$BV$205^A19,IF(A19='Données projet'!$A$114,'Données projet'!$B$114,BY18+BX19-CG18)))</f>
        <v>267.24</v>
      </c>
      <c r="BZ19" s="14">
        <f>BY19*VLOOKUP('Données projet'!$B$12,Paramètres!$A$1:$I$89,3,0)*VLOOKUP('Données projet'!$B$12,Paramètres!$A$1:$I$89,5,0)</f>
        <v>150.08198400000001</v>
      </c>
      <c r="CA19" s="14">
        <f t="shared" si="39"/>
        <v>38.597216186509343</v>
      </c>
      <c r="CB19" s="22">
        <f t="shared" si="10"/>
        <v>328.61627365817043</v>
      </c>
      <c r="CC19" s="62">
        <f t="shared" si="11"/>
        <v>604.83849588039266</v>
      </c>
      <c r="CD19" s="62">
        <f ca="1">AVERAGE(OFFSET($CC$3,0,0,'Données projet'!$E$12+1,1))-AVERAGE(OFFSET($H$3,0,0,'Données projet'!$E$12+1,1))</f>
        <v>144.05409916132993</v>
      </c>
      <c r="CE19" s="62">
        <f t="shared" si="40"/>
        <v>409.2784174616832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8.5743589743589759</v>
      </c>
      <c r="CT19" s="13">
        <f>IF('Données projet'!$A$140&gt;35,CT18+CS19-DB18,IF(A19&lt;'Données projet'!$A$140,$CQ$205^A19,IF(A19='Données projet'!$A$140,'Données projet'!$B$140,CT18+CS19-DB18)))</f>
        <v>52.289677926136108</v>
      </c>
      <c r="CU19" s="18">
        <f>CT19*VLOOKUP('Données projet'!$B$13,Paramètres!$A$1:$I$89,3,0)*VLOOKUP('Données projet'!$B$13,Paramètres!$A$1:$I$89,5,0)</f>
        <v>29.229929960710084</v>
      </c>
      <c r="CV19" s="14">
        <f t="shared" si="41"/>
        <v>9.0940531188911979</v>
      </c>
      <c r="CW19" s="22">
        <f t="shared" si="13"/>
        <v>66.747603863638901</v>
      </c>
      <c r="CX19" s="62">
        <f t="shared" si="14"/>
        <v>342.96982608586114</v>
      </c>
      <c r="CY19" s="62">
        <f ca="1">AVERAGE(OFFSET($CX$3,0,0,'Données projet'!$E$13+1,1))-AVERAGE(OFFSET($H$3,0,0,'Données projet'!$E$13+1,1))</f>
        <v>321.13335003345236</v>
      </c>
      <c r="CZ19" s="62">
        <f t="shared" si="42"/>
        <v>301.26825075712128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5.7692307692307683</v>
      </c>
      <c r="N20" s="14">
        <f>IF('Données projet'!$A$36&gt;35,N19+M20-V19,IF(A20&lt;'Données projet'!$A$36,$K$205^A20,IF(A20='Données projet'!$A$36,'Données projet'!$B$36,N19+M20-V19)))</f>
        <v>41.666666666666664</v>
      </c>
      <c r="O20" s="14">
        <f>N20*VLOOKUP('Données projet'!$B$9,Paramètres!$A$1:$I$89,3,0)*VLOOKUP('Données projet'!$B$9,Paramètres!$A$1:$I$89,5,0)</f>
        <v>43.550000000000004</v>
      </c>
      <c r="P20" s="14">
        <f t="shared" si="33"/>
        <v>12.934868040345785</v>
      </c>
      <c r="Q20" s="22">
        <f t="shared" si="2"/>
        <v>98.377811836935564</v>
      </c>
      <c r="R20" s="62">
        <f t="shared" si="0"/>
        <v>375.82225628138002</v>
      </c>
      <c r="S20" s="62">
        <f ca="1">AVERAGE(OFFSET($R$3,0,0,'Données projet'!$E$9+1,1))-AVERAGE(OFFSET($H$3,0,0,'Données projet'!$E$9+1,1))</f>
        <v>493.70175665335978</v>
      </c>
      <c r="T20" s="62">
        <f t="shared" si="34"/>
        <v>325.12357781685949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4.9084615384615384</v>
      </c>
      <c r="AI20" s="14">
        <f>IF('Données projet'!$A$62&gt;35,AI19+AH20-AQ19,IF(A20&lt;'Données projet'!$A$62,$AF$205^A20,IF(A20='Données projet'!$A$62,'Données projet'!$B$62,AI19+AH20-AQ19)))</f>
        <v>16.926653343761537</v>
      </c>
      <c r="AJ20" s="14">
        <f>AI20*VLOOKUP('Données projet'!$B$10,Paramètres!$A$1:$I$89,3,0)*VLOOKUP('Données projet'!$B$10,Paramètres!$A$1:$I$89,5,0)</f>
        <v>7.9216737648803992</v>
      </c>
      <c r="AK20" s="14">
        <f t="shared" si="35"/>
        <v>2.8691068648319642</v>
      </c>
      <c r="AL20" s="22">
        <f t="shared" si="4"/>
        <v>18.793942930082366</v>
      </c>
      <c r="AM20" s="62">
        <f t="shared" si="5"/>
        <v>296.23838737452684</v>
      </c>
      <c r="AN20" s="62">
        <f ca="1">AVERAGE(OFFSET($AM$3,0,0,'Données projet'!$E$10+1,1))-AVERAGE(OFFSET($H$3,0,0,'Données projet'!$E$10+1,1))</f>
        <v>284.0976902574692</v>
      </c>
      <c r="AO20" s="62">
        <f t="shared" si="36"/>
        <v>190.4880882944471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428.8489304403459</v>
      </c>
      <c r="BJ20" s="62">
        <f t="shared" si="38"/>
        <v>247.01165577562966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293.76</v>
      </c>
      <c r="BW20" s="13">
        <f>VLOOKUP(A20,'Données projet'!$A$113:$I$133,9,0)</f>
        <v>26.519999999999982</v>
      </c>
      <c r="BX20" s="13">
        <f t="array" ref="BX20">INDEX(BW:BW,MIN(IF(ISNUMBER(BW20:BW216),ROW(BW20:BW216),"")))</f>
        <v>26.519999999999982</v>
      </c>
      <c r="BY20" s="13">
        <f>IF('Données projet'!$A$114&gt;35,BY19+BX20-CG19,IF(A20&lt;'Données projet'!$A$114,$BV$205^A20,IF(A20='Données projet'!$A$114,'Données projet'!$B$114,BY19+BX20-CG19)))</f>
        <v>293.76</v>
      </c>
      <c r="BZ20" s="14">
        <f>BY20*VLOOKUP('Données projet'!$B$12,Paramètres!$A$1:$I$89,3,0)*VLOOKUP('Données projet'!$B$12,Paramètres!$A$1:$I$89,5,0)</f>
        <v>164.975616</v>
      </c>
      <c r="CA20" s="14">
        <f t="shared" si="39"/>
        <v>41.962771446564737</v>
      </c>
      <c r="CB20" s="22">
        <f t="shared" si="10"/>
        <v>360.41769146943358</v>
      </c>
      <c r="CC20" s="62">
        <f t="shared" si="11"/>
        <v>637.86213591387809</v>
      </c>
      <c r="CD20" s="62">
        <f ca="1">AVERAGE(OFFSET($CC$3,0,0,'Données projet'!$E$12+1,1))-AVERAGE(OFFSET($H$3,0,0,'Données projet'!$E$12+1,1))</f>
        <v>144.05409916132993</v>
      </c>
      <c r="CE20" s="62">
        <f t="shared" si="40"/>
        <v>409.2784174616832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8.5743589743589759</v>
      </c>
      <c r="CT20" s="13">
        <f>IF('Données projet'!$A$140&gt;35,CT19+CS20-DB19,IF(A20&lt;'Données projet'!$A$140,$CQ$205^A20,IF(A20='Données projet'!$A$140,'Données projet'!$B$140,CT19+CS20-DB19)))</f>
        <v>66.960234321725892</v>
      </c>
      <c r="CU20" s="18">
        <f>CT20*VLOOKUP('Données projet'!$B$13,Paramètres!$A$1:$I$89,3,0)*VLOOKUP('Données projet'!$B$13,Paramètres!$A$1:$I$89,5,0)</f>
        <v>37.430770985844774</v>
      </c>
      <c r="CV20" s="14">
        <f t="shared" si="41"/>
        <v>11.315063834306788</v>
      </c>
      <c r="CW20" s="22">
        <f t="shared" si="13"/>
        <v>84.898995645097301</v>
      </c>
      <c r="CX20" s="62">
        <f t="shared" si="14"/>
        <v>362.34344008954179</v>
      </c>
      <c r="CY20" s="62">
        <f ca="1">AVERAGE(OFFSET($CX$3,0,0,'Données projet'!$E$13+1,1))-AVERAGE(OFFSET($H$3,0,0,'Données projet'!$E$13+1,1))</f>
        <v>321.13335003345236</v>
      </c>
      <c r="CZ20" s="62">
        <f t="shared" si="42"/>
        <v>301.26825075712128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5.7692307692307683</v>
      </c>
      <c r="N21" s="14">
        <f>IF('Données projet'!$A$36&gt;35,N20+M21-V20,IF(A21&lt;'Données projet'!$A$36,$K$205^A21,IF(A21='Données projet'!$A$36,'Données projet'!$B$36,N20+M21-V20)))</f>
        <v>47.435897435897431</v>
      </c>
      <c r="O21" s="14">
        <f>N21*VLOOKUP('Données projet'!$B$9,Paramètres!$A$1:$I$89,3,0)*VLOOKUP('Données projet'!$B$9,Paramètres!$A$1:$I$89,5,0)</f>
        <v>49.58</v>
      </c>
      <c r="P21" s="14">
        <f t="shared" si="33"/>
        <v>14.505239638165149</v>
      </c>
      <c r="Q21" s="22">
        <f t="shared" si="2"/>
        <v>111.61512570313762</v>
      </c>
      <c r="R21" s="62">
        <f t="shared" si="0"/>
        <v>390.28179236980429</v>
      </c>
      <c r="S21" s="62">
        <f ca="1">AVERAGE(OFFSET($R$3,0,0,'Données projet'!$E$9+1,1))-AVERAGE(OFFSET($H$3,0,0,'Données projet'!$E$9+1,1))</f>
        <v>493.70175665335978</v>
      </c>
      <c r="T21" s="62">
        <f t="shared" si="34"/>
        <v>325.12357781685949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4.9084615384615384</v>
      </c>
      <c r="AI21" s="14">
        <f>IF('Données projet'!$A$62&gt;35,AI20+AH21-AQ20,IF(A21&lt;'Données projet'!$A$62,$AF$205^A21,IF(A21='Données projet'!$A$62,'Données projet'!$B$62,AI20+AH21-AQ20)))</f>
        <v>19.991251747746755</v>
      </c>
      <c r="AJ21" s="14">
        <f>AI21*VLOOKUP('Données projet'!$B$10,Paramètres!$A$1:$I$89,3,0)*VLOOKUP('Données projet'!$B$10,Paramètres!$A$1:$I$89,5,0)</f>
        <v>9.3559058179454802</v>
      </c>
      <c r="AK21" s="14">
        <f t="shared" si="35"/>
        <v>3.3235599293549551</v>
      </c>
      <c r="AL21" s="22">
        <f t="shared" si="4"/>
        <v>22.083402843214927</v>
      </c>
      <c r="AM21" s="62">
        <f t="shared" si="5"/>
        <v>300.7500695098816</v>
      </c>
      <c r="AN21" s="62">
        <f ca="1">AVERAGE(OFFSET($AM$3,0,0,'Données projet'!$E$10+1,1))-AVERAGE(OFFSET($H$3,0,0,'Données projet'!$E$10+1,1))</f>
        <v>284.0976902574692</v>
      </c>
      <c r="AO21" s="62">
        <f t="shared" si="36"/>
        <v>190.4880882944471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428.8489304403459</v>
      </c>
      <c r="BJ21" s="62">
        <f t="shared" si="38"/>
        <v>247.01165577562966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316.2</v>
      </c>
      <c r="BW21" s="13">
        <f>VLOOKUP(A21,'Données projet'!$A$113:$I$133,9,0)</f>
        <v>22.439999999999998</v>
      </c>
      <c r="BX21" s="13">
        <f t="array" ref="BX21">INDEX(BW:BW,MIN(IF(ISNUMBER(BW21:BW217),ROW(BW21:BW217),"")))</f>
        <v>22.439999999999998</v>
      </c>
      <c r="BY21" s="13">
        <f>IF('Données projet'!$A$114&gt;35,BY20+BX21-CG20,IF(A21&lt;'Données projet'!$A$114,$BV$205^A21,IF(A21='Données projet'!$A$114,'Données projet'!$B$114,BY20+BX21-CG20)))</f>
        <v>316.2</v>
      </c>
      <c r="BZ21" s="14">
        <f>BY21*VLOOKUP('Données projet'!$B$12,Paramètres!$A$1:$I$89,3,0)*VLOOKUP('Données projet'!$B$12,Paramètres!$A$1:$I$89,5,0)</f>
        <v>177.57792000000001</v>
      </c>
      <c r="CA21" s="14">
        <f t="shared" si="39"/>
        <v>44.782893853597976</v>
      </c>
      <c r="CB21" s="22">
        <f t="shared" si="10"/>
        <v>387.27841746168315</v>
      </c>
      <c r="CC21" s="62">
        <f t="shared" si="11"/>
        <v>665.94508412834989</v>
      </c>
      <c r="CD21" s="62">
        <f ca="1">AVERAGE(OFFSET($CC$3,0,0,'Données projet'!$E$12+1,1))-AVERAGE(OFFSET($H$3,0,0,'Données projet'!$E$12+1,1))</f>
        <v>144.05409916132993</v>
      </c>
      <c r="CE21" s="62">
        <f t="shared" si="40"/>
        <v>409.2784174616832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316.2</v>
      </c>
      <c r="CH21" s="17">
        <f>IF(ISNA(VLOOKUP(A21,'Données projet'!$A$113:$I$133,5,0)),0%,VLOOKUP(A21,'Données projet'!$A$113:$I$133,5,0)*VLOOKUP('Données projet'!$B$12,Paramètres!$A$1:$I$89,7,0))</f>
        <v>0.46799999999999997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91.871737129725616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91.871737129725616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8.5743589743589759</v>
      </c>
      <c r="CT21" s="13">
        <f>IF('Données projet'!$A$140&gt;35,CT20+CS21-DB20,IF(A21&lt;'Données projet'!$A$140,$CQ$205^A21,IF(A21='Données projet'!$A$140,'Données projet'!$B$140,CT20+CS21-DB20)))</f>
        <v>85.746808132075927</v>
      </c>
      <c r="CU21" s="18">
        <f>CT21*VLOOKUP('Données projet'!$B$13,Paramètres!$A$1:$I$89,3,0)*VLOOKUP('Données projet'!$B$13,Paramètres!$A$1:$I$89,5,0)</f>
        <v>47.932465745830442</v>
      </c>
      <c r="CV21" s="14">
        <f t="shared" si="41"/>
        <v>14.078504699788656</v>
      </c>
      <c r="CW21" s="22">
        <f t="shared" si="13"/>
        <v>108.00244019278658</v>
      </c>
      <c r="CX21" s="62">
        <f t="shared" si="14"/>
        <v>386.66910685945328</v>
      </c>
      <c r="CY21" s="62">
        <f ca="1">AVERAGE(OFFSET($CX$3,0,0,'Données projet'!$E$13+1,1))-AVERAGE(OFFSET($H$3,0,0,'Données projet'!$E$13+1,1))</f>
        <v>321.13335003345236</v>
      </c>
      <c r="CZ21" s="62">
        <f t="shared" si="42"/>
        <v>301.26825075712128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5.7692307692307683</v>
      </c>
      <c r="N22" s="14">
        <f>IF('Données projet'!$A$36&gt;35,N21+M22-V21,IF(A22&lt;'Données projet'!$A$36,$K$205^A22,IF(A22='Données projet'!$A$36,'Données projet'!$B$36,N21+M22-V21)))</f>
        <v>53.205128205128197</v>
      </c>
      <c r="O22" s="14">
        <f>N22*VLOOKUP('Données projet'!$B$9,Paramètres!$A$1:$I$89,3,0)*VLOOKUP('Données projet'!$B$9,Paramètres!$A$1:$I$89,5,0)</f>
        <v>55.61</v>
      </c>
      <c r="P22" s="14">
        <f t="shared" si="33"/>
        <v>16.053478951715945</v>
      </c>
      <c r="Q22" s="22">
        <f t="shared" si="2"/>
        <v>124.81389250757191</v>
      </c>
      <c r="R22" s="62">
        <f t="shared" si="0"/>
        <v>404.70278139646075</v>
      </c>
      <c r="S22" s="62">
        <f ca="1">AVERAGE(OFFSET($R$3,0,0,'Données projet'!$E$9+1,1))-AVERAGE(OFFSET($H$3,0,0,'Données projet'!$E$9+1,1))</f>
        <v>493.70175665335978</v>
      </c>
      <c r="T22" s="62">
        <f t="shared" si="34"/>
        <v>325.12357781685949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4.9084615384615384</v>
      </c>
      <c r="AI22" s="14">
        <f>IF('Données projet'!$A$62&gt;35,AI21+AH22-AQ21,IF(A22&lt;'Données projet'!$A$62,$AF$205^A22,IF(A22='Données projet'!$A$62,'Données projet'!$B$62,AI21+AH22-AQ21)))</f>
        <v>23.610700728923604</v>
      </c>
      <c r="AJ22" s="14">
        <f>AI22*VLOOKUP('Données projet'!$B$10,Paramètres!$A$1:$I$89,3,0)*VLOOKUP('Données projet'!$B$10,Paramètres!$A$1:$I$89,5,0)</f>
        <v>11.049807941136248</v>
      </c>
      <c r="AK22" s="14">
        <f t="shared" si="35"/>
        <v>3.8499962268435248</v>
      </c>
      <c r="AL22" s="22">
        <f t="shared" si="4"/>
        <v>25.950492259231435</v>
      </c>
      <c r="AM22" s="62">
        <f t="shared" si="5"/>
        <v>305.83938114812031</v>
      </c>
      <c r="AN22" s="62">
        <f ca="1">AVERAGE(OFFSET($AM$3,0,0,'Données projet'!$E$10+1,1))-AVERAGE(OFFSET($H$3,0,0,'Données projet'!$E$10+1,1))</f>
        <v>284.0976902574692</v>
      </c>
      <c r="AO22" s="62">
        <f t="shared" si="36"/>
        <v>190.4880882944471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428.8489304403459</v>
      </c>
      <c r="BJ22" s="62">
        <f t="shared" si="38"/>
        <v>247.01165577562966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144.05409916132993</v>
      </c>
      <c r="CE22" s="62">
        <f t="shared" si="40"/>
        <v>409.2784174616832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90.070188400838234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90.070188400838234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8.5743589743589759</v>
      </c>
      <c r="CT22" s="13">
        <f>IF('Données projet'!$A$140&gt;35,CT21+CS22-DB21,IF(A22&lt;'Données projet'!$A$140,$CQ$205^A22,IF(A22='Données projet'!$A$140,'Données projet'!$B$140,CT21+CS22-DB21)))</f>
        <v>109.80420214051502</v>
      </c>
      <c r="CU22" s="18">
        <f>CT22*VLOOKUP('Données projet'!$B$13,Paramètres!$A$1:$I$89,3,0)*VLOOKUP('Données projet'!$B$13,Paramètres!$A$1:$I$89,5,0)</f>
        <v>61.380548996547894</v>
      </c>
      <c r="CV22" s="14">
        <f t="shared" si="41"/>
        <v>17.516851648775006</v>
      </c>
      <c r="CW22" s="22">
        <f t="shared" si="13"/>
        <v>137.41297279060404</v>
      </c>
      <c r="CX22" s="62">
        <f t="shared" si="14"/>
        <v>417.3018616794929</v>
      </c>
      <c r="CY22" s="62">
        <f ca="1">AVERAGE(OFFSET($CX$3,0,0,'Données projet'!$E$13+1,1))-AVERAGE(OFFSET($H$3,0,0,'Données projet'!$E$13+1,1))</f>
        <v>321.13335003345236</v>
      </c>
      <c r="CZ22" s="62">
        <f t="shared" si="42"/>
        <v>301.26825075712128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58.974358974358971</v>
      </c>
      <c r="L23" s="13">
        <f>VLOOKUP(A23,'Données projet'!$A$35:$I$55,9,0)</f>
        <v>5.7692307692307683</v>
      </c>
      <c r="M23" s="13">
        <f t="array" ref="M23">INDEX(L:L,MIN(IF(ISNUMBER(L23:L219),ROW(L23:L219),"")))</f>
        <v>5.7692307692307683</v>
      </c>
      <c r="N23" s="14">
        <f>IF('Données projet'!$A$36&gt;35,N22+M23-V22,IF(A23&lt;'Données projet'!$A$36,$K$205^A23,IF(A23='Données projet'!$A$36,'Données projet'!$B$36,N22+M23-V22)))</f>
        <v>58.974358974358964</v>
      </c>
      <c r="O23" s="14">
        <f>N23*VLOOKUP('Données projet'!$B$9,Paramètres!$A$1:$I$89,3,0)*VLOOKUP('Données projet'!$B$9,Paramètres!$A$1:$I$89,5,0)</f>
        <v>61.64</v>
      </c>
      <c r="P23" s="14">
        <f t="shared" si="33"/>
        <v>17.582259466632539</v>
      </c>
      <c r="Q23" s="22">
        <f t="shared" si="2"/>
        <v>137.97876857105169</v>
      </c>
      <c r="R23" s="62">
        <f t="shared" si="0"/>
        <v>419.08987968216286</v>
      </c>
      <c r="S23" s="62">
        <f ca="1">AVERAGE(OFFSET($R$3,0,0,'Données projet'!$E$9+1,1))-AVERAGE(OFFSET($H$3,0,0,'Données projet'!$E$9+1,1))</f>
        <v>493.70175665335978</v>
      </c>
      <c r="T23" s="62">
        <f t="shared" si="34"/>
        <v>325.12357781685949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4.9084615384615384</v>
      </c>
      <c r="AI23" s="14">
        <f>IF('Données projet'!$A$62&gt;35,AI22+AH23-AQ22,IF(A23&lt;'Données projet'!$A$62,$AF$205^A23,IF(A23='Données projet'!$A$62,'Données projet'!$B$62,AI22+AH23-AQ22)))</f>
        <v>27.885456896095882</v>
      </c>
      <c r="AJ23" s="14">
        <f>AI23*VLOOKUP('Données projet'!$B$10,Paramètres!$A$1:$I$89,3,0)*VLOOKUP('Données projet'!$B$10,Paramètres!$A$1:$I$89,5,0)</f>
        <v>13.050393827372874</v>
      </c>
      <c r="AK23" s="14">
        <f t="shared" si="35"/>
        <v>4.459817563628576</v>
      </c>
      <c r="AL23" s="22">
        <f t="shared" si="4"/>
        <v>30.49695150599419</v>
      </c>
      <c r="AM23" s="62">
        <f t="shared" si="5"/>
        <v>311.60806261710536</v>
      </c>
      <c r="AN23" s="62">
        <f ca="1">AVERAGE(OFFSET($AM$3,0,0,'Données projet'!$E$10+1,1))-AVERAGE(OFFSET($H$3,0,0,'Données projet'!$E$10+1,1))</f>
        <v>284.0976902574692</v>
      </c>
      <c r="AO23" s="62">
        <f t="shared" si="36"/>
        <v>190.4880882944471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428.8489304403459</v>
      </c>
      <c r="BJ23" s="62">
        <f t="shared" si="38"/>
        <v>247.01165577562966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144.05409916132993</v>
      </c>
      <c r="CE23" s="62">
        <f t="shared" si="40"/>
        <v>409.2784174616832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88.30396694368811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88.30396694368811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8.5743589743589759</v>
      </c>
      <c r="CT23" s="13">
        <f>IF('Données projet'!$A$140&gt;35,CT22+CS23-DB22,IF(A23&lt;'Données projet'!$A$140,$CQ$205^A23,IF(A23='Données projet'!$A$140,'Données projet'!$B$140,CT22+CS23-DB22)))</f>
        <v>140.61121422903264</v>
      </c>
      <c r="CU23" s="18">
        <f>CT23*VLOOKUP('Données projet'!$B$13,Paramètres!$A$1:$I$89,3,0)*VLOOKUP('Données projet'!$B$13,Paramètres!$A$1:$I$89,5,0)</f>
        <v>78.601668754029248</v>
      </c>
      <c r="CV23" s="14">
        <f t="shared" si="41"/>
        <v>21.794934776688162</v>
      </c>
      <c r="CW23" s="22">
        <f t="shared" si="13"/>
        <v>174.8574178159995</v>
      </c>
      <c r="CX23" s="62">
        <f t="shared" si="14"/>
        <v>455.96852892711064</v>
      </c>
      <c r="CY23" s="62">
        <f ca="1">AVERAGE(OFFSET($CX$3,0,0,'Données projet'!$E$13+1,1))-AVERAGE(OFFSET($H$3,0,0,'Données projet'!$E$13+1,1))</f>
        <v>321.13335003345236</v>
      </c>
      <c r="CZ23" s="62">
        <f t="shared" si="42"/>
        <v>301.26825075712128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6.5384615384615374</v>
      </c>
      <c r="N24" s="14">
        <f>IF('Données projet'!$A$36&gt;35,N23+M24-V23,IF(A24&lt;'Données projet'!$A$36,$K$205^A24,IF(A24='Données projet'!$A$36,'Données projet'!$B$36,N23+M24-V23)))</f>
        <v>65.512820512820497</v>
      </c>
      <c r="O24" s="14">
        <f>N24*VLOOKUP('Données projet'!$B$9,Paramètres!$A$1:$I$89,3,0)*VLOOKUP('Données projet'!$B$9,Paramètres!$A$1:$I$89,5,0)</f>
        <v>68.47399999999999</v>
      </c>
      <c r="P24" s="14">
        <f t="shared" si="33"/>
        <v>19.294013233443497</v>
      </c>
      <c r="Q24" s="22">
        <f t="shared" si="2"/>
        <v>152.8626230482474</v>
      </c>
      <c r="R24" s="62">
        <f t="shared" si="0"/>
        <v>435.19595638158069</v>
      </c>
      <c r="S24" s="62">
        <f ca="1">AVERAGE(OFFSET($R$3,0,0,'Données projet'!$E$9+1,1))-AVERAGE(OFFSET($H$3,0,0,'Données projet'!$E$9+1,1))</f>
        <v>493.70175665335978</v>
      </c>
      <c r="T24" s="62">
        <f t="shared" si="34"/>
        <v>325.12357781685949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4.9084615384615384</v>
      </c>
      <c r="AI24" s="14">
        <f>IF('Données projet'!$A$62&gt;35,AI23+AH24-AQ23,IF(A24&lt;'Données projet'!$A$62,$AF$205^A24,IF(A24='Données projet'!$A$62,'Données projet'!$B$62,AI23+AH24-AQ23)))</f>
        <v>32.934164692174789</v>
      </c>
      <c r="AJ24" s="14">
        <f>AI24*VLOOKUP('Données projet'!$B$10,Paramètres!$A$1:$I$89,3,0)*VLOOKUP('Données projet'!$B$10,Paramètres!$A$1:$I$89,5,0)</f>
        <v>15.413189075937803</v>
      </c>
      <c r="AK24" s="14">
        <f t="shared" si="35"/>
        <v>5.166231738662507</v>
      </c>
      <c r="AL24" s="22">
        <f t="shared" si="4"/>
        <v>35.842491252095542</v>
      </c>
      <c r="AM24" s="62">
        <f t="shared" si="5"/>
        <v>318.17582458542887</v>
      </c>
      <c r="AN24" s="62">
        <f ca="1">AVERAGE(OFFSET($AM$3,0,0,'Données projet'!$E$10+1,1))-AVERAGE(OFFSET($H$3,0,0,'Données projet'!$E$10+1,1))</f>
        <v>284.0976902574692</v>
      </c>
      <c r="AO24" s="62">
        <f t="shared" si="36"/>
        <v>190.4880882944471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379.65226125630295</v>
      </c>
      <c r="BI24" s="62">
        <f ca="1">AVERAGE(OFFSET($BH$3,0,0,'Données projet'!$E$11+1,1))-AVERAGE(OFFSET($H$3,0,0,'Données projet'!$E$11+1,1))</f>
        <v>428.8489304403459</v>
      </c>
      <c r="BJ24" s="62">
        <f t="shared" si="38"/>
        <v>247.01165577562966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144.05409916132993</v>
      </c>
      <c r="CE24" s="62">
        <f t="shared" si="40"/>
        <v>409.2784174616832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86.572380012023984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86.572380012023984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>
        <f>VLOOKUP(A24,'Données projet'!$A$139:$I$159,2,0)</f>
        <v>180.06153846153848</v>
      </c>
      <c r="CR24" s="13">
        <f>VLOOKUP(A24,'Données projet'!$A$139:$I$159,9,0)</f>
        <v>8.5743589743589759</v>
      </c>
      <c r="CS24" s="13">
        <f t="array" ref="CS24">INDEX(CR:CR,MIN(IF(ISNUMBER(CR24:CR220),ROW(CR24:CR220),"")))</f>
        <v>8.5743589743589759</v>
      </c>
      <c r="CT24" s="13">
        <f>IF('Données projet'!$A$140&gt;35,CT23+CS24-DB23,IF(A24&lt;'Données projet'!$A$140,$CQ$205^A24,IF(A24='Données projet'!$A$140,'Données projet'!$B$140,CT23+CS24-DB23)))</f>
        <v>180.06153846153848</v>
      </c>
      <c r="CU24" s="18">
        <f>CT24*VLOOKUP('Données projet'!$B$13,Paramètres!$A$1:$I$89,3,0)*VLOOKUP('Données projet'!$B$13,Paramètres!$A$1:$I$89,5,0)</f>
        <v>100.65440000000001</v>
      </c>
      <c r="CV24" s="14">
        <f t="shared" si="41"/>
        <v>27.117840091618859</v>
      </c>
      <c r="CW24" s="22">
        <f t="shared" si="13"/>
        <v>222.53665149290285</v>
      </c>
      <c r="CX24" s="62">
        <f t="shared" si="14"/>
        <v>504.86998482623619</v>
      </c>
      <c r="CY24" s="62">
        <f ca="1">AVERAGE(OFFSET($CX$3,0,0,'Données projet'!$E$13+1,1))-AVERAGE(OFFSET($H$3,0,0,'Données projet'!$E$13+1,1))</f>
        <v>321.13335003345236</v>
      </c>
      <c r="CZ24" s="62">
        <f t="shared" si="42"/>
        <v>301.26825075712128</v>
      </c>
      <c r="DA24" s="16">
        <f>IF(ISNA(VLOOKUP(A24,'Données projet'!$A$139:$I$159,3,0)),0,VLOOKUP(A24,'Données projet'!$A$139:$I$159,3,0))</f>
        <v>1</v>
      </c>
      <c r="DB24" s="16">
        <f>IF(ISNA(VLOOKUP(A24,'Données projet'!$A$139:$I$159,4,0)),0,VLOOKUP(A24,'Données projet'!$A$139:$I$159,4,0))</f>
        <v>61.169230769230765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0.27500000000000002</v>
      </c>
      <c r="DE24" s="17">
        <f>IF(ISNA(VLOOKUP(A24,'Données projet'!$A$139:$I$159,7,0)),0%,VLOOKUP(A24,'Données projet'!$A$139:$I$159,7,0))</f>
        <v>0.5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12.424889043448148</v>
      </c>
      <c r="DH24" s="23">
        <f>EXP(-LN(2)/2)*DH23+(1-EXP(-LN(2)/2))/(LN(2)/2)*DB24*DE24*VLOOKUP('Données projet'!$B$13,Paramètres!$A$1:$I$89,3,0)*0.475*44/12</f>
        <v>19.357549144350479</v>
      </c>
      <c r="DI24" s="24">
        <f t="shared" si="15"/>
        <v>31.782438187798626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6.5384615384615374</v>
      </c>
      <c r="N25" s="14">
        <f>IF('Données projet'!$A$36&gt;35,N24+M25-V24,IF(A25&lt;'Données projet'!$A$36,$K$205^A25,IF(A25='Données projet'!$A$36,'Données projet'!$B$36,N24+M25-V24)))</f>
        <v>72.05128205128203</v>
      </c>
      <c r="O25" s="14">
        <f>N25*VLOOKUP('Données projet'!$B$9,Paramètres!$A$1:$I$89,3,0)*VLOOKUP('Données projet'!$B$9,Paramètres!$A$1:$I$89,5,0)</f>
        <v>75.307999999999979</v>
      </c>
      <c r="P25" s="14">
        <f t="shared" si="33"/>
        <v>20.985961565400835</v>
      </c>
      <c r="Q25" s="22">
        <f t="shared" si="2"/>
        <v>167.71198305973977</v>
      </c>
      <c r="R25" s="62">
        <f t="shared" si="0"/>
        <v>451.26753861529528</v>
      </c>
      <c r="S25" s="62">
        <f ca="1">AVERAGE(OFFSET($R$3,0,0,'Données projet'!$E$9+1,1))-AVERAGE(OFFSET($H$3,0,0,'Données projet'!$E$9+1,1))</f>
        <v>493.70175665335978</v>
      </c>
      <c r="T25" s="62">
        <f t="shared" si="34"/>
        <v>325.12357781685949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4.9084615384615384</v>
      </c>
      <c r="AI25" s="14">
        <f>IF('Données projet'!$A$62&gt;35,AI24+AH25-AQ24,IF(A25&lt;'Données projet'!$A$62,$AF$205^A25,IF(A25='Données projet'!$A$62,'Données projet'!$B$62,AI24+AH25-AQ24)))</f>
        <v>38.896949331432715</v>
      </c>
      <c r="AJ25" s="14">
        <f>AI25*VLOOKUP('Données projet'!$B$10,Paramètres!$A$1:$I$89,3,0)*VLOOKUP('Données projet'!$B$10,Paramètres!$A$1:$I$89,5,0)</f>
        <v>18.20377228711051</v>
      </c>
      <c r="AK25" s="14">
        <f t="shared" si="35"/>
        <v>5.9845386042761088</v>
      </c>
      <c r="AL25" s="22">
        <f t="shared" si="4"/>
        <v>42.127974802498365</v>
      </c>
      <c r="AM25" s="62">
        <f t="shared" si="5"/>
        <v>325.68353035805393</v>
      </c>
      <c r="AN25" s="62">
        <f ca="1">AVERAGE(OFFSET($AM$3,0,0,'Données projet'!$E$10+1,1))-AVERAGE(OFFSET($H$3,0,0,'Données projet'!$E$10+1,1))</f>
        <v>284.0976902574692</v>
      </c>
      <c r="AO25" s="62">
        <f t="shared" si="36"/>
        <v>190.4880882944471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392.00305746847613</v>
      </c>
      <c r="BI25" s="62">
        <f ca="1">AVERAGE(OFFSET($BH$3,0,0,'Données projet'!$E$11+1,1))-AVERAGE(OFFSET($H$3,0,0,'Données projet'!$E$11+1,1))</f>
        <v>428.8489304403459</v>
      </c>
      <c r="BJ25" s="62">
        <f t="shared" si="38"/>
        <v>247.01165577562966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144.05409916132993</v>
      </c>
      <c r="CE25" s="62">
        <f t="shared" si="40"/>
        <v>409.2784174616832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84.874748443926052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84.874748443926052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16.695604395604395</v>
      </c>
      <c r="CT25" s="13">
        <f>IF('Données projet'!$A$140&gt;35,CT24+CS25-DB24,IF(A25&lt;'Données projet'!$A$140,$CQ$205^A25,IF(A25='Données projet'!$A$140,'Données projet'!$B$140,CT24+CS25-DB24)))</f>
        <v>135.58791208791212</v>
      </c>
      <c r="CU25" s="18">
        <f>CT25*VLOOKUP('Données projet'!$B$13,Paramètres!$A$1:$I$89,3,0)*VLOOKUP('Données projet'!$B$13,Paramètres!$A$1:$I$89,5,0)</f>
        <v>75.793642857142871</v>
      </c>
      <c r="CV25" s="14">
        <f t="shared" si="41"/>
        <v>21.105497321503712</v>
      </c>
      <c r="CW25" s="22">
        <f t="shared" si="13"/>
        <v>168.76600247780945</v>
      </c>
      <c r="CX25" s="62">
        <f t="shared" si="14"/>
        <v>452.32155803336502</v>
      </c>
      <c r="CY25" s="62">
        <f ca="1">AVERAGE(OFFSET($CX$3,0,0,'Données projet'!$E$13+1,1))-AVERAGE(OFFSET($H$3,0,0,'Données projet'!$E$13+1,1))</f>
        <v>321.13335003345236</v>
      </c>
      <c r="CZ25" s="62">
        <f t="shared" si="42"/>
        <v>301.26825075712128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12.085129799158542</v>
      </c>
      <c r="DH25" s="23">
        <f>EXP(-LN(2)/2)*DH24+(1-EXP(-LN(2)/2))/(LN(2)/2)*DB25*DE25*VLOOKUP('Données projet'!$B$13,Paramètres!$A$1:$I$89,3,0)*0.475*44/12</f>
        <v>13.687854267122075</v>
      </c>
      <c r="DI25" s="24">
        <f t="shared" si="15"/>
        <v>25.772984066280618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6.5384615384615374</v>
      </c>
      <c r="N26" s="14">
        <f>IF('Données projet'!$A$36&gt;35,N25+M26-V25,IF(A26&lt;'Données projet'!$A$36,$K$205^A26,IF(A26='Données projet'!$A$36,'Données projet'!$B$36,N25+M26-V25)))</f>
        <v>78.589743589743563</v>
      </c>
      <c r="O26" s="14">
        <f>N26*VLOOKUP('Données projet'!$B$9,Paramètres!$A$1:$I$89,3,0)*VLOOKUP('Données projet'!$B$9,Paramètres!$A$1:$I$89,5,0)</f>
        <v>82.141999999999982</v>
      </c>
      <c r="P26" s="14">
        <f t="shared" si="33"/>
        <v>22.660106151503225</v>
      </c>
      <c r="Q26" s="22">
        <f t="shared" si="2"/>
        <v>182.53033488053475</v>
      </c>
      <c r="R26" s="62">
        <f t="shared" si="0"/>
        <v>467.30811265831255</v>
      </c>
      <c r="S26" s="62">
        <f ca="1">AVERAGE(OFFSET($R$3,0,0,'Données projet'!$E$9+1,1))-AVERAGE(OFFSET($H$3,0,0,'Données projet'!$E$9+1,1))</f>
        <v>493.70175665335978</v>
      </c>
      <c r="T26" s="62">
        <f t="shared" si="34"/>
        <v>325.12357781685949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4.9084615384615384</v>
      </c>
      <c r="AI26" s="14">
        <f>IF('Données projet'!$A$62&gt;35,AI25+AH26-AQ25,IF(A26&lt;'Données projet'!$A$62,$AF$205^A26,IF(A26='Données projet'!$A$62,'Données projet'!$B$62,AI25+AH26-AQ25)))</f>
        <v>45.939305928458197</v>
      </c>
      <c r="AJ26" s="14">
        <f>AI26*VLOOKUP('Données projet'!$B$10,Paramètres!$A$1:$I$89,3,0)*VLOOKUP('Données projet'!$B$10,Paramètres!$A$1:$I$89,5,0)</f>
        <v>21.499595174518436</v>
      </c>
      <c r="AK26" s="14">
        <f t="shared" si="35"/>
        <v>6.9324614376170377</v>
      </c>
      <c r="AL26" s="22">
        <f t="shared" si="4"/>
        <v>49.51916526613595</v>
      </c>
      <c r="AM26" s="62">
        <f t="shared" si="5"/>
        <v>334.2969430439137</v>
      </c>
      <c r="AN26" s="62">
        <f ca="1">AVERAGE(OFFSET($AM$3,0,0,'Données projet'!$E$10+1,1))-AVERAGE(OFFSET($H$3,0,0,'Données projet'!$E$10+1,1))</f>
        <v>284.0976902574692</v>
      </c>
      <c r="AO26" s="62">
        <f t="shared" si="36"/>
        <v>190.4880882944471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404.32574406333623</v>
      </c>
      <c r="BI26" s="62">
        <f ca="1">AVERAGE(OFFSET($BH$3,0,0,'Données projet'!$E$11+1,1))-AVERAGE(OFFSET($H$3,0,0,'Données projet'!$E$11+1,1))</f>
        <v>428.8489304403459</v>
      </c>
      <c r="BJ26" s="62">
        <f t="shared" si="38"/>
        <v>247.01165577562966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144.05409916132993</v>
      </c>
      <c r="CE26" s="62">
        <f t="shared" si="40"/>
        <v>409.2784174616832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83.210406395425494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83.210406395425494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16.695604395604395</v>
      </c>
      <c r="CT26" s="13">
        <f>IF('Données projet'!$A$140&gt;35,CT25+CS26-DB25,IF(A26&lt;'Données projet'!$A$140,$CQ$205^A26,IF(A26='Données projet'!$A$140,'Données projet'!$B$140,CT25+CS26-DB25)))</f>
        <v>152.28351648351651</v>
      </c>
      <c r="CU26" s="18">
        <f>CT26*VLOOKUP('Données projet'!$B$13,Paramètres!$A$1:$I$89,3,0)*VLOOKUP('Données projet'!$B$13,Paramètres!$A$1:$I$89,5,0)</f>
        <v>85.126485714285721</v>
      </c>
      <c r="CV26" s="14">
        <f t="shared" si="41"/>
        <v>23.386069605974605</v>
      </c>
      <c r="CW26" s="22">
        <f t="shared" si="13"/>
        <v>188.99270051612007</v>
      </c>
      <c r="CX26" s="62">
        <f t="shared" si="14"/>
        <v>473.77047829389784</v>
      </c>
      <c r="CY26" s="62">
        <f ca="1">AVERAGE(OFFSET($CX$3,0,0,'Données projet'!$E$13+1,1))-AVERAGE(OFFSET($H$3,0,0,'Données projet'!$E$13+1,1))</f>
        <v>321.13335003345236</v>
      </c>
      <c r="CZ26" s="62">
        <f t="shared" si="42"/>
        <v>301.26825075712128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11.754661289271196</v>
      </c>
      <c r="DH26" s="23">
        <f>EXP(-LN(2)/2)*DH25+(1-EXP(-LN(2)/2))/(LN(2)/2)*DB26*DE26*VLOOKUP('Données projet'!$B$13,Paramètres!$A$1:$I$89,3,0)*0.475*44/12</f>
        <v>9.6787745721752412</v>
      </c>
      <c r="DI26" s="24">
        <f t="shared" si="15"/>
        <v>21.433435861446437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6.5384615384615374</v>
      </c>
      <c r="N27" s="14">
        <f>IF('Données projet'!$A$36&gt;35,N26+M27-V26,IF(A27&lt;'Données projet'!$A$36,$K$205^A27,IF(A27='Données projet'!$A$36,'Données projet'!$B$36,N26+M27-V26)))</f>
        <v>85.128205128205096</v>
      </c>
      <c r="O27" s="14">
        <f>N27*VLOOKUP('Données projet'!$B$9,Paramètres!$A$1:$I$89,3,0)*VLOOKUP('Données projet'!$B$9,Paramètres!$A$1:$I$89,5,0)</f>
        <v>88.975999999999971</v>
      </c>
      <c r="P27" s="14">
        <f t="shared" si="33"/>
        <v>24.318096618795476</v>
      </c>
      <c r="Q27" s="22">
        <f t="shared" si="2"/>
        <v>197.32055161106871</v>
      </c>
      <c r="R27" s="62">
        <f t="shared" si="0"/>
        <v>483.32055161106871</v>
      </c>
      <c r="S27" s="62">
        <f ca="1">AVERAGE(OFFSET($R$3,0,0,'Données projet'!$E$9+1,1))-AVERAGE(OFFSET($H$3,0,0,'Données projet'!$E$9+1,1))</f>
        <v>493.70175665335978</v>
      </c>
      <c r="T27" s="62">
        <f t="shared" si="34"/>
        <v>325.12357781685949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4.9084615384615384</v>
      </c>
      <c r="AI27" s="14">
        <f>IF('Données projet'!$A$62&gt;35,AI26+AH27-AQ26,IF(A27&lt;'Données projet'!$A$62,$AF$205^A27,IF(A27='Données projet'!$A$62,'Données projet'!$B$62,AI26+AH27-AQ26)))</f>
        <v>54.256692760299323</v>
      </c>
      <c r="AJ27" s="14">
        <f>AI27*VLOOKUP('Données projet'!$B$10,Paramètres!$A$1:$I$89,3,0)*VLOOKUP('Données projet'!$B$10,Paramètres!$A$1:$I$89,5,0)</f>
        <v>25.392132211820083</v>
      </c>
      <c r="AK27" s="14">
        <f t="shared" si="35"/>
        <v>8.0305307997692346</v>
      </c>
      <c r="AL27" s="22">
        <f t="shared" si="4"/>
        <v>58.211138078518069</v>
      </c>
      <c r="AM27" s="62">
        <f t="shared" si="5"/>
        <v>344.21113807851805</v>
      </c>
      <c r="AN27" s="62">
        <f ca="1">AVERAGE(OFFSET($AM$3,0,0,'Données projet'!$E$10+1,1))-AVERAGE(OFFSET($H$3,0,0,'Données projet'!$E$10+1,1))</f>
        <v>284.0976902574692</v>
      </c>
      <c r="AO27" s="62">
        <f t="shared" si="36"/>
        <v>190.4880882944471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416.62330272297186</v>
      </c>
      <c r="BI27" s="62">
        <f ca="1">AVERAGE(OFFSET($BH$3,0,0,'Données projet'!$E$11+1,1))-AVERAGE(OFFSET($H$3,0,0,'Données projet'!$E$11+1,1))</f>
        <v>428.8489304403459</v>
      </c>
      <c r="BJ27" s="62">
        <f t="shared" si="38"/>
        <v>247.01165577562966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144.05409916132993</v>
      </c>
      <c r="CE27" s="62">
        <f t="shared" si="40"/>
        <v>409.2784174616832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81.578701079347624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81.578701079347624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16.695604395604395</v>
      </c>
      <c r="CT27" s="13">
        <f>IF('Données projet'!$A$140&gt;35,CT26+CS27-DB26,IF(A27&lt;'Données projet'!$A$140,$CQ$205^A27,IF(A27='Données projet'!$A$140,'Données projet'!$B$140,CT26+CS27-DB26)))</f>
        <v>168.9791208791209</v>
      </c>
      <c r="CU27" s="18">
        <f>CT27*VLOOKUP('Données projet'!$B$13,Paramètres!$A$1:$I$89,3,0)*VLOOKUP('Données projet'!$B$13,Paramètres!$A$1:$I$89,5,0)</f>
        <v>94.4593285714286</v>
      </c>
      <c r="CV27" s="14">
        <f t="shared" si="41"/>
        <v>25.637662026687128</v>
      </c>
      <c r="CW27" s="22">
        <f t="shared" si="13"/>
        <v>209.16892529171821</v>
      </c>
      <c r="CX27" s="62">
        <f t="shared" si="14"/>
        <v>495.16892529171821</v>
      </c>
      <c r="CY27" s="62">
        <f ca="1">AVERAGE(OFFSET($CX$3,0,0,'Données projet'!$E$13+1,1))-AVERAGE(OFFSET($H$3,0,0,'Données projet'!$E$13+1,1))</f>
        <v>321.13335003345236</v>
      </c>
      <c r="CZ27" s="62">
        <f t="shared" si="42"/>
        <v>301.26825075712128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11.433229458165304</v>
      </c>
      <c r="DH27" s="23">
        <f>EXP(-LN(2)/2)*DH26+(1-EXP(-LN(2)/2))/(LN(2)/2)*DB27*DE27*VLOOKUP('Données projet'!$B$13,Paramètres!$A$1:$I$89,3,0)*0.475*44/12</f>
        <v>6.8439271335610385</v>
      </c>
      <c r="DI27" s="24">
        <f t="shared" si="15"/>
        <v>18.277156591726342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91.666666666666657</v>
      </c>
      <c r="L28" s="13">
        <f>VLOOKUP(A28,'Données projet'!$A$35:$I$55,9,0)</f>
        <v>6.5384615384615374</v>
      </c>
      <c r="M28" s="13">
        <f t="array" ref="M28">INDEX(L:L,MIN(IF(ISNUMBER(L28:L224),ROW(L28:L224),"")))</f>
        <v>6.5384615384615374</v>
      </c>
      <c r="N28" s="14">
        <f>IF('Données projet'!$A$36&gt;35,N27+M28-V27,IF(A28&lt;'Données projet'!$A$36,$K$205^A28,IF(A28='Données projet'!$A$36,'Données projet'!$B$36,N27+M28-V27)))</f>
        <v>91.666666666666629</v>
      </c>
      <c r="O28" s="14">
        <f>N28*VLOOKUP('Données projet'!$B$9,Paramètres!$A$1:$I$89,3,0)*VLOOKUP('Données projet'!$B$9,Paramètres!$A$1:$I$89,5,0)</f>
        <v>95.80999999999996</v>
      </c>
      <c r="P28" s="14">
        <f t="shared" si="33"/>
        <v>25.961314793499493</v>
      </c>
      <c r="Q28" s="22">
        <f t="shared" si="2"/>
        <v>212.08503993201154</v>
      </c>
      <c r="R28" s="62">
        <f t="shared" si="0"/>
        <v>499.30726215423374</v>
      </c>
      <c r="S28" s="62">
        <f ca="1">AVERAGE(OFFSET($R$3,0,0,'Données projet'!$E$9+1,1))-AVERAGE(OFFSET($H$3,0,0,'Données projet'!$E$9+1,1))</f>
        <v>493.70175665335978</v>
      </c>
      <c r="T28" s="62">
        <f t="shared" si="34"/>
        <v>325.12357781685949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4.9084615384615384</v>
      </c>
      <c r="AI28" s="14">
        <f>IF('Données projet'!$A$62&gt;35,AI27+AH28-AQ27,IF(A28&lt;'Données projet'!$A$62,$AF$205^A28,IF(A28='Données projet'!$A$62,'Données projet'!$B$62,AI27+AH28-AQ27)))</f>
        <v>64.079956146266369</v>
      </c>
      <c r="AJ28" s="14">
        <f>AI28*VLOOKUP('Données projet'!$B$10,Paramètres!$A$1:$I$89,3,0)*VLOOKUP('Données projet'!$B$10,Paramètres!$A$1:$I$89,5,0)</f>
        <v>29.98941947645266</v>
      </c>
      <c r="AK28" s="14">
        <f t="shared" si="35"/>
        <v>9.3025291963556676</v>
      </c>
      <c r="AL28" s="22">
        <f t="shared" si="4"/>
        <v>68.433477271807831</v>
      </c>
      <c r="AM28" s="62">
        <f t="shared" si="5"/>
        <v>355.65569949403005</v>
      </c>
      <c r="AN28" s="62">
        <f ca="1">AVERAGE(OFFSET($AM$3,0,0,'Données projet'!$E$10+1,1))-AVERAGE(OFFSET($H$3,0,0,'Données projet'!$E$10+1,1))</f>
        <v>284.0976902574692</v>
      </c>
      <c r="AO28" s="62">
        <f t="shared" si="36"/>
        <v>190.4880882944471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428.8489304403459</v>
      </c>
      <c r="BJ28" s="62">
        <f t="shared" si="38"/>
        <v>247.01165577562966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144.05409916132993</v>
      </c>
      <c r="CE28" s="62">
        <f t="shared" si="40"/>
        <v>409.2784174616832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79.978992509276068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79.978992509276068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16.695604395604395</v>
      </c>
      <c r="CT28" s="13">
        <f>IF('Données projet'!$A$140&gt;35,CT27+CS28-DB27,IF(A28&lt;'Données projet'!$A$140,$CQ$205^A28,IF(A28='Données projet'!$A$140,'Données projet'!$B$140,CT27+CS28-DB27)))</f>
        <v>185.67472527472529</v>
      </c>
      <c r="CU28" s="18">
        <f>CT28*VLOOKUP('Données projet'!$B$13,Paramètres!$A$1:$I$89,3,0)*VLOOKUP('Données projet'!$B$13,Paramètres!$A$1:$I$89,5,0)</f>
        <v>103.79217142857145</v>
      </c>
      <c r="CV28" s="14">
        <f t="shared" si="41"/>
        <v>27.863463769694558</v>
      </c>
      <c r="CW28" s="22">
        <f t="shared" si="13"/>
        <v>229.3002313036466</v>
      </c>
      <c r="CX28" s="62">
        <f t="shared" si="14"/>
        <v>516.52245352586885</v>
      </c>
      <c r="CY28" s="62">
        <f ca="1">AVERAGE(OFFSET($CX$3,0,0,'Données projet'!$E$13+1,1))-AVERAGE(OFFSET($H$3,0,0,'Données projet'!$E$13+1,1))</f>
        <v>321.13335003345236</v>
      </c>
      <c r="CZ28" s="62">
        <f t="shared" si="42"/>
        <v>301.26825075712128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11.120587197384367</v>
      </c>
      <c r="DH28" s="23">
        <f>EXP(-LN(2)/2)*DH27+(1-EXP(-LN(2)/2))/(LN(2)/2)*DB28*DE28*VLOOKUP('Données projet'!$B$13,Paramètres!$A$1:$I$89,3,0)*0.475*44/12</f>
        <v>4.8393872860876206</v>
      </c>
      <c r="DI28" s="24">
        <f t="shared" si="15"/>
        <v>15.959974483471989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6.7948717948717956</v>
      </c>
      <c r="N29" s="14">
        <f>IF('Données projet'!$A$36&gt;35,N28+M29-V28,IF(A29&lt;'Données projet'!$A$36,$K$205^A29,IF(A29='Données projet'!$A$36,'Données projet'!$B$36,N28+M29-V28)))</f>
        <v>98.461538461538424</v>
      </c>
      <c r="O29" s="14">
        <f>N29*VLOOKUP('Données projet'!$B$9,Paramètres!$A$1:$I$89,3,0)*VLOOKUP('Données projet'!$B$9,Paramètres!$A$1:$I$89,5,0)</f>
        <v>102.91199999999996</v>
      </c>
      <c r="P29" s="14">
        <f t="shared" si="33"/>
        <v>27.65457819507073</v>
      </c>
      <c r="Q29" s="22">
        <f t="shared" si="2"/>
        <v>227.40345702308142</v>
      </c>
      <c r="R29" s="62">
        <f t="shared" si="0"/>
        <v>515.84790146752584</v>
      </c>
      <c r="S29" s="62">
        <f ca="1">AVERAGE(OFFSET($R$3,0,0,'Données projet'!$E$9+1,1))-AVERAGE(OFFSET($H$3,0,0,'Données projet'!$E$9+1,1))</f>
        <v>493.70175665335978</v>
      </c>
      <c r="T29" s="62">
        <f t="shared" si="34"/>
        <v>325.12357781685949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4.9084615384615384</v>
      </c>
      <c r="AI29" s="14">
        <f>IF('Données projet'!$A$62&gt;35,AI28+AH29-AQ28,IF(A29&lt;'Données projet'!$A$62,$AF$205^A29,IF(A29='Données projet'!$A$62,'Données projet'!$B$62,AI28+AH29-AQ28)))</f>
        <v>75.681737511137769</v>
      </c>
      <c r="AJ29" s="14">
        <f>AI29*VLOOKUP('Données projet'!$B$10,Paramètres!$A$1:$I$89,3,0)*VLOOKUP('Données projet'!$B$10,Paramètres!$A$1:$I$89,5,0)</f>
        <v>35.419053155212474</v>
      </c>
      <c r="AK29" s="14">
        <f t="shared" si="35"/>
        <v>10.776006170294048</v>
      </c>
      <c r="AL29" s="22">
        <f t="shared" si="4"/>
        <v>80.456394991923858</v>
      </c>
      <c r="AM29" s="62">
        <f t="shared" si="5"/>
        <v>368.9008394363683</v>
      </c>
      <c r="AN29" s="62">
        <f ca="1">AVERAGE(OFFSET($AM$3,0,0,'Données projet'!$E$10+1,1))-AVERAGE(OFFSET($H$3,0,0,'Données projet'!$E$10+1,1))</f>
        <v>284.0976902574692</v>
      </c>
      <c r="AO29" s="62">
        <f t="shared" si="36"/>
        <v>190.4880882944471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69.669600000000003</v>
      </c>
      <c r="BF29" s="14">
        <f t="shared" si="37"/>
        <v>19.591385027476957</v>
      </c>
      <c r="BG29" s="22">
        <f t="shared" si="7"/>
        <v>155.46288225618903</v>
      </c>
      <c r="BH29" s="62">
        <f t="shared" si="8"/>
        <v>443.90732670063346</v>
      </c>
      <c r="BI29" s="62">
        <f ca="1">AVERAGE(OFFSET($BH$3,0,0,'Données projet'!$E$11+1,1))-AVERAGE(OFFSET($H$3,0,0,'Données projet'!$E$11+1,1))</f>
        <v>428.8489304403459</v>
      </c>
      <c r="BJ29" s="62">
        <f t="shared" si="38"/>
        <v>247.01165577562966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144.05409916132993</v>
      </c>
      <c r="CE29" s="62">
        <f t="shared" si="40"/>
        <v>409.2784174616832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78.410653248537741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78.410653248537741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16.695604395604395</v>
      </c>
      <c r="CT29" s="13">
        <f>IF('Données projet'!$A$140&gt;35,CT28+CS29-DB28,IF(A29&lt;'Données projet'!$A$140,$CQ$205^A29,IF(A29='Données projet'!$A$140,'Données projet'!$B$140,CT28+CS29-DB28)))</f>
        <v>202.37032967032968</v>
      </c>
      <c r="CU29" s="18">
        <f>CT29*VLOOKUP('Données projet'!$B$13,Paramètres!$A$1:$I$89,3,0)*VLOOKUP('Données projet'!$B$13,Paramètres!$A$1:$I$89,5,0)</f>
        <v>113.1250142857143</v>
      </c>
      <c r="CV29" s="14">
        <f t="shared" si="41"/>
        <v>30.066057618614863</v>
      </c>
      <c r="CW29" s="22">
        <f t="shared" si="13"/>
        <v>249.39111690003995</v>
      </c>
      <c r="CX29" s="62">
        <f t="shared" si="14"/>
        <v>537.8355613444844</v>
      </c>
      <c r="CY29" s="62">
        <f ca="1">AVERAGE(OFFSET($CX$3,0,0,'Données projet'!$E$13+1,1))-AVERAGE(OFFSET($H$3,0,0,'Données projet'!$E$13+1,1))</f>
        <v>321.13335003345236</v>
      </c>
      <c r="CZ29" s="62">
        <f t="shared" si="42"/>
        <v>301.26825075712128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10.816494155665627</v>
      </c>
      <c r="DH29" s="23">
        <f>EXP(-LN(2)/2)*DH28+(1-EXP(-LN(2)/2))/(LN(2)/2)*DB29*DE29*VLOOKUP('Données projet'!$B$13,Paramètres!$A$1:$I$89,3,0)*0.475*44/12</f>
        <v>3.4219635667805193</v>
      </c>
      <c r="DI29" s="24">
        <f t="shared" si="15"/>
        <v>14.238457722446146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6.7948717948717956</v>
      </c>
      <c r="N30" s="14">
        <f>IF('Données projet'!$A$36&gt;35,N29+M30-V29,IF(A30&lt;'Données projet'!$A$36,$K$205^A30,IF(A30='Données projet'!$A$36,'Données projet'!$B$36,N29+M30-V29)))</f>
        <v>105.25641025641022</v>
      </c>
      <c r="O30" s="14">
        <f>N30*VLOOKUP('Données projet'!$B$9,Paramètres!$A$1:$I$89,3,0)*VLOOKUP('Données projet'!$B$9,Paramètres!$A$1:$I$89,5,0)</f>
        <v>110.01399999999998</v>
      </c>
      <c r="P30" s="14">
        <f t="shared" si="33"/>
        <v>29.334283057323191</v>
      </c>
      <c r="Q30" s="22">
        <f t="shared" si="2"/>
        <v>242.69825965817117</v>
      </c>
      <c r="R30" s="62">
        <f t="shared" si="0"/>
        <v>532.36492632483782</v>
      </c>
      <c r="S30" s="62">
        <f ca="1">AVERAGE(OFFSET($R$3,0,0,'Données projet'!$E$9+1,1))-AVERAGE(OFFSET($H$3,0,0,'Données projet'!$E$9+1,1))</f>
        <v>493.70175665335978</v>
      </c>
      <c r="T30" s="62">
        <f t="shared" si="34"/>
        <v>325.12357781685949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4.9084615384615384</v>
      </c>
      <c r="AI30" s="14">
        <f>IF('Données projet'!$A$62&gt;35,AI29+AH30-AQ29,IF(A30&lt;'Données projet'!$A$62,$AF$205^A30,IF(A30='Données projet'!$A$62,'Données projet'!$B$62,AI29+AH30-AQ29)))</f>
        <v>89.384040457688172</v>
      </c>
      <c r="AJ30" s="14">
        <f>AI30*VLOOKUP('Données projet'!$B$10,Paramètres!$A$1:$I$89,3,0)*VLOOKUP('Données projet'!$B$10,Paramètres!$A$1:$I$89,5,0)</f>
        <v>41.831730934198063</v>
      </c>
      <c r="AK30" s="14">
        <f t="shared" si="35"/>
        <v>12.482874982828019</v>
      </c>
      <c r="AL30" s="22">
        <f t="shared" si="4"/>
        <v>94.597938638820423</v>
      </c>
      <c r="AM30" s="62">
        <f t="shared" si="5"/>
        <v>384.26460530548712</v>
      </c>
      <c r="AN30" s="62">
        <f ca="1">AVERAGE(OFFSET($AM$3,0,0,'Données projet'!$E$10+1,1))-AVERAGE(OFFSET($H$3,0,0,'Données projet'!$E$10+1,1))</f>
        <v>284.0976902574692</v>
      </c>
      <c r="AO30" s="62">
        <f t="shared" si="36"/>
        <v>190.4880882944471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76.003200000000007</v>
      </c>
      <c r="BF30" s="14">
        <f t="shared" si="37"/>
        <v>21.157049992000456</v>
      </c>
      <c r="BG30" s="22">
        <f t="shared" si="7"/>
        <v>169.22076873606747</v>
      </c>
      <c r="BH30" s="62">
        <f t="shared" si="8"/>
        <v>458.88743540273413</v>
      </c>
      <c r="BI30" s="62">
        <f ca="1">AVERAGE(OFFSET($BH$3,0,0,'Données projet'!$E$11+1,1))-AVERAGE(OFFSET($H$3,0,0,'Données projet'!$E$11+1,1))</f>
        <v>428.8489304403459</v>
      </c>
      <c r="BJ30" s="62">
        <f t="shared" si="38"/>
        <v>247.01165577562966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144.05409916132993</v>
      </c>
      <c r="CE30" s="62">
        <f t="shared" si="40"/>
        <v>409.2784174616832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76.873068164109995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76.873068164109995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16.695604395604395</v>
      </c>
      <c r="CT30" s="13">
        <f>IF('Données projet'!$A$140&gt;35,CT29+CS30-DB29,IF(A30&lt;'Données projet'!$A$140,$CQ$205^A30,IF(A30='Données projet'!$A$140,'Données projet'!$B$140,CT29+CS30-DB29)))</f>
        <v>219.06593406593407</v>
      </c>
      <c r="CU30" s="18">
        <f>CT30*VLOOKUP('Données projet'!$B$13,Paramètres!$A$1:$I$89,3,0)*VLOOKUP('Données projet'!$B$13,Paramètres!$A$1:$I$89,5,0)</f>
        <v>122.45785714285715</v>
      </c>
      <c r="CV30" s="14">
        <f t="shared" si="41"/>
        <v>32.247575908405864</v>
      </c>
      <c r="CW30" s="22">
        <f t="shared" si="13"/>
        <v>269.4452958976164</v>
      </c>
      <c r="CX30" s="62">
        <f t="shared" si="14"/>
        <v>559.11196256428309</v>
      </c>
      <c r="CY30" s="62">
        <f ca="1">AVERAGE(OFFSET($CX$3,0,0,'Données projet'!$E$13+1,1))-AVERAGE(OFFSET($H$3,0,0,'Données projet'!$E$13+1,1))</f>
        <v>321.13335003345236</v>
      </c>
      <c r="CZ30" s="62">
        <f t="shared" si="42"/>
        <v>301.26825075712128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10.520716554164244</v>
      </c>
      <c r="DH30" s="23">
        <f>EXP(-LN(2)/2)*DH29+(1-EXP(-LN(2)/2))/(LN(2)/2)*DB30*DE30*VLOOKUP('Données projet'!$B$13,Paramètres!$A$1:$I$89,3,0)*0.475*44/12</f>
        <v>2.4196936430438103</v>
      </c>
      <c r="DI30" s="24">
        <f t="shared" si="15"/>
        <v>12.940410197208054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6.7948717948717956</v>
      </c>
      <c r="N31" s="14">
        <f>IF('Données projet'!$A$36&gt;35,N30+M31-V30,IF(A31&lt;'Données projet'!$A$36,$K$205^A31,IF(A31='Données projet'!$A$36,'Données projet'!$B$36,N30+M31-V30)))</f>
        <v>112.05128205128202</v>
      </c>
      <c r="O31" s="14">
        <f>N31*VLOOKUP('Données projet'!$B$9,Paramètres!$A$1:$I$89,3,0)*VLOOKUP('Données projet'!$B$9,Paramètres!$A$1:$I$89,5,0)</f>
        <v>117.11599999999999</v>
      </c>
      <c r="P31" s="14">
        <f t="shared" si="33"/>
        <v>31.001404275140228</v>
      </c>
      <c r="Q31" s="22">
        <f t="shared" si="2"/>
        <v>257.97114577920252</v>
      </c>
      <c r="R31" s="62">
        <f t="shared" si="0"/>
        <v>548.86003466809143</v>
      </c>
      <c r="S31" s="62">
        <f ca="1">AVERAGE(OFFSET($R$3,0,0,'Données projet'!$E$9+1,1))-AVERAGE(OFFSET($H$3,0,0,'Données projet'!$E$9+1,1))</f>
        <v>493.70175665335978</v>
      </c>
      <c r="T31" s="62">
        <f t="shared" si="34"/>
        <v>325.12357781685949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4.9084615384615384</v>
      </c>
      <c r="AI31" s="14">
        <f>IF('Données projet'!$A$62&gt;35,AI30+AH31-AQ30,IF(A31&lt;'Données projet'!$A$62,$AF$205^A31,IF(A31='Données projet'!$A$62,'Données projet'!$B$62,AI30+AH31-AQ30)))</f>
        <v>105.56716787013318</v>
      </c>
      <c r="AJ31" s="14">
        <f>AI31*VLOOKUP('Données projet'!$B$10,Paramètres!$A$1:$I$89,3,0)*VLOOKUP('Données projet'!$B$10,Paramètres!$A$1:$I$89,5,0)</f>
        <v>49.405434563222322</v>
      </c>
      <c r="AK31" s="14">
        <f t="shared" si="35"/>
        <v>14.46010380603388</v>
      </c>
      <c r="AL31" s="22">
        <f t="shared" si="4"/>
        <v>111.23247932645454</v>
      </c>
      <c r="AM31" s="62">
        <f t="shared" si="5"/>
        <v>402.12136821534341</v>
      </c>
      <c r="AN31" s="62">
        <f ca="1">AVERAGE(OFFSET($AM$3,0,0,'Données projet'!$E$10+1,1))-AVERAGE(OFFSET($H$3,0,0,'Données projet'!$E$10+1,1))</f>
        <v>284.0976902574692</v>
      </c>
      <c r="AO31" s="62">
        <f t="shared" si="36"/>
        <v>190.4880882944471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82.336799999999997</v>
      </c>
      <c r="BF31" s="14">
        <f t="shared" si="37"/>
        <v>22.707582950885364</v>
      </c>
      <c r="BG31" s="22">
        <f t="shared" si="7"/>
        <v>182.95230030612535</v>
      </c>
      <c r="BH31" s="62">
        <f t="shared" si="8"/>
        <v>473.84118919501418</v>
      </c>
      <c r="BI31" s="62">
        <f ca="1">AVERAGE(OFFSET($BH$3,0,0,'Données projet'!$E$11+1,1))-AVERAGE(OFFSET($H$3,0,0,'Données projet'!$E$11+1,1))</f>
        <v>428.8489304403459</v>
      </c>
      <c r="BJ31" s="62">
        <f t="shared" si="38"/>
        <v>247.01165577562966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144.05409916132993</v>
      </c>
      <c r="CE31" s="62">
        <f t="shared" si="40"/>
        <v>409.2784174616832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75.365634185353585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75.365634185353585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>
        <f>VLOOKUP(A31,'Données projet'!$A$139:$I$159,2,0)</f>
        <v>235.76153846153846</v>
      </c>
      <c r="CR31" s="13">
        <f>VLOOKUP(A31,'Données projet'!$A$139:$I$159,9,0)</f>
        <v>16.695604395604395</v>
      </c>
      <c r="CS31" s="13">
        <f t="array" ref="CS31">INDEX(CR:CR,MIN(IF(ISNUMBER(CR31:CR227),ROW(CR31:CR227),"")))</f>
        <v>16.695604395604395</v>
      </c>
      <c r="CT31" s="13">
        <f>IF('Données projet'!$A$140&gt;35,CT30+CS31-DB30,IF(A31&lt;'Données projet'!$A$140,$CQ$205^A31,IF(A31='Données projet'!$A$140,'Données projet'!$B$140,CT30+CS31-DB30)))</f>
        <v>235.76153846153846</v>
      </c>
      <c r="CU31" s="18">
        <f>CT31*VLOOKUP('Données projet'!$B$13,Paramètres!$A$1:$I$89,3,0)*VLOOKUP('Données projet'!$B$13,Paramètres!$A$1:$I$89,5,0)</f>
        <v>131.79069999999999</v>
      </c>
      <c r="CV31" s="14">
        <f t="shared" si="41"/>
        <v>34.409807495420338</v>
      </c>
      <c r="CW31" s="22">
        <f t="shared" si="13"/>
        <v>289.46588388785705</v>
      </c>
      <c r="CX31" s="62">
        <f t="shared" si="14"/>
        <v>580.3547727767459</v>
      </c>
      <c r="CY31" s="62">
        <f ca="1">AVERAGE(OFFSET($CX$3,0,0,'Données projet'!$E$13+1,1))-AVERAGE(OFFSET($H$3,0,0,'Données projet'!$E$13+1,1))</f>
        <v>321.13335003345236</v>
      </c>
      <c r="CZ31" s="62">
        <f t="shared" si="42"/>
        <v>301.26825075712128</v>
      </c>
      <c r="DA31" s="16">
        <f>IF(ISNA(VLOOKUP(A31,'Données projet'!$A$139:$I$159,3,0)),0,VLOOKUP(A31,'Données projet'!$A$139:$I$159,3,0))</f>
        <v>2</v>
      </c>
      <c r="DB31" s="16">
        <f>IF(ISNA(VLOOKUP(A31,'Données projet'!$A$139:$I$159,4,0)),0,VLOOKUP(A31,'Données projet'!$A$139:$I$159,4,0))</f>
        <v>56.91538461538461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0.27500000000000002</v>
      </c>
      <c r="DE31" s="17">
        <f>IF(ISNA(VLOOKUP(A31,'Données projet'!$A$139:$I$159,7,0)),0%,VLOOKUP(A31,'Données projet'!$A$139:$I$159,7,0))</f>
        <v>0.5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21.79386126634699</v>
      </c>
      <c r="DH31" s="23">
        <f>EXP(-LN(2)/2)*DH30+(1-EXP(-LN(2)/2))/(LN(2)/2)*DB31*DE31*VLOOKUP('Données projet'!$B$13,Paramètres!$A$1:$I$89,3,0)*0.475*44/12</f>
        <v>19.722363337596647</v>
      </c>
      <c r="DI31" s="24">
        <f t="shared" si="15"/>
        <v>41.516224603943641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6.7948717948717956</v>
      </c>
      <c r="N32" s="14">
        <f>IF('Données projet'!$A$36&gt;35,N31+M32-V31,IF(A32&lt;'Données projet'!$A$36,$K$205^A32,IF(A32='Données projet'!$A$36,'Données projet'!$B$36,N31+M32-V31)))</f>
        <v>118.84615384615381</v>
      </c>
      <c r="O32" s="14">
        <f>N32*VLOOKUP('Données projet'!$B$9,Paramètres!$A$1:$I$89,3,0)*VLOOKUP('Données projet'!$B$9,Paramètres!$A$1:$I$89,5,0)</f>
        <v>124.21799999999999</v>
      </c>
      <c r="P32" s="14">
        <f t="shared" si="33"/>
        <v>32.656791825983653</v>
      </c>
      <c r="Q32" s="22">
        <f t="shared" si="2"/>
        <v>273.22359576358815</v>
      </c>
      <c r="R32" s="62">
        <f t="shared" si="0"/>
        <v>565.33470687469935</v>
      </c>
      <c r="S32" s="62">
        <f ca="1">AVERAGE(OFFSET($R$3,0,0,'Données projet'!$E$9+1,1))-AVERAGE(OFFSET($H$3,0,0,'Données projet'!$E$9+1,1))</f>
        <v>493.70175665335978</v>
      </c>
      <c r="T32" s="62">
        <f t="shared" si="34"/>
        <v>325.12357781685949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4.9084615384615384</v>
      </c>
      <c r="AI32" s="14">
        <f>IF('Données projet'!$A$62&gt;35,AI31+AH32-AQ31,IF(A32&lt;'Données projet'!$A$62,$AF$205^A32,IF(A32='Données projet'!$A$62,'Données projet'!$B$62,AI31+AH32-AQ31)))</f>
        <v>124.68027709483918</v>
      </c>
      <c r="AJ32" s="14">
        <f>AI32*VLOOKUP('Données projet'!$B$10,Paramètres!$A$1:$I$89,3,0)*VLOOKUP('Données projet'!$B$10,Paramètres!$A$1:$I$89,5,0)</f>
        <v>58.350369680384738</v>
      </c>
      <c r="AK32" s="14">
        <f t="shared" si="35"/>
        <v>16.750516396977062</v>
      </c>
      <c r="AL32" s="22">
        <f t="shared" si="4"/>
        <v>130.80070991807179</v>
      </c>
      <c r="AM32" s="62">
        <f t="shared" si="5"/>
        <v>422.91182102918293</v>
      </c>
      <c r="AN32" s="62">
        <f ca="1">AVERAGE(OFFSET($AM$3,0,0,'Données projet'!$E$10+1,1))-AVERAGE(OFFSET($H$3,0,0,'Données projet'!$E$10+1,1))</f>
        <v>284.0976902574692</v>
      </c>
      <c r="AO32" s="62">
        <f t="shared" si="36"/>
        <v>190.4880882944471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88.670400000000001</v>
      </c>
      <c r="BF32" s="14">
        <f t="shared" si="37"/>
        <v>24.244280250395512</v>
      </c>
      <c r="BG32" s="22">
        <f t="shared" si="7"/>
        <v>196.65973476943884</v>
      </c>
      <c r="BH32" s="62">
        <f t="shared" si="8"/>
        <v>488.77084588054998</v>
      </c>
      <c r="BI32" s="62">
        <f ca="1">AVERAGE(OFFSET($BH$3,0,0,'Données projet'!$E$11+1,1))-AVERAGE(OFFSET($H$3,0,0,'Données projet'!$E$11+1,1))</f>
        <v>428.8489304403459</v>
      </c>
      <c r="BJ32" s="62">
        <f t="shared" si="38"/>
        <v>247.01165577562966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144.05409916132993</v>
      </c>
      <c r="CE32" s="62">
        <f t="shared" si="40"/>
        <v>409.2784174616832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73.887760067476648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73.887760067476648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18.092307692307688</v>
      </c>
      <c r="CT32" s="13">
        <f>IF('Données projet'!$A$140&gt;35,CT31+CS32-DB31,IF(A32&lt;'Données projet'!$A$140,$CQ$205^A32,IF(A32='Données projet'!$A$140,'Données projet'!$B$140,CT31+CS32-DB31)))</f>
        <v>196.93846153846152</v>
      </c>
      <c r="CU32" s="18">
        <f>CT32*VLOOKUP('Données projet'!$B$13,Paramètres!$A$1:$I$89,3,0)*VLOOKUP('Données projet'!$B$13,Paramètres!$A$1:$I$89,5,0)</f>
        <v>110.0886</v>
      </c>
      <c r="CV32" s="14">
        <f t="shared" si="41"/>
        <v>29.351858445346817</v>
      </c>
      <c r="CW32" s="22">
        <f t="shared" si="13"/>
        <v>242.85879845897907</v>
      </c>
      <c r="CX32" s="62">
        <f t="shared" si="14"/>
        <v>534.96990957009018</v>
      </c>
      <c r="CY32" s="62">
        <f ca="1">AVERAGE(OFFSET($CX$3,0,0,'Données projet'!$E$13+1,1))-AVERAGE(OFFSET($H$3,0,0,'Données projet'!$E$13+1,1))</f>
        <v>321.13335003345236</v>
      </c>
      <c r="CZ32" s="62">
        <f t="shared" si="42"/>
        <v>301.26825075712128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21.197906983929379</v>
      </c>
      <c r="DH32" s="23">
        <f>EXP(-LN(2)/2)*DH31+(1-EXP(-LN(2)/2))/(LN(2)/2)*DB32*DE32*VLOOKUP('Données projet'!$B$13,Paramètres!$A$1:$I$89,3,0)*0.475*44/12</f>
        <v>13.94581685703954</v>
      </c>
      <c r="DI32" s="24">
        <f t="shared" si="15"/>
        <v>35.143723840968917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125.64102564102564</v>
      </c>
      <c r="L33" s="13">
        <f>VLOOKUP(A33,'Données projet'!$A$35:$I$55,9,0)</f>
        <v>6.7948717948717956</v>
      </c>
      <c r="M33" s="13">
        <f t="array" ref="M33">INDEX(L:L,MIN(IF(ISNUMBER(L33:L229),ROW(L33:L229),"")))</f>
        <v>6.7948717948717956</v>
      </c>
      <c r="N33" s="14">
        <f>IF('Données projet'!$A$36&gt;35,N32+M33-V32,IF(A33&lt;'Données projet'!$A$36,$K$205^A33,IF(A33='Données projet'!$A$36,'Données projet'!$B$36,N32+M33-V32)))</f>
        <v>125.64102564102561</v>
      </c>
      <c r="O33" s="14">
        <f>N33*VLOOKUP('Données projet'!$B$9,Paramètres!$A$1:$I$89,3,0)*VLOOKUP('Données projet'!$B$9,Paramètres!$A$1:$I$89,5,0)</f>
        <v>131.32</v>
      </c>
      <c r="P33" s="14">
        <f t="shared" si="33"/>
        <v>34.30119300489546</v>
      </c>
      <c r="Q33" s="22">
        <f t="shared" si="2"/>
        <v>288.45691115019287</v>
      </c>
      <c r="R33" s="62">
        <f t="shared" si="0"/>
        <v>581.79024448352618</v>
      </c>
      <c r="S33" s="62">
        <f ca="1">AVERAGE(OFFSET($R$3,0,0,'Données projet'!$E$9+1,1))-AVERAGE(OFFSET($H$3,0,0,'Données projet'!$E$9+1,1))</f>
        <v>493.70175665335978</v>
      </c>
      <c r="T33" s="62">
        <f t="shared" si="34"/>
        <v>325.12357781685949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28.205128205128204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147.25384615384615</v>
      </c>
      <c r="AG33" s="13">
        <f>VLOOKUP(A33,'Données projet'!$A$61:$I$81,9,0)</f>
        <v>4.9084615384615384</v>
      </c>
      <c r="AH33" s="13">
        <f t="array" ref="AH33">INDEX(AG:AG,MIN(IF(ISNUMBER(AG33:AG229),ROW(AG33:AG229),"")))</f>
        <v>4.9084615384615384</v>
      </c>
      <c r="AI33" s="14">
        <f>IF('Données projet'!$A$62&gt;35,AI32+AH33-AQ32,IF(A33&lt;'Données projet'!$A$62,$AF$205^A33,IF(A33='Données projet'!$A$62,'Données projet'!$B$62,AI32+AH33-AQ32)))</f>
        <v>147.25384615384615</v>
      </c>
      <c r="AJ33" s="14">
        <f>AI33*VLOOKUP('Données projet'!$B$10,Paramètres!$A$1:$I$89,3,0)*VLOOKUP('Données projet'!$B$10,Paramètres!$A$1:$I$89,5,0)</f>
        <v>68.9148</v>
      </c>
      <c r="AK33" s="14">
        <f t="shared" si="35"/>
        <v>19.403719594897876</v>
      </c>
      <c r="AL33" s="22">
        <f t="shared" si="4"/>
        <v>153.82142162778047</v>
      </c>
      <c r="AM33" s="62">
        <f t="shared" si="5"/>
        <v>447.15475496111378</v>
      </c>
      <c r="AN33" s="62">
        <f ca="1">AVERAGE(OFFSET($AM$3,0,0,'Données projet'!$E$10+1,1))-AVERAGE(OFFSET($H$3,0,0,'Données projet'!$E$10+1,1))</f>
        <v>284.0976902574692</v>
      </c>
      <c r="AO33" s="62">
        <f t="shared" si="36"/>
        <v>190.4880882944471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95.004000000000005</v>
      </c>
      <c r="BF33" s="14">
        <f t="shared" si="37"/>
        <v>25.768242550600785</v>
      </c>
      <c r="BG33" s="22">
        <f t="shared" si="7"/>
        <v>210.34498910896306</v>
      </c>
      <c r="BH33" s="62">
        <f t="shared" si="8"/>
        <v>503.67832244229635</v>
      </c>
      <c r="BI33" s="62">
        <f ca="1">AVERAGE(OFFSET($BH$3,0,0,'Données projet'!$E$11+1,1))-AVERAGE(OFFSET($H$3,0,0,'Données projet'!$E$11+1,1))</f>
        <v>428.8489304403459</v>
      </c>
      <c r="BJ33" s="62">
        <f t="shared" si="38"/>
        <v>247.01165577562966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144.05409916132993</v>
      </c>
      <c r="CE33" s="62">
        <f t="shared" si="40"/>
        <v>409.2784174616832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72.438866159637072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72.438866159637072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18.092307692307688</v>
      </c>
      <c r="CT33" s="13">
        <f>IF('Données projet'!$A$140&gt;35,CT32+CS33-DB32,IF(A33&lt;'Données projet'!$A$140,$CQ$205^A33,IF(A33='Données projet'!$A$140,'Données projet'!$B$140,CT32+CS33-DB32)))</f>
        <v>215.03076923076921</v>
      </c>
      <c r="CU33" s="18">
        <f>CT33*VLOOKUP('Données projet'!$B$13,Paramètres!$A$1:$I$89,3,0)*VLOOKUP('Données projet'!$B$13,Paramètres!$A$1:$I$89,5,0)</f>
        <v>120.20219999999999</v>
      </c>
      <c r="CV33" s="14">
        <f t="shared" si="41"/>
        <v>31.722154501696497</v>
      </c>
      <c r="CW33" s="22">
        <f t="shared" si="13"/>
        <v>264.60158409045465</v>
      </c>
      <c r="CX33" s="62">
        <f t="shared" si="14"/>
        <v>557.93491742378797</v>
      </c>
      <c r="CY33" s="62">
        <f ca="1">AVERAGE(OFFSET($CX$3,0,0,'Données projet'!$E$13+1,1))-AVERAGE(OFFSET($H$3,0,0,'Données projet'!$E$13+1,1))</f>
        <v>321.13335003345236</v>
      </c>
      <c r="CZ33" s="62">
        <f t="shared" si="42"/>
        <v>301.26825075712128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20.61824910270435</v>
      </c>
      <c r="DH33" s="23">
        <f>EXP(-LN(2)/2)*DH32+(1-EXP(-LN(2)/2))/(LN(2)/2)*DB33*DE33*VLOOKUP('Données projet'!$B$13,Paramètres!$A$1:$I$89,3,0)*0.475*44/12</f>
        <v>9.8611816687983254</v>
      </c>
      <c r="DI33" s="24">
        <f t="shared" si="15"/>
        <v>30.479430771502678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6.7948717948717956</v>
      </c>
      <c r="N34" s="14">
        <f>IF('Données projet'!$A$36&gt;35,N33+M34-V33,IF(A34&lt;'Données projet'!$A$36,$K$205^A34,IF(A34='Données projet'!$A$36,'Données projet'!$B$36,N33+M34-V33)))</f>
        <v>104.2307692307692</v>
      </c>
      <c r="O34" s="14">
        <f>N34*VLOOKUP('Données projet'!$B$9,Paramètres!$A$1:$I$89,3,0)*VLOOKUP('Données projet'!$B$9,Paramètres!$A$1:$I$89,5,0)</f>
        <v>108.94199999999996</v>
      </c>
      <c r="P34" s="14">
        <f t="shared" si="33"/>
        <v>29.08157148085148</v>
      </c>
      <c r="Q34" s="22">
        <f t="shared" si="2"/>
        <v>240.39105366248293</v>
      </c>
      <c r="R34" s="62">
        <f t="shared" si="0"/>
        <v>533.7243869958163</v>
      </c>
      <c r="S34" s="62">
        <f ca="1">AVERAGE(OFFSET($R$3,0,0,'Données projet'!$E$9+1,1))-AVERAGE(OFFSET($H$3,0,0,'Données projet'!$E$9+1,1))</f>
        <v>493.70175665335978</v>
      </c>
      <c r="T34" s="62">
        <f t="shared" si="34"/>
        <v>325.12357781685949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10.836630036630035</v>
      </c>
      <c r="AI34" s="14">
        <f>IF('Données projet'!$A$62&gt;35,AI33+AH34-AQ33,IF(A34&lt;'Données projet'!$A$62,$AF$205^A34,IF(A34='Données projet'!$A$62,'Données projet'!$B$62,AI33+AH34-AQ33)))</f>
        <v>158.09047619047618</v>
      </c>
      <c r="AJ34" s="14">
        <f>AI34*VLOOKUP('Données projet'!$B$10,Paramètres!$A$1:$I$89,3,0)*VLOOKUP('Données projet'!$B$10,Paramètres!$A$1:$I$89,5,0)</f>
        <v>73.986342857142859</v>
      </c>
      <c r="AK34" s="14">
        <f t="shared" si="35"/>
        <v>20.660193460025923</v>
      </c>
      <c r="AL34" s="22">
        <f t="shared" si="4"/>
        <v>164.84271741906895</v>
      </c>
      <c r="AM34" s="62">
        <f t="shared" si="5"/>
        <v>458.17605075240226</v>
      </c>
      <c r="AN34" s="62">
        <f ca="1">AVERAGE(OFFSET($AM$3,0,0,'Données projet'!$E$10+1,1))-AVERAGE(OFFSET($H$3,0,0,'Données projet'!$E$10+1,1))</f>
        <v>284.0976902574692</v>
      </c>
      <c r="AO34" s="62">
        <f t="shared" si="36"/>
        <v>190.4880882944471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462.55410206940076</v>
      </c>
      <c r="BI34" s="62">
        <f ca="1">AVERAGE(OFFSET($BH$3,0,0,'Données projet'!$E$11+1,1))-AVERAGE(OFFSET($H$3,0,0,'Données projet'!$E$11+1,1))</f>
        <v>428.8489304403459</v>
      </c>
      <c r="BJ34" s="62">
        <f t="shared" si="38"/>
        <v>247.01165577562966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144.05409916132993</v>
      </c>
      <c r="CE34" s="62">
        <f t="shared" si="40"/>
        <v>409.2784174616832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71.01838417759221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71.01838417759221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18.092307692307688</v>
      </c>
      <c r="CT34" s="13">
        <f>IF('Données projet'!$A$140&gt;35,CT33+CS34-DB33,IF(A34&lt;'Données projet'!$A$140,$CQ$205^A34,IF(A34='Données projet'!$A$140,'Données projet'!$B$140,CT33+CS34-DB33)))</f>
        <v>233.12307692307689</v>
      </c>
      <c r="CU34" s="18">
        <f>CT34*VLOOKUP('Données projet'!$B$13,Paramètres!$A$1:$I$89,3,0)*VLOOKUP('Données projet'!$B$13,Paramètres!$A$1:$I$89,5,0)</f>
        <v>130.3158</v>
      </c>
      <c r="CV34" s="14">
        <f t="shared" si="41"/>
        <v>34.069321132661628</v>
      </c>
      <c r="CW34" s="22">
        <f t="shared" si="13"/>
        <v>286.30408597271895</v>
      </c>
      <c r="CX34" s="62">
        <f t="shared" si="14"/>
        <v>579.63741930605227</v>
      </c>
      <c r="CY34" s="62">
        <f ca="1">AVERAGE(OFFSET($CX$3,0,0,'Données projet'!$E$13+1,1))-AVERAGE(OFFSET($H$3,0,0,'Données projet'!$E$13+1,1))</f>
        <v>321.13335003345236</v>
      </c>
      <c r="CZ34" s="62">
        <f t="shared" si="42"/>
        <v>301.26825075712128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20.054441996724304</v>
      </c>
      <c r="DH34" s="23">
        <f>EXP(-LN(2)/2)*DH33+(1-EXP(-LN(2)/2))/(LN(2)/2)*DB34*DE34*VLOOKUP('Données projet'!$B$13,Paramètres!$A$1:$I$89,3,0)*0.475*44/12</f>
        <v>6.9729084285197711</v>
      </c>
      <c r="DI34" s="24">
        <f t="shared" si="15"/>
        <v>27.027350425244073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6.7948717948717956</v>
      </c>
      <c r="N35" s="14">
        <f>IF('Données projet'!$A$36&gt;35,N34+M35-V34,IF(A35&lt;'Données projet'!$A$36,$K$205^A35,IF(A35='Données projet'!$A$36,'Données projet'!$B$36,N34+M35-V34)))</f>
        <v>111.02564102564099</v>
      </c>
      <c r="O35" s="14">
        <f>N35*VLOOKUP('Données projet'!$B$9,Paramètres!$A$1:$I$89,3,0)*VLOOKUP('Données projet'!$B$9,Paramètres!$A$1:$I$89,5,0)</f>
        <v>116.04399999999997</v>
      </c>
      <c r="P35" s="14">
        <f t="shared" si="33"/>
        <v>30.750534860350001</v>
      </c>
      <c r="Q35" s="22">
        <f t="shared" ref="Q35:Q66" si="53">(O35+P35)*0.475*44/12</f>
        <v>255.66714821510956</v>
      </c>
      <c r="R35" s="62">
        <f t="shared" si="0"/>
        <v>549.00048154844285</v>
      </c>
      <c r="S35" s="62">
        <f ca="1">AVERAGE(OFFSET($R$3,0,0,'Données projet'!$E$9+1,1))-AVERAGE(OFFSET($H$3,0,0,'Données projet'!$E$9+1,1))</f>
        <v>493.70175665335978</v>
      </c>
      <c r="T35" s="62">
        <f t="shared" si="34"/>
        <v>325.12357781685949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10.836630036630035</v>
      </c>
      <c r="AI35" s="14">
        <f>IF('Données projet'!$A$62&gt;35,AI34+AH35-AQ34,IF(A35&lt;'Données projet'!$A$62,$AF$205^A35,IF(A35='Données projet'!$A$62,'Données projet'!$B$62,AI34+AH35-AQ34)))</f>
        <v>168.92710622710621</v>
      </c>
      <c r="AJ35" s="14">
        <f>AI35*VLOOKUP('Données projet'!$B$10,Paramètres!$A$1:$I$89,3,0)*VLOOKUP('Données projet'!$B$10,Paramètres!$A$1:$I$89,5,0)</f>
        <v>79.057885714285703</v>
      </c>
      <c r="AK35" s="14">
        <f t="shared" si="35"/>
        <v>21.906673711374957</v>
      </c>
      <c r="AL35" s="22">
        <f t="shared" si="4"/>
        <v>175.84660766635898</v>
      </c>
      <c r="AM35" s="62">
        <f t="shared" si="5"/>
        <v>469.17994099969229</v>
      </c>
      <c r="AN35" s="62">
        <f ca="1">AVERAGE(OFFSET($AM$3,0,0,'Données projet'!$E$10+1,1))-AVERAGE(OFFSET($H$3,0,0,'Données projet'!$E$10+1,1))</f>
        <v>284.0976902574692</v>
      </c>
      <c r="AO35" s="62">
        <f t="shared" si="36"/>
        <v>190.4880882944471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478.24526587136597</v>
      </c>
      <c r="BI35" s="62">
        <f ca="1">AVERAGE(OFFSET($BH$3,0,0,'Données projet'!$E$11+1,1))-AVERAGE(OFFSET($H$3,0,0,'Données projet'!$E$11+1,1))</f>
        <v>428.8489304403459</v>
      </c>
      <c r="BJ35" s="62">
        <f t="shared" si="38"/>
        <v>247.01165577562966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144.05409916132993</v>
      </c>
      <c r="CE35" s="62">
        <f t="shared" si="40"/>
        <v>409.2784174616832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69.625756980806784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69.625756980806784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18.092307692307688</v>
      </c>
      <c r="CT35" s="13">
        <f>IF('Données projet'!$A$140&gt;35,CT34+CS35-DB34,IF(A35&lt;'Données projet'!$A$140,$CQ$205^A35,IF(A35='Données projet'!$A$140,'Données projet'!$B$140,CT34+CS35-DB34)))</f>
        <v>251.21538461538458</v>
      </c>
      <c r="CU35" s="18">
        <f>CT35*VLOOKUP('Données projet'!$B$13,Paramètres!$A$1:$I$89,3,0)*VLOOKUP('Données projet'!$B$13,Paramètres!$A$1:$I$89,5,0)</f>
        <v>140.42939999999999</v>
      </c>
      <c r="CV35" s="14">
        <f t="shared" si="41"/>
        <v>36.395357465468557</v>
      </c>
      <c r="CW35" s="22">
        <f t="shared" si="13"/>
        <v>307.96978591902433</v>
      </c>
      <c r="CX35" s="62">
        <f t="shared" si="14"/>
        <v>601.30311925235765</v>
      </c>
      <c r="CY35" s="62">
        <f ca="1">AVERAGE(OFFSET($CX$3,0,0,'Données projet'!$E$13+1,1))-AVERAGE(OFFSET($H$3,0,0,'Données projet'!$E$13+1,1))</f>
        <v>321.13335003345236</v>
      </c>
      <c r="CZ35" s="62">
        <f t="shared" si="42"/>
        <v>301.26825075712128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19.506052225706608</v>
      </c>
      <c r="DH35" s="23">
        <f>EXP(-LN(2)/2)*DH34+(1-EXP(-LN(2)/2))/(LN(2)/2)*DB35*DE35*VLOOKUP('Données projet'!$B$13,Paramètres!$A$1:$I$89,3,0)*0.475*44/12</f>
        <v>4.9305908343991627</v>
      </c>
      <c r="DI35" s="24">
        <f t="shared" si="15"/>
        <v>24.436643060105769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6.7948717948717956</v>
      </c>
      <c r="N36" s="14">
        <f>IF('Données projet'!$A$36&gt;35,N35+M36-V35,IF(A36&lt;'Données projet'!$A$36,$K$205^A36,IF(A36='Données projet'!$A$36,'Données projet'!$B$36,N35+M36-V35)))</f>
        <v>117.82051282051279</v>
      </c>
      <c r="O36" s="14">
        <f>N36*VLOOKUP('Données projet'!$B$9,Paramètres!$A$1:$I$89,3,0)*VLOOKUP('Données projet'!$B$9,Paramètres!$A$1:$I$89,5,0)</f>
        <v>123.14599999999997</v>
      </c>
      <c r="P36" s="14">
        <f t="shared" si="33"/>
        <v>32.407643337050729</v>
      </c>
      <c r="Q36" s="22">
        <f t="shared" si="53"/>
        <v>270.92259547869656</v>
      </c>
      <c r="R36" s="62">
        <f t="shared" si="0"/>
        <v>564.25592881202988</v>
      </c>
      <c r="S36" s="62">
        <f ca="1">AVERAGE(OFFSET($R$3,0,0,'Données projet'!$E$9+1,1))-AVERAGE(OFFSET($H$3,0,0,'Données projet'!$E$9+1,1))</f>
        <v>493.70175665335978</v>
      </c>
      <c r="T36" s="62">
        <f t="shared" si="34"/>
        <v>325.12357781685949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10.836630036630035</v>
      </c>
      <c r="AI36" s="14">
        <f>IF('Données projet'!$A$62&gt;35,AI35+AH36-AQ35,IF(A36&lt;'Données projet'!$A$62,$AF$205^A36,IF(A36='Données projet'!$A$62,'Données projet'!$B$62,AI35+AH36-AQ35)))</f>
        <v>179.76373626373623</v>
      </c>
      <c r="AJ36" s="14">
        <f>AI36*VLOOKUP('Données projet'!$B$10,Paramètres!$A$1:$I$89,3,0)*VLOOKUP('Données projet'!$B$10,Paramètres!$A$1:$I$89,5,0)</f>
        <v>84.129428571428562</v>
      </c>
      <c r="AK36" s="14">
        <f t="shared" si="35"/>
        <v>23.143874404389489</v>
      </c>
      <c r="AL36" s="22">
        <f t="shared" si="4"/>
        <v>186.83433601621644</v>
      </c>
      <c r="AM36" s="62">
        <f t="shared" si="5"/>
        <v>480.16766934954978</v>
      </c>
      <c r="AN36" s="62">
        <f ca="1">AVERAGE(OFFSET($AM$3,0,0,'Données projet'!$E$10+1,1))-AVERAGE(OFFSET($H$3,0,0,'Données projet'!$E$10+1,1))</f>
        <v>284.0976902574692</v>
      </c>
      <c r="AO36" s="62">
        <f t="shared" si="36"/>
        <v>190.4880882944471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493.9053274736159</v>
      </c>
      <c r="BI36" s="62">
        <f ca="1">AVERAGE(OFFSET($BH$3,0,0,'Données projet'!$E$11+1,1))-AVERAGE(OFFSET($H$3,0,0,'Données projet'!$E$11+1,1))</f>
        <v>428.8489304403459</v>
      </c>
      <c r="BJ36" s="62">
        <f t="shared" si="38"/>
        <v>247.01165577562966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144.05409916132993</v>
      </c>
      <c r="CE36" s="62">
        <f t="shared" si="40"/>
        <v>409.2784174616832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68.260438353931605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68.260438353931605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18.092307692307688</v>
      </c>
      <c r="CT36" s="13">
        <f>IF('Données projet'!$A$140&gt;35,CT35+CS36-DB35,IF(A36&lt;'Données projet'!$A$140,$CQ$205^A36,IF(A36='Données projet'!$A$140,'Données projet'!$B$140,CT35+CS36-DB35)))</f>
        <v>269.30769230769226</v>
      </c>
      <c r="CU36" s="18">
        <f>CT36*VLOOKUP('Données projet'!$B$13,Paramètres!$A$1:$I$89,3,0)*VLOOKUP('Données projet'!$B$13,Paramètres!$A$1:$I$89,5,0)</f>
        <v>150.54299999999998</v>
      </c>
      <c r="CV36" s="14">
        <f t="shared" si="41"/>
        <v>38.701958356159636</v>
      </c>
      <c r="CW36" s="22">
        <f t="shared" si="13"/>
        <v>329.60163580364463</v>
      </c>
      <c r="CX36" s="62">
        <f t="shared" si="14"/>
        <v>622.934969136978</v>
      </c>
      <c r="CY36" s="62">
        <f ca="1">AVERAGE(OFFSET($CX$3,0,0,'Données projet'!$E$13+1,1))-AVERAGE(OFFSET($H$3,0,0,'Données projet'!$E$13+1,1))</f>
        <v>321.13335003345236</v>
      </c>
      <c r="CZ36" s="62">
        <f t="shared" si="42"/>
        <v>301.26825075712128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18.972658201815957</v>
      </c>
      <c r="DH36" s="23">
        <f>EXP(-LN(2)/2)*DH35+(1-EXP(-LN(2)/2))/(LN(2)/2)*DB36*DE36*VLOOKUP('Données projet'!$B$13,Paramètres!$A$1:$I$89,3,0)*0.475*44/12</f>
        <v>3.4864542142598856</v>
      </c>
      <c r="DI36" s="24">
        <f t="shared" si="15"/>
        <v>22.459112416075843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6.7948717948717956</v>
      </c>
      <c r="N37" s="14">
        <f>IF('Données projet'!$A$36&gt;35,N36+M37-V36,IF(A37&lt;'Données projet'!$A$36,$K$205^A37,IF(A37='Données projet'!$A$36,'Données projet'!$B$36,N36+M37-V36)))</f>
        <v>124.61538461538458</v>
      </c>
      <c r="O37" s="14">
        <f>N37*VLOOKUP('Données projet'!$B$9,Paramètres!$A$1:$I$89,3,0)*VLOOKUP('Données projet'!$B$9,Paramètres!$A$1:$I$89,5,0)</f>
        <v>130.24799999999999</v>
      </c>
      <c r="P37" s="14">
        <f t="shared" si="33"/>
        <v>34.053658492903352</v>
      </c>
      <c r="Q37" s="22">
        <f t="shared" si="53"/>
        <v>286.15872187513997</v>
      </c>
      <c r="R37" s="62">
        <f t="shared" si="0"/>
        <v>579.49205520847329</v>
      </c>
      <c r="S37" s="62">
        <f ca="1">AVERAGE(OFFSET($R$3,0,0,'Données projet'!$E$9+1,1))-AVERAGE(OFFSET($H$3,0,0,'Données projet'!$E$9+1,1))</f>
        <v>493.70175665335978</v>
      </c>
      <c r="T37" s="62">
        <f t="shared" si="34"/>
        <v>325.12357781685949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10.836630036630035</v>
      </c>
      <c r="AI37" s="14">
        <f>IF('Données projet'!$A$62&gt;35,AI36+AH37-AQ36,IF(A37&lt;'Données projet'!$A$62,$AF$205^A37,IF(A37='Données projet'!$A$62,'Données projet'!$B$62,AI36+AH37-AQ36)))</f>
        <v>190.60036630036626</v>
      </c>
      <c r="AJ37" s="14">
        <f>AI37*VLOOKUP('Données projet'!$B$10,Paramètres!$A$1:$I$89,3,0)*VLOOKUP('Données projet'!$B$10,Paramètres!$A$1:$I$89,5,0)</f>
        <v>89.200971428571407</v>
      </c>
      <c r="AK37" s="14">
        <f t="shared" si="35"/>
        <v>24.372418640108876</v>
      </c>
      <c r="AL37" s="22">
        <f t="shared" si="4"/>
        <v>197.80698770295146</v>
      </c>
      <c r="AM37" s="62">
        <f t="shared" si="5"/>
        <v>491.14032103628477</v>
      </c>
      <c r="AN37" s="62">
        <f ca="1">AVERAGE(OFFSET($AM$3,0,0,'Données projet'!$E$10+1,1))-AVERAGE(OFFSET($H$3,0,0,'Données projet'!$E$10+1,1))</f>
        <v>284.0976902574692</v>
      </c>
      <c r="AO37" s="62">
        <f t="shared" si="36"/>
        <v>190.4880882944471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509.537057935093</v>
      </c>
      <c r="BI37" s="62">
        <f ca="1">AVERAGE(OFFSET($BH$3,0,0,'Données projet'!$E$11+1,1))-AVERAGE(OFFSET($H$3,0,0,'Données projet'!$E$11+1,1))</f>
        <v>428.8489304403459</v>
      </c>
      <c r="BJ37" s="62">
        <f t="shared" si="38"/>
        <v>247.01165577562966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144.05409916132993</v>
      </c>
      <c r="CE37" s="62">
        <f t="shared" si="40"/>
        <v>409.2784174616832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66.921892792567306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66.921892792567306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18.092307692307688</v>
      </c>
      <c r="CT37" s="13">
        <f>IF('Données projet'!$A$140&gt;35,CT36+CS37-DB36,IF(A37&lt;'Données projet'!$A$140,$CQ$205^A37,IF(A37='Données projet'!$A$140,'Données projet'!$B$140,CT36+CS37-DB36)))</f>
        <v>287.39999999999998</v>
      </c>
      <c r="CU37" s="18">
        <f>CT37*VLOOKUP('Données projet'!$B$13,Paramètres!$A$1:$I$89,3,0)*VLOOKUP('Données projet'!$B$13,Paramètres!$A$1:$I$89,5,0)</f>
        <v>160.6566</v>
      </c>
      <c r="CV37" s="14">
        <f t="shared" si="41"/>
        <v>40.990578051927393</v>
      </c>
      <c r="CW37" s="22">
        <f t="shared" si="13"/>
        <v>351.20216844044018</v>
      </c>
      <c r="CX37" s="62">
        <f t="shared" si="14"/>
        <v>644.53550177377349</v>
      </c>
      <c r="CY37" s="62">
        <f ca="1">AVERAGE(OFFSET($CX$3,0,0,'Données projet'!$E$13+1,1))-AVERAGE(OFFSET($H$3,0,0,'Données projet'!$E$13+1,1))</f>
        <v>321.13335003345236</v>
      </c>
      <c r="CZ37" s="62">
        <f t="shared" si="42"/>
        <v>301.26825075712128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18.453849865558567</v>
      </c>
      <c r="DH37" s="23">
        <f>EXP(-LN(2)/2)*DH36+(1-EXP(-LN(2)/2))/(LN(2)/2)*DB37*DE37*VLOOKUP('Données projet'!$B$13,Paramètres!$A$1:$I$89,3,0)*0.475*44/12</f>
        <v>2.4652954171995813</v>
      </c>
      <c r="DI37" s="24">
        <f t="shared" si="15"/>
        <v>20.919145282758148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131.41025641025641</v>
      </c>
      <c r="L38" s="13">
        <f>VLOOKUP(A38,'Données projet'!$A$35:$I$55,9,0)</f>
        <v>6.7948717948717956</v>
      </c>
      <c r="M38" s="13">
        <f t="array" ref="M38">INDEX(L:L,MIN(IF(ISNUMBER(L38:L234),ROW(L38:L234),"")))</f>
        <v>6.7948717948717956</v>
      </c>
      <c r="N38" s="14">
        <f>IF('Données projet'!$A$36&gt;35,N37+M38-V37,IF(A38&lt;'Données projet'!$A$36,$K$205^A38,IF(A38='Données projet'!$A$36,'Données projet'!$B$36,N37+M38-V37)))</f>
        <v>131.41025641025638</v>
      </c>
      <c r="O38" s="14">
        <f>N38*VLOOKUP('Données projet'!$B$9,Paramètres!$A$1:$I$89,3,0)*VLOOKUP('Données projet'!$B$9,Paramètres!$A$1:$I$89,5,0)</f>
        <v>137.35</v>
      </c>
      <c r="P38" s="14">
        <f t="shared" si="33"/>
        <v>35.68925416600387</v>
      </c>
      <c r="Q38" s="22">
        <f t="shared" si="53"/>
        <v>301.37670100579004</v>
      </c>
      <c r="R38" s="62">
        <f t="shared" si="0"/>
        <v>594.71003433912335</v>
      </c>
      <c r="S38" s="62">
        <f ca="1">AVERAGE(OFFSET($R$3,0,0,'Données projet'!$E$9+1,1))-AVERAGE(OFFSET($H$3,0,0,'Données projet'!$E$9+1,1))</f>
        <v>493.70175665335978</v>
      </c>
      <c r="T38" s="62">
        <f t="shared" si="34"/>
        <v>325.12357781685949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10.836630036630035</v>
      </c>
      <c r="AI38" s="14">
        <f>IF('Données projet'!$A$62&gt;35,AI37+AH38-AQ37,IF(A38&lt;'Données projet'!$A$62,$AF$205^A38,IF(A38='Données projet'!$A$62,'Données projet'!$B$62,AI37+AH38-AQ37)))</f>
        <v>201.43699633699629</v>
      </c>
      <c r="AJ38" s="14">
        <f>AI38*VLOOKUP('Données projet'!$B$10,Paramètres!$A$1:$I$89,3,0)*VLOOKUP('Données projet'!$B$10,Paramètres!$A$1:$I$89,5,0)</f>
        <v>94.272514285714252</v>
      </c>
      <c r="AK38" s="14">
        <f t="shared" si="35"/>
        <v>25.592854664523692</v>
      </c>
      <c r="AL38" s="22">
        <f t="shared" si="4"/>
        <v>208.76551758833105</v>
      </c>
      <c r="AM38" s="62">
        <f t="shared" si="5"/>
        <v>502.09885092166439</v>
      </c>
      <c r="AN38" s="62">
        <f ca="1">AVERAGE(OFFSET($AM$3,0,0,'Données projet'!$E$10+1,1))-AVERAGE(OFFSET($H$3,0,0,'Données projet'!$E$10+1,1))</f>
        <v>284.0976902574692</v>
      </c>
      <c r="AO38" s="62">
        <f t="shared" si="36"/>
        <v>190.4880882944471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428.8489304403459</v>
      </c>
      <c r="BJ38" s="62">
        <f t="shared" si="38"/>
        <v>247.01165577562966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144.05409916132993</v>
      </c>
      <c r="CE38" s="62">
        <f t="shared" si="40"/>
        <v>409.2784174616832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65.609595293229191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65.609595293229191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305.49230769230769</v>
      </c>
      <c r="CR38" s="13">
        <f>VLOOKUP(A38,'Données projet'!$A$139:$I$159,9,0)</f>
        <v>18.092307692307688</v>
      </c>
      <c r="CS38" s="13">
        <f t="array" ref="CS38">INDEX(CR:CR,MIN(IF(ISNUMBER(CR38:CR234),ROW(CR38:CR234),"")))</f>
        <v>18.092307692307688</v>
      </c>
      <c r="CT38" s="13">
        <f>IF('Données projet'!$A$140&gt;35,CT37+CS38-DB37,IF(A38&lt;'Données projet'!$A$140,$CQ$205^A38,IF(A38='Données projet'!$A$140,'Données projet'!$B$140,CT37+CS38-DB37)))</f>
        <v>305.49230769230769</v>
      </c>
      <c r="CU38" s="18">
        <f>CT38*VLOOKUP('Données projet'!$B$13,Paramètres!$A$1:$I$89,3,0)*VLOOKUP('Données projet'!$B$13,Paramètres!$A$1:$I$89,5,0)</f>
        <v>170.77019999999999</v>
      </c>
      <c r="CV38" s="14">
        <f t="shared" si="41"/>
        <v>43.26247735598961</v>
      </c>
      <c r="CW38" s="22">
        <f t="shared" si="13"/>
        <v>372.77357972834852</v>
      </c>
      <c r="CX38" s="62">
        <f t="shared" si="14"/>
        <v>666.10691306168178</v>
      </c>
      <c r="CY38" s="62">
        <f ca="1">AVERAGE(OFFSET($CX$3,0,0,'Données projet'!$E$13+1,1))-AVERAGE(OFFSET($H$3,0,0,'Données projet'!$E$13+1,1))</f>
        <v>321.13335003345236</v>
      </c>
      <c r="CZ38" s="62">
        <f t="shared" si="42"/>
        <v>301.26825075712128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70.5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17.949228370539082</v>
      </c>
      <c r="DH38" s="23">
        <f>EXP(-LN(2)/2)*DH37+(1-EXP(-LN(2)/2))/(LN(2)/2)*DB38*DE38*VLOOKUP('Données projet'!$B$13,Paramètres!$A$1:$I$89,3,0)*0.475*44/12</f>
        <v>1.7432271071299428</v>
      </c>
      <c r="DI38" s="24">
        <f t="shared" si="15"/>
        <v>19.692455477669025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6.5384615384615357</v>
      </c>
      <c r="N39" s="14">
        <f>IF('Données projet'!$A$36&gt;35,N38+M39-V38,IF(A39&lt;'Données projet'!$A$36,$K$205^A39,IF(A39='Données projet'!$A$36,'Données projet'!$B$36,N38+M39-V38)))</f>
        <v>137.94871794871793</v>
      </c>
      <c r="O39" s="14">
        <f>N39*VLOOKUP('Données projet'!$B$9,Paramètres!$A$1:$I$89,3,0)*VLOOKUP('Données projet'!$B$9,Paramètres!$A$1:$I$89,5,0)</f>
        <v>144.184</v>
      </c>
      <c r="P39" s="14">
        <f t="shared" si="33"/>
        <v>37.253852236732257</v>
      </c>
      <c r="Q39" s="22">
        <f t="shared" si="53"/>
        <v>316.00425931230865</v>
      </c>
      <c r="R39" s="62">
        <f t="shared" si="0"/>
        <v>609.33759264564196</v>
      </c>
      <c r="S39" s="62">
        <f ca="1">AVERAGE(OFFSET($R$3,0,0,'Données projet'!$E$9+1,1))-AVERAGE(OFFSET($H$3,0,0,'Données projet'!$E$9+1,1))</f>
        <v>493.70175665335978</v>
      </c>
      <c r="T39" s="62">
        <f t="shared" si="34"/>
        <v>325.12357781685949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10.836630036630035</v>
      </c>
      <c r="AI39" s="14">
        <f>IF('Données projet'!$A$62&gt;35,AI38+AH39-AQ38,IF(A39&lt;'Données projet'!$A$62,$AF$205^A39,IF(A39='Données projet'!$A$62,'Données projet'!$B$62,AI38+AH39-AQ38)))</f>
        <v>212.27362637362631</v>
      </c>
      <c r="AJ39" s="14">
        <f>AI39*VLOOKUP('Données projet'!$B$10,Paramètres!$A$1:$I$89,3,0)*VLOOKUP('Données projet'!$B$10,Paramètres!$A$1:$I$89,5,0)</f>
        <v>99.34405714285711</v>
      </c>
      <c r="AK39" s="14">
        <f t="shared" si="35"/>
        <v>26.805668404550939</v>
      </c>
      <c r="AL39" s="22">
        <f t="shared" si="4"/>
        <v>219.71077199506905</v>
      </c>
      <c r="AM39" s="62">
        <f t="shared" si="5"/>
        <v>513.04410532840234</v>
      </c>
      <c r="AN39" s="62">
        <f ca="1">AVERAGE(OFFSET($AM$3,0,0,'Données projet'!$E$10+1,1))-AVERAGE(OFFSET($H$3,0,0,'Données projet'!$E$10+1,1))</f>
        <v>284.0976902574692</v>
      </c>
      <c r="AO39" s="62">
        <f t="shared" si="36"/>
        <v>190.4880882944471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112.55712000000001</v>
      </c>
      <c r="BF39" s="14">
        <f t="shared" si="37"/>
        <v>29.932653834140599</v>
      </c>
      <c r="BG39" s="22">
        <f t="shared" si="7"/>
        <v>248.16968942779488</v>
      </c>
      <c r="BH39" s="62">
        <f t="shared" si="8"/>
        <v>541.50302276112825</v>
      </c>
      <c r="BI39" s="62">
        <f ca="1">AVERAGE(OFFSET($BH$3,0,0,'Données projet'!$E$11+1,1))-AVERAGE(OFFSET($H$3,0,0,'Données projet'!$E$11+1,1))</f>
        <v>428.8489304403459</v>
      </c>
      <c r="BJ39" s="62">
        <f t="shared" si="38"/>
        <v>247.01165577562966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144.05409916132993</v>
      </c>
      <c r="CE39" s="62">
        <f t="shared" si="40"/>
        <v>409.2784174616832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64.323031147430655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64.323031147430655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18.229670329670324</v>
      </c>
      <c r="CT39" s="13">
        <f>IF('Données projet'!$A$140&gt;35,CT38+CS39-DB38,IF(A39&lt;'Données projet'!$A$140,$CQ$205^A39,IF(A39='Données projet'!$A$140,'Données projet'!$B$140,CT38+CS39-DB38)))</f>
        <v>253.22197802197803</v>
      </c>
      <c r="CU39" s="18">
        <f>CT39*VLOOKUP('Données projet'!$B$13,Paramètres!$A$1:$I$89,3,0)*VLOOKUP('Données projet'!$B$13,Paramètres!$A$1:$I$89,5,0)</f>
        <v>141.55108571428573</v>
      </c>
      <c r="CV39" s="14">
        <f t="shared" si="41"/>
        <v>36.652109269178766</v>
      </c>
      <c r="CW39" s="22">
        <f t="shared" si="13"/>
        <v>310.37056459620067</v>
      </c>
      <c r="CX39" s="62">
        <f t="shared" si="14"/>
        <v>603.70389792953392</v>
      </c>
      <c r="CY39" s="62">
        <f ca="1">AVERAGE(OFFSET($CX$3,0,0,'Données projet'!$E$13+1,1))-AVERAGE(OFFSET($H$3,0,0,'Données projet'!$E$13+1,1))</f>
        <v>321.13335003345236</v>
      </c>
      <c r="CZ39" s="62">
        <f t="shared" si="42"/>
        <v>301.26825075712128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17.458405776837793</v>
      </c>
      <c r="DH39" s="23">
        <f>EXP(-LN(2)/2)*DH38+(1-EXP(-LN(2)/2))/(LN(2)/2)*DB39*DE39*VLOOKUP('Données projet'!$B$13,Paramètres!$A$1:$I$89,3,0)*0.475*44/12</f>
        <v>1.2326477085997907</v>
      </c>
      <c r="DI39" s="24">
        <f t="shared" si="15"/>
        <v>18.691053485437585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6.5384615384615357</v>
      </c>
      <c r="N40" s="14">
        <f>IF('Données projet'!$A$36&gt;35,N39+M40-V39,IF(A40&lt;'Données projet'!$A$36,$K$205^A40,IF(A40='Données projet'!$A$36,'Données projet'!$B$36,N39+M40-V39)))</f>
        <v>144.48717948717947</v>
      </c>
      <c r="O40" s="14">
        <f>N40*VLOOKUP('Données projet'!$B$9,Paramètres!$A$1:$I$89,3,0)*VLOOKUP('Données projet'!$B$9,Paramètres!$A$1:$I$89,5,0)</f>
        <v>151.018</v>
      </c>
      <c r="P40" s="14">
        <f t="shared" si="33"/>
        <v>38.809838626521376</v>
      </c>
      <c r="Q40" s="22">
        <f t="shared" si="53"/>
        <v>330.61681894119141</v>
      </c>
      <c r="R40" s="62">
        <f t="shared" si="0"/>
        <v>623.95015227452473</v>
      </c>
      <c r="S40" s="62">
        <f ca="1">AVERAGE(OFFSET($R$3,0,0,'Données projet'!$E$9+1,1))-AVERAGE(OFFSET($H$3,0,0,'Données projet'!$E$9+1,1))</f>
        <v>493.70175665335978</v>
      </c>
      <c r="T40" s="62">
        <f t="shared" si="34"/>
        <v>325.12357781685949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10.836630036630035</v>
      </c>
      <c r="AI40" s="14">
        <f>IF('Données projet'!$A$62&gt;35,AI39+AH40-AQ39,IF(A40&lt;'Données projet'!$A$62,$AF$205^A40,IF(A40='Données projet'!$A$62,'Données projet'!$B$62,AI39+AH40-AQ39)))</f>
        <v>223.11025641025634</v>
      </c>
      <c r="AJ40" s="14">
        <f>AI40*VLOOKUP('Données projet'!$B$10,Paramètres!$A$1:$I$89,3,0)*VLOOKUP('Données projet'!$B$10,Paramètres!$A$1:$I$89,5,0)</f>
        <v>104.41559999999997</v>
      </c>
      <c r="AK40" s="14">
        <f t="shared" si="35"/>
        <v>28.011293371295146</v>
      </c>
      <c r="AL40" s="22">
        <f t="shared" si="4"/>
        <v>230.64350595500562</v>
      </c>
      <c r="AM40" s="62">
        <f t="shared" si="5"/>
        <v>523.97683928833897</v>
      </c>
      <c r="AN40" s="62">
        <f ca="1">AVERAGE(OFFSET($AM$3,0,0,'Données projet'!$E$10+1,1))-AVERAGE(OFFSET($H$3,0,0,'Données projet'!$E$10+1,1))</f>
        <v>284.0976902574692</v>
      </c>
      <c r="AO40" s="62">
        <f t="shared" si="36"/>
        <v>190.4880882944471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120.15744000000001</v>
      </c>
      <c r="BF40" s="14">
        <f t="shared" si="37"/>
        <v>31.711716786129845</v>
      </c>
      <c r="BG40" s="22">
        <f t="shared" si="7"/>
        <v>264.50544806917611</v>
      </c>
      <c r="BH40" s="62">
        <f t="shared" si="8"/>
        <v>557.83878140250943</v>
      </c>
      <c r="BI40" s="62">
        <f ca="1">AVERAGE(OFFSET($BH$3,0,0,'Données projet'!$E$11+1,1))-AVERAGE(OFFSET($H$3,0,0,'Données projet'!$E$11+1,1))</f>
        <v>428.8489304403459</v>
      </c>
      <c r="BJ40" s="62">
        <f t="shared" si="38"/>
        <v>247.01165577562966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144.05409916132993</v>
      </c>
      <c r="CE40" s="62">
        <f t="shared" si="40"/>
        <v>409.2784174616832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63.061695739804584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63.061695739804584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18.229670329670324</v>
      </c>
      <c r="CT40" s="13">
        <f>IF('Données projet'!$A$140&gt;35,CT39+CS40-DB39,IF(A40&lt;'Données projet'!$A$140,$CQ$205^A40,IF(A40='Données projet'!$A$140,'Données projet'!$B$140,CT39+CS40-DB39)))</f>
        <v>271.45164835164837</v>
      </c>
      <c r="CU40" s="18">
        <f>CT40*VLOOKUP('Données projet'!$B$13,Paramètres!$A$1:$I$89,3,0)*VLOOKUP('Données projet'!$B$13,Paramètres!$A$1:$I$89,5,0)</f>
        <v>151.74147142857143</v>
      </c>
      <c r="CV40" s="14">
        <f t="shared" si="41"/>
        <v>38.974074991810518</v>
      </c>
      <c r="CW40" s="22">
        <f t="shared" si="13"/>
        <v>332.16291001549854</v>
      </c>
      <c r="CX40" s="62">
        <f t="shared" si="14"/>
        <v>625.49624334883185</v>
      </c>
      <c r="CY40" s="62">
        <f ca="1">AVERAGE(OFFSET($CX$3,0,0,'Données projet'!$E$13+1,1))-AVERAGE(OFFSET($H$3,0,0,'Données projet'!$E$13+1,1))</f>
        <v>321.13335003345236</v>
      </c>
      <c r="CZ40" s="62">
        <f t="shared" si="42"/>
        <v>301.26825075712128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16.981004752772506</v>
      </c>
      <c r="DH40" s="23">
        <f>EXP(-LN(2)/2)*DH39+(1-EXP(-LN(2)/2))/(LN(2)/2)*DB40*DE40*VLOOKUP('Données projet'!$B$13,Paramètres!$A$1:$I$89,3,0)*0.475*44/12</f>
        <v>0.87161355356497139</v>
      </c>
      <c r="DI40" s="24">
        <f t="shared" si="15"/>
        <v>17.852618306337476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6.5384615384615357</v>
      </c>
      <c r="N41" s="14">
        <f>IF('Données projet'!$A$36&gt;35,N40+M41-V40,IF(A41&lt;'Données projet'!$A$36,$K$205^A41,IF(A41='Données projet'!$A$36,'Données projet'!$B$36,N40+M41-V40)))</f>
        <v>151.02564102564102</v>
      </c>
      <c r="O41" s="14">
        <f>N41*VLOOKUP('Données projet'!$B$9,Paramètres!$A$1:$I$89,3,0)*VLOOKUP('Données projet'!$B$9,Paramètres!$A$1:$I$89,5,0)</f>
        <v>157.852</v>
      </c>
      <c r="P41" s="14">
        <f t="shared" si="33"/>
        <v>40.357647559226351</v>
      </c>
      <c r="Q41" s="22">
        <f t="shared" si="53"/>
        <v>345.21513616565261</v>
      </c>
      <c r="R41" s="62">
        <f t="shared" si="0"/>
        <v>638.54846949898592</v>
      </c>
      <c r="S41" s="62">
        <f ca="1">AVERAGE(OFFSET($R$3,0,0,'Données projet'!$E$9+1,1))-AVERAGE(OFFSET($H$3,0,0,'Données projet'!$E$9+1,1))</f>
        <v>493.70175665335978</v>
      </c>
      <c r="T41" s="62">
        <f t="shared" si="34"/>
        <v>325.12357781685949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10.836630036630035</v>
      </c>
      <c r="AI41" s="14">
        <f>IF('Données projet'!$A$62&gt;35,AI40+AH41-AQ40,IF(A41&lt;'Données projet'!$A$62,$AF$205^A41,IF(A41='Données projet'!$A$62,'Données projet'!$B$62,AI40+AH41-AQ40)))</f>
        <v>233.94688644688637</v>
      </c>
      <c r="AJ41" s="14">
        <f>AI41*VLOOKUP('Données projet'!$B$10,Paramètres!$A$1:$I$89,3,0)*VLOOKUP('Données projet'!$B$10,Paramètres!$A$1:$I$89,5,0)</f>
        <v>109.48714285714281</v>
      </c>
      <c r="AK41" s="14">
        <f t="shared" si="35"/>
        <v>29.210118584697934</v>
      </c>
      <c r="AL41" s="22">
        <f t="shared" si="4"/>
        <v>241.56439701120595</v>
      </c>
      <c r="AM41" s="62">
        <f t="shared" si="5"/>
        <v>534.89773034453924</v>
      </c>
      <c r="AN41" s="62">
        <f ca="1">AVERAGE(OFFSET($AM$3,0,0,'Données projet'!$E$10+1,1))-AVERAGE(OFFSET($H$3,0,0,'Données projet'!$E$10+1,1))</f>
        <v>284.0976902574692</v>
      </c>
      <c r="AO41" s="62">
        <f t="shared" si="36"/>
        <v>190.4880882944471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127.75776</v>
      </c>
      <c r="BF41" s="14">
        <f t="shared" si="37"/>
        <v>33.477720030956604</v>
      </c>
      <c r="BG41" s="22">
        <f t="shared" si="7"/>
        <v>280.81846105391611</v>
      </c>
      <c r="BH41" s="62">
        <f t="shared" si="8"/>
        <v>574.15179438724942</v>
      </c>
      <c r="BI41" s="62">
        <f ca="1">AVERAGE(OFFSET($BH$3,0,0,'Données projet'!$E$11+1,1))-AVERAGE(OFFSET($H$3,0,0,'Données projet'!$E$11+1,1))</f>
        <v>428.8489304403459</v>
      </c>
      <c r="BJ41" s="62">
        <f t="shared" si="38"/>
        <v>247.01165577562966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144.05409916132993</v>
      </c>
      <c r="CE41" s="62">
        <f t="shared" si="40"/>
        <v>409.2784174616832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61.825094350183427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61.825094350183427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18.229670329670324</v>
      </c>
      <c r="CT41" s="13">
        <f>IF('Données projet'!$A$140&gt;35,CT40+CS41-DB40,IF(A41&lt;'Données projet'!$A$140,$CQ$205^A41,IF(A41='Données projet'!$A$140,'Données projet'!$B$140,CT40+CS41-DB40)))</f>
        <v>289.68131868131871</v>
      </c>
      <c r="CU41" s="18">
        <f>CT41*VLOOKUP('Données projet'!$B$13,Paramètres!$A$1:$I$89,3,0)*VLOOKUP('Données projet'!$B$13,Paramètres!$A$1:$I$89,5,0)</f>
        <v>161.93185714285718</v>
      </c>
      <c r="CV41" s="14">
        <f t="shared" si="41"/>
        <v>41.277946347593272</v>
      </c>
      <c r="CW41" s="22">
        <f t="shared" si="13"/>
        <v>353.92374107920119</v>
      </c>
      <c r="CX41" s="62">
        <f t="shared" si="14"/>
        <v>647.25707441253451</v>
      </c>
      <c r="CY41" s="62">
        <f ca="1">AVERAGE(OFFSET($CX$3,0,0,'Données projet'!$E$13+1,1))-AVERAGE(OFFSET($H$3,0,0,'Données projet'!$E$13+1,1))</f>
        <v>321.13335003345236</v>
      </c>
      <c r="CZ41" s="62">
        <f t="shared" si="42"/>
        <v>301.26825075712128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16.516658284815712</v>
      </c>
      <c r="DH41" s="23">
        <f>EXP(-LN(2)/2)*DH40+(1-EXP(-LN(2)/2))/(LN(2)/2)*DB41*DE41*VLOOKUP('Données projet'!$B$13,Paramètres!$A$1:$I$89,3,0)*0.475*44/12</f>
        <v>0.61632385429989534</v>
      </c>
      <c r="DI41" s="24">
        <f t="shared" si="15"/>
        <v>17.132982139115608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6.5384615384615357</v>
      </c>
      <c r="N42" s="14">
        <f>IF('Données projet'!$A$36&gt;35,N41+M42-V41,IF(A42&lt;'Données projet'!$A$36,$K$205^A42,IF(A42='Données projet'!$A$36,'Données projet'!$B$36,N41+M42-V41)))</f>
        <v>157.56410256410257</v>
      </c>
      <c r="O42" s="14">
        <f>N42*VLOOKUP('Données projet'!$B$9,Paramètres!$A$1:$I$89,3,0)*VLOOKUP('Données projet'!$B$9,Paramètres!$A$1:$I$89,5,0)</f>
        <v>164.68600000000001</v>
      </c>
      <c r="P42" s="14">
        <f t="shared" si="33"/>
        <v>41.89767353409232</v>
      </c>
      <c r="Q42" s="22">
        <f t="shared" si="53"/>
        <v>359.79989807187752</v>
      </c>
      <c r="R42" s="62">
        <f t="shared" si="0"/>
        <v>653.13323140521084</v>
      </c>
      <c r="S42" s="62">
        <f ca="1">AVERAGE(OFFSET($R$3,0,0,'Données projet'!$E$9+1,1))-AVERAGE(OFFSET($H$3,0,0,'Données projet'!$E$9+1,1))</f>
        <v>493.70175665335978</v>
      </c>
      <c r="T42" s="62">
        <f t="shared" si="34"/>
        <v>325.12357781685949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10.836630036630035</v>
      </c>
      <c r="AI42" s="14">
        <f>IF('Données projet'!$A$62&gt;35,AI41+AH42-AQ41,IF(A42&lt;'Données projet'!$A$62,$AF$205^A42,IF(A42='Données projet'!$A$62,'Données projet'!$B$62,AI41+AH42-AQ41)))</f>
        <v>244.78351648351639</v>
      </c>
      <c r="AJ42" s="14">
        <f>AI42*VLOOKUP('Données projet'!$B$10,Paramètres!$A$1:$I$89,3,0)*VLOOKUP('Données projet'!$B$10,Paramètres!$A$1:$I$89,5,0)</f>
        <v>114.55868571428567</v>
      </c>
      <c r="AK42" s="14">
        <f t="shared" si="35"/>
        <v>30.402494988337491</v>
      </c>
      <c r="AL42" s="22">
        <f t="shared" si="4"/>
        <v>252.47405639040196</v>
      </c>
      <c r="AM42" s="62">
        <f t="shared" si="5"/>
        <v>545.80738972373524</v>
      </c>
      <c r="AN42" s="62">
        <f ca="1">AVERAGE(OFFSET($AM$3,0,0,'Données projet'!$E$10+1,1))-AVERAGE(OFFSET($H$3,0,0,'Données projet'!$E$10+1,1))</f>
        <v>284.0976902574692</v>
      </c>
      <c r="AO42" s="62">
        <f t="shared" si="36"/>
        <v>190.4880882944471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135.35808</v>
      </c>
      <c r="BF42" s="14">
        <f t="shared" si="37"/>
        <v>35.231528980112834</v>
      </c>
      <c r="BG42" s="22">
        <f t="shared" si="7"/>
        <v>297.11023564036316</v>
      </c>
      <c r="BH42" s="62">
        <f t="shared" si="8"/>
        <v>590.44356897369653</v>
      </c>
      <c r="BI42" s="62">
        <f ca="1">AVERAGE(OFFSET($BH$3,0,0,'Données projet'!$E$11+1,1))-AVERAGE(OFFSET($H$3,0,0,'Données projet'!$E$11+1,1))</f>
        <v>428.8489304403459</v>
      </c>
      <c r="BJ42" s="62">
        <f t="shared" si="38"/>
        <v>247.01165577562966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144.05409916132993</v>
      </c>
      <c r="CE42" s="62">
        <f t="shared" si="40"/>
        <v>409.2784174616832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60.612741959560374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60.612741959560374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18.229670329670324</v>
      </c>
      <c r="CT42" s="13">
        <f>IF('Données projet'!$A$140&gt;35,CT41+CS42-DB41,IF(A42&lt;'Données projet'!$A$140,$CQ$205^A42,IF(A42='Données projet'!$A$140,'Données projet'!$B$140,CT41+CS42-DB41)))</f>
        <v>307.91098901098906</v>
      </c>
      <c r="CU42" s="18">
        <f>CT42*VLOOKUP('Données projet'!$B$13,Paramètres!$A$1:$I$89,3,0)*VLOOKUP('Données projet'!$B$13,Paramètres!$A$1:$I$89,5,0)</f>
        <v>172.12224285714288</v>
      </c>
      <c r="CV42" s="14">
        <f t="shared" si="41"/>
        <v>43.564991640658711</v>
      </c>
      <c r="CW42" s="22">
        <f t="shared" si="13"/>
        <v>375.65526675033772</v>
      </c>
      <c r="CX42" s="62">
        <f t="shared" si="14"/>
        <v>668.98860008367103</v>
      </c>
      <c r="CY42" s="62">
        <f ca="1">AVERAGE(OFFSET($CX$3,0,0,'Données projet'!$E$13+1,1))-AVERAGE(OFFSET($H$3,0,0,'Données projet'!$E$13+1,1))</f>
        <v>321.13335003345236</v>
      </c>
      <c r="CZ42" s="62">
        <f t="shared" si="42"/>
        <v>301.26825075712128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16.065009395444118</v>
      </c>
      <c r="DH42" s="23">
        <f>EXP(-LN(2)/2)*DH41+(1-EXP(-LN(2)/2))/(LN(2)/2)*DB42*DE42*VLOOKUP('Données projet'!$B$13,Paramètres!$A$1:$I$89,3,0)*0.475*44/12</f>
        <v>0.43580677678248569</v>
      </c>
      <c r="DI42" s="24">
        <f t="shared" si="15"/>
        <v>16.500816172226603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164.10256410256409</v>
      </c>
      <c r="L43" s="13">
        <f>VLOOKUP(A43,'Données projet'!$A$35:$I$55,9,0)</f>
        <v>6.5384615384615357</v>
      </c>
      <c r="M43" s="13">
        <f t="array" ref="M43">INDEX(L:L,MIN(IF(ISNUMBER(L43:L239),ROW(L43:L239),"")))</f>
        <v>6.5384615384615357</v>
      </c>
      <c r="N43" s="14">
        <f>IF('Données projet'!$A$36&gt;35,N42+M43-V42,IF(A43&lt;'Données projet'!$A$36,$K$205^A43,IF(A43='Données projet'!$A$36,'Données projet'!$B$36,N42+M43-V42)))</f>
        <v>164.10256410256412</v>
      </c>
      <c r="O43" s="14">
        <f>N43*VLOOKUP('Données projet'!$B$9,Paramètres!$A$1:$I$89,3,0)*VLOOKUP('Données projet'!$B$9,Paramètres!$A$1:$I$89,5,0)</f>
        <v>171.52000000000004</v>
      </c>
      <c r="P43" s="14">
        <f t="shared" si="33"/>
        <v>43.430276456724698</v>
      </c>
      <c r="Q43" s="22">
        <f t="shared" si="53"/>
        <v>374.3717314954622</v>
      </c>
      <c r="R43" s="62">
        <f t="shared" si="0"/>
        <v>667.70506482879546</v>
      </c>
      <c r="S43" s="62">
        <f ca="1">AVERAGE(OFFSET($R$3,0,0,'Données projet'!$E$9+1,1))-AVERAGE(OFFSET($H$3,0,0,'Données projet'!$E$9+1,1))</f>
        <v>493.70175665335978</v>
      </c>
      <c r="T43" s="62">
        <f t="shared" si="34"/>
        <v>325.12357781685949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22.435897435897434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10.836630036630035</v>
      </c>
      <c r="AI43" s="14">
        <f>IF('Données projet'!$A$62&gt;35,AI42+AH43-AQ42,IF(A43&lt;'Données projet'!$A$62,$AF$205^A43,IF(A43='Données projet'!$A$62,'Données projet'!$B$62,AI42+AH43-AQ42)))</f>
        <v>255.62014652014642</v>
      </c>
      <c r="AJ43" s="14">
        <f>AI43*VLOOKUP('Données projet'!$B$10,Paramètres!$A$1:$I$89,3,0)*VLOOKUP('Données projet'!$B$10,Paramètres!$A$1:$I$89,5,0)</f>
        <v>119.63022857142853</v>
      </c>
      <c r="AK43" s="14">
        <f t="shared" si="35"/>
        <v>31.588740696214199</v>
      </c>
      <c r="AL43" s="22">
        <f t="shared" si="4"/>
        <v>263.37303814114438</v>
      </c>
      <c r="AM43" s="62">
        <f t="shared" si="5"/>
        <v>556.70637147447769</v>
      </c>
      <c r="AN43" s="62">
        <f ca="1">AVERAGE(OFFSET($AM$3,0,0,'Données projet'!$E$10+1,1))-AVERAGE(OFFSET($H$3,0,0,'Données projet'!$E$10+1,1))</f>
        <v>284.0976902574692</v>
      </c>
      <c r="AO43" s="62">
        <f t="shared" si="36"/>
        <v>190.4880882944471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142.95840000000004</v>
      </c>
      <c r="BF43" s="14">
        <f t="shared" si="37"/>
        <v>36.973906370811264</v>
      </c>
      <c r="BG43" s="22">
        <f t="shared" si="7"/>
        <v>313.38210026249641</v>
      </c>
      <c r="BH43" s="62">
        <f t="shared" si="8"/>
        <v>606.71543359582972</v>
      </c>
      <c r="BI43" s="62">
        <f ca="1">AVERAGE(OFFSET($BH$3,0,0,'Données projet'!$E$11+1,1))-AVERAGE(OFFSET($H$3,0,0,'Données projet'!$E$11+1,1))</f>
        <v>428.8489304403459</v>
      </c>
      <c r="BJ43" s="62">
        <f t="shared" si="38"/>
        <v>247.01165577562966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144.05409916132993</v>
      </c>
      <c r="CE43" s="62">
        <f t="shared" si="40"/>
        <v>409.2784174616832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59.424163059855495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59.424163059855495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18.229670329670324</v>
      </c>
      <c r="CT43" s="13">
        <f>IF('Données projet'!$A$140&gt;35,CT42+CS43-DB42,IF(A43&lt;'Données projet'!$A$140,$CQ$205^A43,IF(A43='Données projet'!$A$140,'Données projet'!$B$140,CT42+CS43-DB42)))</f>
        <v>326.1406593406594</v>
      </c>
      <c r="CU43" s="18">
        <f>CT43*VLOOKUP('Données projet'!$B$13,Paramètres!$A$1:$I$89,3,0)*VLOOKUP('Données projet'!$B$13,Paramètres!$A$1:$I$89,5,0)</f>
        <v>182.31262857142863</v>
      </c>
      <c r="CV43" s="14">
        <f t="shared" si="41"/>
        <v>45.836320512875446</v>
      </c>
      <c r="CW43" s="22">
        <f t="shared" si="13"/>
        <v>397.35941965516298</v>
      </c>
      <c r="CX43" s="62">
        <f t="shared" si="14"/>
        <v>690.6927529884963</v>
      </c>
      <c r="CY43" s="62">
        <f ca="1">AVERAGE(OFFSET($CX$3,0,0,'Données projet'!$E$13+1,1))-AVERAGE(OFFSET($H$3,0,0,'Données projet'!$E$13+1,1))</f>
        <v>321.13335003345236</v>
      </c>
      <c r="CZ43" s="62">
        <f t="shared" si="42"/>
        <v>301.26825075712128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15.625710868703571</v>
      </c>
      <c r="DH43" s="23">
        <f>EXP(-LN(2)/2)*DH42+(1-EXP(-LN(2)/2))/(LN(2)/2)*DB43*DE43*VLOOKUP('Données projet'!$B$13,Paramètres!$A$1:$I$89,3,0)*0.475*44/12</f>
        <v>0.30816192714994767</v>
      </c>
      <c r="DI43" s="24">
        <f t="shared" si="15"/>
        <v>15.933872795853519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6.2820512820512819</v>
      </c>
      <c r="N44" s="14">
        <f>IF('Données projet'!$A$36&gt;35,N43+M44-V43,IF(A44&lt;'Données projet'!$A$36,$K$205^A44,IF(A44='Données projet'!$A$36,'Données projet'!$B$36,N43+M44-V43)))</f>
        <v>147.94871794871796</v>
      </c>
      <c r="O44" s="14">
        <f>N44*VLOOKUP('Données projet'!$B$9,Paramètres!$A$1:$I$89,3,0)*VLOOKUP('Données projet'!$B$9,Paramètres!$A$1:$I$89,5,0)</f>
        <v>154.63600000000002</v>
      </c>
      <c r="P44" s="14">
        <f t="shared" si="33"/>
        <v>39.630259615196607</v>
      </c>
      <c r="Q44" s="22">
        <f t="shared" si="53"/>
        <v>338.34706882980078</v>
      </c>
      <c r="R44" s="62">
        <f t="shared" si="0"/>
        <v>631.68040216313409</v>
      </c>
      <c r="S44" s="62">
        <f ca="1">AVERAGE(OFFSET($R$3,0,0,'Données projet'!$E$9+1,1))-AVERAGE(OFFSET($H$3,0,0,'Données projet'!$E$9+1,1))</f>
        <v>493.70175665335978</v>
      </c>
      <c r="T44" s="62">
        <f t="shared" si="34"/>
        <v>325.12357781685949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10.836630036630035</v>
      </c>
      <c r="AI44" s="14">
        <f>IF('Données projet'!$A$62&gt;35,AI43+AH44-AQ43,IF(A44&lt;'Données projet'!$A$62,$AF$205^A44,IF(A44='Données projet'!$A$62,'Données projet'!$B$62,AI43+AH44-AQ43)))</f>
        <v>266.45677655677645</v>
      </c>
      <c r="AJ44" s="14">
        <f>AI44*VLOOKUP('Données projet'!$B$10,Paramètres!$A$1:$I$89,3,0)*VLOOKUP('Données projet'!$B$10,Paramètres!$A$1:$I$89,5,0)</f>
        <v>124.70177142857139</v>
      </c>
      <c r="AK44" s="14">
        <f t="shared" si="35"/>
        <v>32.769145324734197</v>
      </c>
      <c r="AL44" s="22">
        <f t="shared" si="4"/>
        <v>274.26184667867386</v>
      </c>
      <c r="AM44" s="62">
        <f t="shared" si="5"/>
        <v>567.59518001200718</v>
      </c>
      <c r="AN44" s="62">
        <f ca="1">AVERAGE(OFFSET($AM$3,0,0,'Données projet'!$E$10+1,1))-AVERAGE(OFFSET($H$3,0,0,'Données projet'!$E$10+1,1))</f>
        <v>284.0976902574692</v>
      </c>
      <c r="AO44" s="62">
        <f t="shared" si="36"/>
        <v>190.4880882944471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428.8489304403459</v>
      </c>
      <c r="BJ44" s="62">
        <f t="shared" si="38"/>
        <v>247.01165577562966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144.05409916132993</v>
      </c>
      <c r="CE44" s="62">
        <f t="shared" si="40"/>
        <v>409.2784174616832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58.258891467412283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58.258891467412283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18.229670329670324</v>
      </c>
      <c r="CT44" s="13">
        <f>IF('Données projet'!$A$140&gt;35,CT43+CS44-DB43,IF(A44&lt;'Données projet'!$A$140,$CQ$205^A44,IF(A44='Données projet'!$A$140,'Données projet'!$B$140,CT43+CS44-DB43)))</f>
        <v>344.37032967032974</v>
      </c>
      <c r="CU44" s="18">
        <f>CT44*VLOOKUP('Données projet'!$B$13,Paramètres!$A$1:$I$89,3,0)*VLOOKUP('Données projet'!$B$13,Paramètres!$A$1:$I$89,5,0)</f>
        <v>192.50301428571433</v>
      </c>
      <c r="CV44" s="14">
        <f t="shared" si="41"/>
        <v>48.092911552862631</v>
      </c>
      <c r="CW44" s="22">
        <f t="shared" si="13"/>
        <v>419.03790416885482</v>
      </c>
      <c r="CX44" s="62">
        <f t="shared" si="14"/>
        <v>712.37123750218814</v>
      </c>
      <c r="CY44" s="62">
        <f ca="1">AVERAGE(OFFSET($CX$3,0,0,'Données projet'!$E$13+1,1))-AVERAGE(OFFSET($H$3,0,0,'Données projet'!$E$13+1,1))</f>
        <v>321.13335003345236</v>
      </c>
      <c r="CZ44" s="62">
        <f t="shared" si="42"/>
        <v>301.26825075712128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15.19842498327845</v>
      </c>
      <c r="DH44" s="23">
        <f>EXP(-LN(2)/2)*DH43+(1-EXP(-LN(2)/2))/(LN(2)/2)*DB44*DE44*VLOOKUP('Données projet'!$B$13,Paramètres!$A$1:$I$89,3,0)*0.475*44/12</f>
        <v>0.21790338839124285</v>
      </c>
      <c r="DI44" s="24">
        <f t="shared" si="15"/>
        <v>15.416328371669692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6.2820512820512819</v>
      </c>
      <c r="N45" s="14">
        <f>IF('Données projet'!$A$36&gt;35,N44+M45-V44,IF(A45&lt;'Données projet'!$A$36,$K$205^A45,IF(A45='Données projet'!$A$36,'Données projet'!$B$36,N44+M45-V44)))</f>
        <v>154.23076923076923</v>
      </c>
      <c r="O45" s="14">
        <f>N45*VLOOKUP('Données projet'!$B$9,Paramètres!$A$1:$I$89,3,0)*VLOOKUP('Données projet'!$B$9,Paramètres!$A$1:$I$89,5,0)</f>
        <v>161.20200000000003</v>
      </c>
      <c r="P45" s="14">
        <f t="shared" si="33"/>
        <v>41.113511653265036</v>
      </c>
      <c r="Q45" s="22">
        <f t="shared" si="53"/>
        <v>352.36618279610326</v>
      </c>
      <c r="R45" s="62">
        <f t="shared" si="0"/>
        <v>645.69951612943657</v>
      </c>
      <c r="S45" s="62">
        <f ca="1">AVERAGE(OFFSET($R$3,0,0,'Données projet'!$E$9+1,1))-AVERAGE(OFFSET($H$3,0,0,'Données projet'!$E$9+1,1))</f>
        <v>493.70175665335978</v>
      </c>
      <c r="T45" s="62">
        <f t="shared" si="34"/>
        <v>325.12357781685949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10.836630036630035</v>
      </c>
      <c r="AI45" s="14">
        <f>IF('Données projet'!$A$62&gt;35,AI44+AH45-AQ44,IF(A45&lt;'Données projet'!$A$62,$AF$205^A45,IF(A45='Données projet'!$A$62,'Données projet'!$B$62,AI44+AH45-AQ44)))</f>
        <v>277.29340659340647</v>
      </c>
      <c r="AJ45" s="14">
        <f>AI45*VLOOKUP('Données projet'!$B$10,Paramètres!$A$1:$I$89,3,0)*VLOOKUP('Données projet'!$B$10,Paramètres!$A$1:$I$89,5,0)</f>
        <v>129.77331428571424</v>
      </c>
      <c r="AK45" s="14">
        <f t="shared" si="35"/>
        <v>33.943973600132217</v>
      </c>
      <c r="AL45" s="22">
        <f t="shared" si="4"/>
        <v>285.14094306784921</v>
      </c>
      <c r="AM45" s="62">
        <f t="shared" si="5"/>
        <v>578.47427640118258</v>
      </c>
      <c r="AN45" s="62">
        <f ca="1">AVERAGE(OFFSET($AM$3,0,0,'Données projet'!$E$10+1,1))-AVERAGE(OFFSET($H$3,0,0,'Données projet'!$E$10+1,1))</f>
        <v>284.0976902574692</v>
      </c>
      <c r="AO45" s="62">
        <f t="shared" si="36"/>
        <v>190.4880882944471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557.83878140250954</v>
      </c>
      <c r="BI45" s="62">
        <f ca="1">AVERAGE(OFFSET($BH$3,0,0,'Données projet'!$E$11+1,1))-AVERAGE(OFFSET($H$3,0,0,'Données projet'!$E$11+1,1))</f>
        <v>428.8489304403459</v>
      </c>
      <c r="BJ45" s="62">
        <f t="shared" si="38"/>
        <v>247.01165577562966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144.05409916132993</v>
      </c>
      <c r="CE45" s="62">
        <f t="shared" si="40"/>
        <v>409.2784174616832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57.116470140151392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57.116470140151392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362.59999999999997</v>
      </c>
      <c r="CR45" s="13">
        <f>VLOOKUP(A45,'Données projet'!$A$139:$I$159,9,0)</f>
        <v>18.229670329670324</v>
      </c>
      <c r="CS45" s="13">
        <f t="array" ref="CS45">INDEX(CR:CR,MIN(IF(ISNUMBER(CR45:CR241),ROW(CR45:CR241),"")))</f>
        <v>18.229670329670324</v>
      </c>
      <c r="CT45" s="13">
        <f>IF('Données projet'!$A$140&gt;35,CT44+CS45-DB44,IF(A45&lt;'Données projet'!$A$140,$CQ$205^A45,IF(A45='Données projet'!$A$140,'Données projet'!$B$140,CT44+CS45-DB44)))</f>
        <v>362.60000000000008</v>
      </c>
      <c r="CU45" s="18">
        <f>CT45*VLOOKUP('Données projet'!$B$13,Paramètres!$A$1:$I$89,3,0)*VLOOKUP('Données projet'!$B$13,Paramètres!$A$1:$I$89,5,0)</f>
        <v>202.69340000000005</v>
      </c>
      <c r="CV45" s="14">
        <f t="shared" si="41"/>
        <v>50.335633892078647</v>
      </c>
      <c r="CW45" s="22">
        <f t="shared" si="13"/>
        <v>440.69223402870375</v>
      </c>
      <c r="CX45" s="62">
        <f t="shared" si="14"/>
        <v>734.02556736203701</v>
      </c>
      <c r="CY45" s="62">
        <f ca="1">AVERAGE(OFFSET($CX$3,0,0,'Données projet'!$E$13+1,1))-AVERAGE(OFFSET($H$3,0,0,'Données projet'!$E$13+1,1))</f>
        <v>321.13335003345236</v>
      </c>
      <c r="CZ45" s="62">
        <f t="shared" si="42"/>
        <v>301.26825075712128</v>
      </c>
      <c r="DA45" s="16">
        <f>IF(ISNA(VLOOKUP(A45,'Données projet'!$A$139:$I$159,3,0)),0,VLOOKUP(A45,'Données projet'!$A$139:$I$159,3,0))</f>
        <v>4</v>
      </c>
      <c r="DB45" s="16">
        <f>IF(ISNA(VLOOKUP(A45,'Données projet'!$A$139:$I$159,4,0)),0,VLOOKUP(A45,'Données projet'!$A$139:$I$159,4,0))</f>
        <v>80.669230769230765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14.782823252860267</v>
      </c>
      <c r="DH45" s="23">
        <f>EXP(-LN(2)/2)*DH44+(1-EXP(-LN(2)/2))/(LN(2)/2)*DB45*DE45*VLOOKUP('Données projet'!$B$13,Paramètres!$A$1:$I$89,3,0)*0.475*44/12</f>
        <v>0.15408096357497383</v>
      </c>
      <c r="DI45" s="24">
        <f t="shared" si="15"/>
        <v>14.93690421643524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6.2820512820512819</v>
      </c>
      <c r="N46" s="14">
        <f>IF('Données projet'!$A$36&gt;35,N45+M46-V45,IF(A46&lt;'Données projet'!$A$36,$K$205^A46,IF(A46='Données projet'!$A$36,'Données projet'!$B$36,N45+M46-V45)))</f>
        <v>160.5128205128205</v>
      </c>
      <c r="O46" s="14">
        <f>N46*VLOOKUP('Données projet'!$B$9,Paramètres!$A$1:$I$89,3,0)*VLOOKUP('Données projet'!$B$9,Paramètres!$A$1:$I$89,5,0)</f>
        <v>167.768</v>
      </c>
      <c r="P46" s="14">
        <f t="shared" si="33"/>
        <v>42.589745970134487</v>
      </c>
      <c r="Q46" s="22">
        <f t="shared" si="53"/>
        <v>366.37307423131756</v>
      </c>
      <c r="R46" s="62">
        <f t="shared" si="0"/>
        <v>659.70640756465082</v>
      </c>
      <c r="S46" s="62">
        <f ca="1">AVERAGE(OFFSET($R$3,0,0,'Données projet'!$E$9+1,1))-AVERAGE(OFFSET($H$3,0,0,'Données projet'!$E$9+1,1))</f>
        <v>493.70175665335978</v>
      </c>
      <c r="T46" s="62">
        <f t="shared" si="34"/>
        <v>325.12357781685949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10.836630036630035</v>
      </c>
      <c r="AI46" s="14">
        <f>IF('Données projet'!$A$62&gt;35,AI45+AH46-AQ45,IF(A46&lt;'Données projet'!$A$62,$AF$205^A46,IF(A46='Données projet'!$A$62,'Données projet'!$B$62,AI45+AH46-AQ45)))</f>
        <v>288.1300366300365</v>
      </c>
      <c r="AJ46" s="14">
        <f>AI46*VLOOKUP('Données projet'!$B$10,Paramètres!$A$1:$I$89,3,0)*VLOOKUP('Données projet'!$B$10,Paramètres!$A$1:$I$89,5,0)</f>
        <v>134.84485714285708</v>
      </c>
      <c r="AK46" s="14">
        <f t="shared" si="35"/>
        <v>35.113468386115734</v>
      </c>
      <c r="AL46" s="22">
        <f t="shared" si="4"/>
        <v>296.0107502962943</v>
      </c>
      <c r="AM46" s="62">
        <f t="shared" si="5"/>
        <v>589.34408362962768</v>
      </c>
      <c r="AN46" s="62">
        <f ca="1">AVERAGE(OFFSET($AM$3,0,0,'Données projet'!$E$10+1,1))-AVERAGE(OFFSET($H$3,0,0,'Données projet'!$E$10+1,1))</f>
        <v>284.0976902574692</v>
      </c>
      <c r="AO46" s="62">
        <f t="shared" si="36"/>
        <v>190.4880882944471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428.8489304403459</v>
      </c>
      <c r="BJ46" s="62">
        <f t="shared" si="38"/>
        <v>247.01165577562966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144.05409916132993</v>
      </c>
      <c r="CE46" s="62">
        <f t="shared" si="40"/>
        <v>409.2784174616832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55.996450998309882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55.996450998309882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17.519780219780223</v>
      </c>
      <c r="CT46" s="13">
        <f>IF('Données projet'!$A$140&gt;35,CT45+CS46-DB45,IF(A46&lt;'Données projet'!$A$140,$CQ$205^A46,IF(A46='Données projet'!$A$140,'Données projet'!$B$140,CT45+CS46-DB45)))</f>
        <v>299.45054945054954</v>
      </c>
      <c r="CU46" s="18">
        <f>CT46*VLOOKUP('Données projet'!$B$13,Paramètres!$A$1:$I$89,3,0)*VLOOKUP('Données projet'!$B$13,Paramètres!$A$1:$I$89,5,0)</f>
        <v>167.3928571428572</v>
      </c>
      <c r="CV46" s="14">
        <f t="shared" si="41"/>
        <v>42.505586135425617</v>
      </c>
      <c r="CW46" s="22">
        <f t="shared" si="13"/>
        <v>365.57312204300916</v>
      </c>
      <c r="CX46" s="62">
        <f t="shared" si="14"/>
        <v>658.90645537634248</v>
      </c>
      <c r="CY46" s="62">
        <f ca="1">AVERAGE(OFFSET($CX$3,0,0,'Données projet'!$E$13+1,1))-AVERAGE(OFFSET($H$3,0,0,'Données projet'!$E$13+1,1))</f>
        <v>321.13335003345236</v>
      </c>
      <c r="CZ46" s="62">
        <f t="shared" si="42"/>
        <v>301.26825075712128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14.378586173615915</v>
      </c>
      <c r="DH46" s="23">
        <f>EXP(-LN(2)/2)*DH45+(1-EXP(-LN(2)/2))/(LN(2)/2)*DB46*DE46*VLOOKUP('Données projet'!$B$13,Paramètres!$A$1:$I$89,3,0)*0.475*44/12</f>
        <v>0.10895169419562142</v>
      </c>
      <c r="DI46" s="24">
        <f t="shared" si="15"/>
        <v>14.487537867811536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6.2820512820512819</v>
      </c>
      <c r="N47" s="14">
        <f>IF('Données projet'!$A$36&gt;35,N46+M47-V46,IF(A47&lt;'Données projet'!$A$36,$K$205^A47,IF(A47='Données projet'!$A$36,'Données projet'!$B$36,N46+M47-V46)))</f>
        <v>166.79487179487177</v>
      </c>
      <c r="O47" s="14">
        <f>N47*VLOOKUP('Données projet'!$B$9,Paramètres!$A$1:$I$89,3,0)*VLOOKUP('Données projet'!$B$9,Paramètres!$A$1:$I$89,5,0)</f>
        <v>174.334</v>
      </c>
      <c r="P47" s="14">
        <f t="shared" si="33"/>
        <v>44.059268652696204</v>
      </c>
      <c r="Q47" s="22">
        <f t="shared" si="53"/>
        <v>380.3682762367792</v>
      </c>
      <c r="R47" s="62">
        <f t="shared" si="0"/>
        <v>673.70160957011251</v>
      </c>
      <c r="S47" s="62">
        <f ca="1">AVERAGE(OFFSET($R$3,0,0,'Données projet'!$E$9+1,1))-AVERAGE(OFFSET($H$3,0,0,'Données projet'!$E$9+1,1))</f>
        <v>493.70175665335978</v>
      </c>
      <c r="T47" s="62">
        <f t="shared" si="34"/>
        <v>325.12357781685949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10.836630036630035</v>
      </c>
      <c r="AI47" s="14">
        <f>IF('Données projet'!$A$62&gt;35,AI46+AH47-AQ46,IF(A47&lt;'Données projet'!$A$62,$AF$205^A47,IF(A47='Données projet'!$A$62,'Données projet'!$B$62,AI46+AH47-AQ46)))</f>
        <v>298.96666666666653</v>
      </c>
      <c r="AJ47" s="14">
        <f>AI47*VLOOKUP('Données projet'!$B$10,Paramètres!$A$1:$I$89,3,0)*VLOOKUP('Données projet'!$B$10,Paramètres!$A$1:$I$89,5,0)</f>
        <v>139.91639999999992</v>
      </c>
      <c r="AK47" s="14">
        <f t="shared" si="35"/>
        <v>36.27785324322106</v>
      </c>
      <c r="AL47" s="22">
        <f t="shared" si="4"/>
        <v>306.87165773194323</v>
      </c>
      <c r="AM47" s="62">
        <f t="shared" si="5"/>
        <v>600.20499106527654</v>
      </c>
      <c r="AN47" s="62">
        <f ca="1">AVERAGE(OFFSET($AM$3,0,0,'Données projet'!$E$10+1,1))-AVERAGE(OFFSET($H$3,0,0,'Données projet'!$E$10+1,1))</f>
        <v>284.0976902574692</v>
      </c>
      <c r="AO47" s="62">
        <f t="shared" si="36"/>
        <v>190.4880882944471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428.8489304403459</v>
      </c>
      <c r="BJ47" s="62">
        <f t="shared" si="38"/>
        <v>247.01165577562966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144.05409916132993</v>
      </c>
      <c r="CE47" s="62">
        <f t="shared" si="40"/>
        <v>409.2784174616832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54.898394748695658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54.898394748695658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17.519780219780223</v>
      </c>
      <c r="CT47" s="13">
        <f>IF('Données projet'!$A$140&gt;35,CT46+CS47-DB46,IF(A47&lt;'Données projet'!$A$140,$CQ$205^A47,IF(A47='Données projet'!$A$140,'Données projet'!$B$140,CT46+CS47-DB46)))</f>
        <v>316.97032967032976</v>
      </c>
      <c r="CU47" s="18">
        <f>CT47*VLOOKUP('Données projet'!$B$13,Paramètres!$A$1:$I$89,3,0)*VLOOKUP('Données projet'!$B$13,Paramètres!$A$1:$I$89,5,0)</f>
        <v>177.18641428571433</v>
      </c>
      <c r="CV47" s="14">
        <f t="shared" si="41"/>
        <v>44.695642380138821</v>
      </c>
      <c r="CW47" s="22">
        <f t="shared" si="13"/>
        <v>386.44458202636088</v>
      </c>
      <c r="CX47" s="62">
        <f t="shared" si="14"/>
        <v>679.77791535969413</v>
      </c>
      <c r="CY47" s="62">
        <f ca="1">AVERAGE(OFFSET($CX$3,0,0,'Données projet'!$E$13+1,1))-AVERAGE(OFFSET($H$3,0,0,'Données projet'!$E$13+1,1))</f>
        <v>321.13335003345236</v>
      </c>
      <c r="CZ47" s="62">
        <f t="shared" si="42"/>
        <v>301.26825075712128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13.985402978561403</v>
      </c>
      <c r="DH47" s="23">
        <f>EXP(-LN(2)/2)*DH46+(1-EXP(-LN(2)/2))/(LN(2)/2)*DB47*DE47*VLOOKUP('Données projet'!$B$13,Paramètres!$A$1:$I$89,3,0)*0.475*44/12</f>
        <v>7.7040481787486917E-2</v>
      </c>
      <c r="DI47" s="24">
        <f t="shared" si="15"/>
        <v>14.06244346034889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173.07692307692307</v>
      </c>
      <c r="L48" s="13">
        <f>VLOOKUP(A48,'Données projet'!$A$35:$I$55,9,0)</f>
        <v>6.2820512820512819</v>
      </c>
      <c r="M48" s="13">
        <f t="array" ref="M48">INDEX(L:L,MIN(IF(ISNUMBER(L48:L244),ROW(L48:L244),"")))</f>
        <v>6.2820512820512819</v>
      </c>
      <c r="N48" s="14">
        <f>IF('Données projet'!$A$36&gt;35,N47+M48-V47,IF(A48&lt;'Données projet'!$A$36,$K$205^A48,IF(A48='Données projet'!$A$36,'Données projet'!$B$36,N47+M48-V47)))</f>
        <v>173.07692307692304</v>
      </c>
      <c r="O48" s="14">
        <f>N48*VLOOKUP('Données projet'!$B$9,Paramètres!$A$1:$I$89,3,0)*VLOOKUP('Données projet'!$B$9,Paramètres!$A$1:$I$89,5,0)</f>
        <v>180.89999999999998</v>
      </c>
      <c r="P48" s="14">
        <f t="shared" si="33"/>
        <v>45.522361425254346</v>
      </c>
      <c r="Q48" s="22">
        <f t="shared" si="53"/>
        <v>394.35227948231795</v>
      </c>
      <c r="R48" s="62">
        <f t="shared" si="0"/>
        <v>687.68561281565121</v>
      </c>
      <c r="S48" s="62">
        <f ca="1">AVERAGE(OFFSET($R$3,0,0,'Données projet'!$E$9+1,1))-AVERAGE(OFFSET($H$3,0,0,'Données projet'!$E$9+1,1))</f>
        <v>493.70175665335978</v>
      </c>
      <c r="T48" s="62">
        <f t="shared" si="34"/>
        <v>325.12357781685949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10.836630036630035</v>
      </c>
      <c r="AI48" s="14">
        <f>IF('Données projet'!$A$62&gt;35,AI47+AH48-AQ47,IF(A48&lt;'Données projet'!$A$62,$AF$205^A48,IF(A48='Données projet'!$A$62,'Données projet'!$B$62,AI47+AH48-AQ47)))</f>
        <v>309.80329670329655</v>
      </c>
      <c r="AJ48" s="14">
        <f>AI48*VLOOKUP('Données projet'!$B$10,Paramètres!$A$1:$I$89,3,0)*VLOOKUP('Données projet'!$B$10,Paramètres!$A$1:$I$89,5,0)</f>
        <v>144.9879428571428</v>
      </c>
      <c r="AK48" s="14">
        <f t="shared" si="35"/>
        <v>37.437334606665019</v>
      </c>
      <c r="AL48" s="22">
        <f t="shared" si="4"/>
        <v>317.7240249161319</v>
      </c>
      <c r="AM48" s="62">
        <f t="shared" si="5"/>
        <v>611.05735824946521</v>
      </c>
      <c r="AN48" s="62">
        <f ca="1">AVERAGE(OFFSET($AM$3,0,0,'Données projet'!$E$10+1,1))-AVERAGE(OFFSET($H$3,0,0,'Données projet'!$E$10+1,1))</f>
        <v>284.0976902574692</v>
      </c>
      <c r="AO48" s="62">
        <f t="shared" si="36"/>
        <v>190.4880882944471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428.8489304403459</v>
      </c>
      <c r="BJ48" s="62">
        <f t="shared" si="38"/>
        <v>247.01165577562966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144.05409916132993</v>
      </c>
      <c r="CE48" s="62">
        <f t="shared" si="40"/>
        <v>409.2784174616832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53.82187071238819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53.82187071238819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17.519780219780223</v>
      </c>
      <c r="CT48" s="13">
        <f>IF('Données projet'!$A$140&gt;35,CT47+CS48-DB47,IF(A48&lt;'Données projet'!$A$140,$CQ$205^A48,IF(A48='Données projet'!$A$140,'Données projet'!$B$140,CT47+CS48-DB47)))</f>
        <v>334.49010989010998</v>
      </c>
      <c r="CU48" s="18">
        <f>CT48*VLOOKUP('Données projet'!$B$13,Paramètres!$A$1:$I$89,3,0)*VLOOKUP('Données projet'!$B$13,Paramètres!$A$1:$I$89,5,0)</f>
        <v>186.9799714285715</v>
      </c>
      <c r="CV48" s="14">
        <f t="shared" si="41"/>
        <v>46.871646064498115</v>
      </c>
      <c r="CW48" s="22">
        <f t="shared" si="13"/>
        <v>407.29156713376295</v>
      </c>
      <c r="CX48" s="62">
        <f t="shared" si="14"/>
        <v>700.62490046709627</v>
      </c>
      <c r="CY48" s="62">
        <f ca="1">AVERAGE(OFFSET($CX$3,0,0,'Données projet'!$E$13+1,1))-AVERAGE(OFFSET($H$3,0,0,'Données projet'!$E$13+1,1))</f>
        <v>321.13335003345236</v>
      </c>
      <c r="CZ48" s="62">
        <f t="shared" si="42"/>
        <v>301.26825075712128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13.602971398652263</v>
      </c>
      <c r="DH48" s="23">
        <f>EXP(-LN(2)/2)*DH47+(1-EXP(-LN(2)/2))/(LN(2)/2)*DB48*DE48*VLOOKUP('Données projet'!$B$13,Paramètres!$A$1:$I$89,3,0)*0.475*44/12</f>
        <v>5.4475847097810712E-2</v>
      </c>
      <c r="DI48" s="24">
        <f t="shared" si="15"/>
        <v>13.657447245750074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6.0256410256410273</v>
      </c>
      <c r="N49" s="14">
        <f>IF('Données projet'!$A$36&gt;35,N48+M49-V48,IF(A49&lt;'Données projet'!$A$36,$K$205^A49,IF(A49='Données projet'!$A$36,'Données projet'!$B$36,N48+M49-V48)))</f>
        <v>179.10256410256406</v>
      </c>
      <c r="O49" s="14">
        <f>N49*VLOOKUP('Données projet'!$B$9,Paramètres!$A$1:$I$89,3,0)*VLOOKUP('Données projet'!$B$9,Paramètres!$A$1:$I$89,5,0)</f>
        <v>187.19799999999998</v>
      </c>
      <c r="P49" s="14">
        <f t="shared" si="33"/>
        <v>46.919935793880072</v>
      </c>
      <c r="Q49" s="22">
        <f t="shared" si="53"/>
        <v>407.75540484100776</v>
      </c>
      <c r="R49" s="62">
        <f t="shared" si="0"/>
        <v>701.08873817434107</v>
      </c>
      <c r="S49" s="62">
        <f ca="1">AVERAGE(OFFSET($R$3,0,0,'Données projet'!$E$9+1,1))-AVERAGE(OFFSET($H$3,0,0,'Données projet'!$E$9+1,1))</f>
        <v>493.70175665335978</v>
      </c>
      <c r="T49" s="62">
        <f t="shared" si="34"/>
        <v>325.12357781685949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10.836630036630035</v>
      </c>
      <c r="AI49" s="14">
        <f>IF('Données projet'!$A$62&gt;35,AI48+AH49-AQ48,IF(A49&lt;'Données projet'!$A$62,$AF$205^A49,IF(A49='Données projet'!$A$62,'Données projet'!$B$62,AI48+AH49-AQ48)))</f>
        <v>320.63992673992658</v>
      </c>
      <c r="AJ49" s="14">
        <f>AI49*VLOOKUP('Données projet'!$B$10,Paramètres!$A$1:$I$89,3,0)*VLOOKUP('Données projet'!$B$10,Paramètres!$A$1:$I$89,5,0)</f>
        <v>150.05948571428564</v>
      </c>
      <c r="AK49" s="14">
        <f t="shared" si="35"/>
        <v>38.592103650918006</v>
      </c>
      <c r="AL49" s="22">
        <f t="shared" si="4"/>
        <v>328.56818481106296</v>
      </c>
      <c r="AM49" s="62">
        <f t="shared" si="5"/>
        <v>621.90151814439628</v>
      </c>
      <c r="AN49" s="62">
        <f ca="1">AVERAGE(OFFSET($AM$3,0,0,'Données projet'!$E$10+1,1))-AVERAGE(OFFSET($H$3,0,0,'Données projet'!$E$10+1,1))</f>
        <v>284.0976902574692</v>
      </c>
      <c r="AO49" s="62">
        <f t="shared" si="36"/>
        <v>190.4880882944471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150.37776000000002</v>
      </c>
      <c r="BF49" s="14">
        <f t="shared" si="37"/>
        <v>38.664420365454049</v>
      </c>
      <c r="BG49" s="22">
        <f t="shared" si="7"/>
        <v>329.24846413649914</v>
      </c>
      <c r="BH49" s="62">
        <f t="shared" si="8"/>
        <v>622.58179746983251</v>
      </c>
      <c r="BI49" s="62">
        <f ca="1">AVERAGE(OFFSET($BH$3,0,0,'Données projet'!$E$11+1,1))-AVERAGE(OFFSET($H$3,0,0,'Données projet'!$E$11+1,1))</f>
        <v>428.8489304403459</v>
      </c>
      <c r="BJ49" s="62">
        <f t="shared" si="38"/>
        <v>247.01165577562966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144.05409916132993</v>
      </c>
      <c r="CE49" s="62">
        <f t="shared" si="40"/>
        <v>409.2784174616832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52.766456655817883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52.766456655817883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17.519780219780223</v>
      </c>
      <c r="CT49" s="13">
        <f>IF('Données projet'!$A$140&gt;35,CT48+CS49-DB48,IF(A49&lt;'Données projet'!$A$140,$CQ$205^A49,IF(A49='Données projet'!$A$140,'Données projet'!$B$140,CT48+CS49-DB48)))</f>
        <v>352.00989010989019</v>
      </c>
      <c r="CU49" s="18">
        <f>CT49*VLOOKUP('Données projet'!$B$13,Paramètres!$A$1:$I$89,3,0)*VLOOKUP('Données projet'!$B$13,Paramètres!$A$1:$I$89,5,0)</f>
        <v>196.77352857142861</v>
      </c>
      <c r="CV49" s="14">
        <f t="shared" si="41"/>
        <v>49.034417171503861</v>
      </c>
      <c r="CW49" s="22">
        <f t="shared" si="13"/>
        <v>428.11550550227406</v>
      </c>
      <c r="CX49" s="62">
        <f t="shared" si="14"/>
        <v>721.44883883560738</v>
      </c>
      <c r="CY49" s="62">
        <f ca="1">AVERAGE(OFFSET($CX$3,0,0,'Données projet'!$E$13+1,1))-AVERAGE(OFFSET($H$3,0,0,'Données projet'!$E$13+1,1))</f>
        <v>321.13335003345236</v>
      </c>
      <c r="CZ49" s="62">
        <f t="shared" si="42"/>
        <v>301.26825075712128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13.230997430406941</v>
      </c>
      <c r="DH49" s="23">
        <f>EXP(-LN(2)/2)*DH48+(1-EXP(-LN(2)/2))/(LN(2)/2)*DB49*DE49*VLOOKUP('Données projet'!$B$13,Paramètres!$A$1:$I$89,3,0)*0.475*44/12</f>
        <v>3.8520240893743458E-2</v>
      </c>
      <c r="DI49" s="24">
        <f t="shared" si="15"/>
        <v>13.269517671300685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6.0256410256410273</v>
      </c>
      <c r="N50" s="14">
        <f>IF('Données projet'!$A$36&gt;35,N49+M50-V49,IF(A50&lt;'Données projet'!$A$36,$K$205^A50,IF(A50='Données projet'!$A$36,'Données projet'!$B$36,N49+M50-V49)))</f>
        <v>185.12820512820508</v>
      </c>
      <c r="O50" s="14">
        <f>N50*VLOOKUP('Données projet'!$B$9,Paramètres!$A$1:$I$89,3,0)*VLOOKUP('Données projet'!$B$9,Paramètres!$A$1:$I$89,5,0)</f>
        <v>193.49599999999998</v>
      </c>
      <c r="P50" s="14">
        <f t="shared" si="33"/>
        <v>48.312046726948296</v>
      </c>
      <c r="Q50" s="22">
        <f t="shared" si="53"/>
        <v>421.14901471610159</v>
      </c>
      <c r="R50" s="62">
        <f t="shared" si="0"/>
        <v>714.4823480494349</v>
      </c>
      <c r="S50" s="62">
        <f ca="1">AVERAGE(OFFSET($R$3,0,0,'Données projet'!$E$9+1,1))-AVERAGE(OFFSET($H$3,0,0,'Données projet'!$E$9+1,1))</f>
        <v>493.70175665335978</v>
      </c>
      <c r="T50" s="62">
        <f t="shared" si="34"/>
        <v>325.12357781685949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10.836630036630035</v>
      </c>
      <c r="AI50" s="14">
        <f>IF('Données projet'!$A$62&gt;35,AI49+AH50-AQ49,IF(A50&lt;'Données projet'!$A$62,$AF$205^A50,IF(A50='Données projet'!$A$62,'Données projet'!$B$62,AI49+AH50-AQ49)))</f>
        <v>331.47655677655661</v>
      </c>
      <c r="AJ50" s="14">
        <f>AI50*VLOOKUP('Données projet'!$B$10,Paramètres!$A$1:$I$89,3,0)*VLOOKUP('Données projet'!$B$10,Paramètres!$A$1:$I$89,5,0)</f>
        <v>155.13102857142849</v>
      </c>
      <c r="AK50" s="14">
        <f t="shared" si="35"/>
        <v>39.742337895129019</v>
      </c>
      <c r="AL50" s="22">
        <f t="shared" si="4"/>
        <v>339.404446595921</v>
      </c>
      <c r="AM50" s="62">
        <f t="shared" si="5"/>
        <v>632.73777992925432</v>
      </c>
      <c r="AN50" s="62">
        <f ca="1">AVERAGE(OFFSET($AM$3,0,0,'Données projet'!$E$10+1,1))-AVERAGE(OFFSET($H$3,0,0,'Données projet'!$E$10+1,1))</f>
        <v>284.0976902574692</v>
      </c>
      <c r="AO50" s="62">
        <f t="shared" si="36"/>
        <v>190.4880882944471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157.79712000000004</v>
      </c>
      <c r="BF50" s="14">
        <f t="shared" si="37"/>
        <v>40.345249481546155</v>
      </c>
      <c r="BG50" s="22">
        <f t="shared" si="7"/>
        <v>345.09796018035962</v>
      </c>
      <c r="BH50" s="62">
        <f t="shared" si="8"/>
        <v>638.43129351369294</v>
      </c>
      <c r="BI50" s="62">
        <f ca="1">AVERAGE(OFFSET($BH$3,0,0,'Données projet'!$E$11+1,1))-AVERAGE(OFFSET($H$3,0,0,'Données projet'!$E$11+1,1))</f>
        <v>428.8489304403459</v>
      </c>
      <c r="BJ50" s="62">
        <f t="shared" si="38"/>
        <v>247.01165577562966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144.05409916132993</v>
      </c>
      <c r="CE50" s="62">
        <f t="shared" si="40"/>
        <v>409.2784174616832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51.731738625157917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51.731738625157917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17.519780219780223</v>
      </c>
      <c r="CT50" s="13">
        <f>IF('Données projet'!$A$140&gt;35,CT49+CS50-DB49,IF(A50&lt;'Données projet'!$A$140,$CQ$205^A50,IF(A50='Données projet'!$A$140,'Données projet'!$B$140,CT49+CS50-DB49)))</f>
        <v>369.52967032967041</v>
      </c>
      <c r="CU50" s="18">
        <f>CT50*VLOOKUP('Données projet'!$B$13,Paramètres!$A$1:$I$89,3,0)*VLOOKUP('Données projet'!$B$13,Paramètres!$A$1:$I$89,5,0)</f>
        <v>206.56708571428578</v>
      </c>
      <c r="CV50" s="14">
        <f t="shared" si="41"/>
        <v>51.184689450990696</v>
      </c>
      <c r="CW50" s="22">
        <f t="shared" si="13"/>
        <v>448.91767507952318</v>
      </c>
      <c r="CX50" s="62">
        <f t="shared" si="14"/>
        <v>742.25100841285644</v>
      </c>
      <c r="CY50" s="62">
        <f ca="1">AVERAGE(OFFSET($CX$3,0,0,'Données projet'!$E$13+1,1))-AVERAGE(OFFSET($H$3,0,0,'Données projet'!$E$13+1,1))</f>
        <v>321.13335003345236</v>
      </c>
      <c r="CZ50" s="62">
        <f t="shared" si="42"/>
        <v>301.26825075712128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12.869195109884547</v>
      </c>
      <c r="DH50" s="23">
        <f>EXP(-LN(2)/2)*DH49+(1-EXP(-LN(2)/2))/(LN(2)/2)*DB50*DE50*VLOOKUP('Données projet'!$B$13,Paramètres!$A$1:$I$89,3,0)*0.475*44/12</f>
        <v>2.7237923548905356E-2</v>
      </c>
      <c r="DI50" s="24">
        <f t="shared" si="15"/>
        <v>12.896433033433453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6.0256410256410273</v>
      </c>
      <c r="N51" s="14">
        <f>IF('Données projet'!$A$36&gt;35,N50+M51-V50,IF(A51&lt;'Données projet'!$A$36,$K$205^A51,IF(A51='Données projet'!$A$36,'Données projet'!$B$36,N50+M51-V50)))</f>
        <v>191.1538461538461</v>
      </c>
      <c r="O51" s="14">
        <f>N51*VLOOKUP('Données projet'!$B$9,Paramètres!$A$1:$I$89,3,0)*VLOOKUP('Données projet'!$B$9,Paramètres!$A$1:$I$89,5,0)</f>
        <v>199.79399999999995</v>
      </c>
      <c r="P51" s="14">
        <f t="shared" si="33"/>
        <v>49.698892445432982</v>
      </c>
      <c r="Q51" s="22">
        <f t="shared" si="53"/>
        <v>434.53345434246239</v>
      </c>
      <c r="R51" s="62">
        <f t="shared" si="0"/>
        <v>727.86678767579565</v>
      </c>
      <c r="S51" s="62">
        <f ca="1">AVERAGE(OFFSET($R$3,0,0,'Données projet'!$E$9+1,1))-AVERAGE(OFFSET($H$3,0,0,'Données projet'!$E$9+1,1))</f>
        <v>493.70175665335978</v>
      </c>
      <c r="T51" s="62">
        <f t="shared" si="34"/>
        <v>325.12357781685949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10.836630036630035</v>
      </c>
      <c r="AI51" s="14">
        <f>IF('Données projet'!$A$62&gt;35,AI50+AH51-AQ50,IF(A51&lt;'Données projet'!$A$62,$AF$205^A51,IF(A51='Données projet'!$A$62,'Données projet'!$B$62,AI50+AH51-AQ50)))</f>
        <v>342.31318681318663</v>
      </c>
      <c r="AJ51" s="14">
        <f>AI51*VLOOKUP('Données projet'!$B$10,Paramètres!$A$1:$I$89,3,0)*VLOOKUP('Données projet'!$B$10,Paramètres!$A$1:$I$89,5,0)</f>
        <v>160.20257142857136</v>
      </c>
      <c r="AK51" s="14">
        <f t="shared" si="35"/>
        <v>40.888202592715075</v>
      </c>
      <c r="AL51" s="22">
        <f t="shared" si="4"/>
        <v>350.23309808707387</v>
      </c>
      <c r="AM51" s="62">
        <f t="shared" si="5"/>
        <v>643.56643142040718</v>
      </c>
      <c r="AN51" s="62">
        <f ca="1">AVERAGE(OFFSET($AM$3,0,0,'Données projet'!$E$10+1,1))-AVERAGE(OFFSET($H$3,0,0,'Données projet'!$E$10+1,1))</f>
        <v>284.0976902574692</v>
      </c>
      <c r="AO51" s="62">
        <f t="shared" si="36"/>
        <v>190.4880882944471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165.21648000000002</v>
      </c>
      <c r="BF51" s="14">
        <f t="shared" si="37"/>
        <v>42.016901084500397</v>
      </c>
      <c r="BG51" s="22">
        <f t="shared" si="7"/>
        <v>360.93147205550491</v>
      </c>
      <c r="BH51" s="62">
        <f t="shared" si="8"/>
        <v>654.26480538883823</v>
      </c>
      <c r="BI51" s="62">
        <f ca="1">AVERAGE(OFFSET($BH$3,0,0,'Données projet'!$E$11+1,1))-AVERAGE(OFFSET($H$3,0,0,'Données projet'!$E$11+1,1))</f>
        <v>428.8489304403459</v>
      </c>
      <c r="BJ51" s="62">
        <f t="shared" si="38"/>
        <v>247.01165577562966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144.05409916132993</v>
      </c>
      <c r="CE51" s="62">
        <f t="shared" si="40"/>
        <v>409.2784174616832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50.717310783963505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50.717310783963505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17.519780219780223</v>
      </c>
      <c r="CT51" s="13">
        <f>IF('Données projet'!$A$140&gt;35,CT50+CS51-DB50,IF(A51&lt;'Données projet'!$A$140,$CQ$205^A51,IF(A51='Données projet'!$A$140,'Données projet'!$B$140,CT50+CS51-DB50)))</f>
        <v>387.04945054945063</v>
      </c>
      <c r="CU51" s="18">
        <f>CT51*VLOOKUP('Données projet'!$B$13,Paramètres!$A$1:$I$89,3,0)*VLOOKUP('Données projet'!$B$13,Paramètres!$A$1:$I$89,5,0)</f>
        <v>216.36064285714289</v>
      </c>
      <c r="CV51" s="14">
        <f t="shared" si="41"/>
        <v>53.323123145592824</v>
      </c>
      <c r="CW51" s="22">
        <f t="shared" si="13"/>
        <v>469.69922578809798</v>
      </c>
      <c r="CX51" s="62">
        <f t="shared" si="14"/>
        <v>763.03255912143129</v>
      </c>
      <c r="CY51" s="62">
        <f ca="1">AVERAGE(OFFSET($CX$3,0,0,'Données projet'!$E$13+1,1))-AVERAGE(OFFSET($H$3,0,0,'Données projet'!$E$13+1,1))</f>
        <v>321.13335003345236</v>
      </c>
      <c r="CZ51" s="62">
        <f t="shared" si="42"/>
        <v>301.26825075712128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12.517286292843197</v>
      </c>
      <c r="DH51" s="23">
        <f>EXP(-LN(2)/2)*DH50+(1-EXP(-LN(2)/2))/(LN(2)/2)*DB51*DE51*VLOOKUP('Données projet'!$B$13,Paramètres!$A$1:$I$89,3,0)*0.475*44/12</f>
        <v>1.9260120446871729E-2</v>
      </c>
      <c r="DI51" s="24">
        <f t="shared" si="15"/>
        <v>12.536546413290068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6.0256410256410273</v>
      </c>
      <c r="N52" s="14">
        <f>IF('Données projet'!$A$36&gt;35,N51+M52-V51,IF(A52&lt;'Données projet'!$A$36,$K$205^A52,IF(A52='Données projet'!$A$36,'Données projet'!$B$36,N51+M52-V51)))</f>
        <v>197.17948717948713</v>
      </c>
      <c r="O52" s="14">
        <f>N52*VLOOKUP('Données projet'!$B$9,Paramètres!$A$1:$I$89,3,0)*VLOOKUP('Données projet'!$B$9,Paramètres!$A$1:$I$89,5,0)</f>
        <v>206.09199999999996</v>
      </c>
      <c r="P52" s="14">
        <f t="shared" si="33"/>
        <v>51.080657963757403</v>
      </c>
      <c r="Q52" s="22">
        <f t="shared" si="53"/>
        <v>447.90904595354408</v>
      </c>
      <c r="R52" s="62">
        <f t="shared" si="0"/>
        <v>741.24237928687739</v>
      </c>
      <c r="S52" s="62">
        <f ca="1">AVERAGE(OFFSET($R$3,0,0,'Données projet'!$E$9+1,1))-AVERAGE(OFFSET($H$3,0,0,'Données projet'!$E$9+1,1))</f>
        <v>493.70175665335978</v>
      </c>
      <c r="T52" s="62">
        <f t="shared" si="34"/>
        <v>325.12357781685949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10.836630036630035</v>
      </c>
      <c r="AI52" s="14">
        <f>IF('Données projet'!$A$62&gt;35,AI51+AH52-AQ51,IF(A52&lt;'Données projet'!$A$62,$AF$205^A52,IF(A52='Données projet'!$A$62,'Données projet'!$B$62,AI51+AH52-AQ51)))</f>
        <v>353.14981684981666</v>
      </c>
      <c r="AJ52" s="14">
        <f>AI52*VLOOKUP('Données projet'!$B$10,Paramètres!$A$1:$I$89,3,0)*VLOOKUP('Données projet'!$B$10,Paramètres!$A$1:$I$89,5,0)</f>
        <v>165.27411428571421</v>
      </c>
      <c r="AK52" s="14">
        <f t="shared" si="35"/>
        <v>42.029851940046342</v>
      </c>
      <c r="AL52" s="22">
        <f t="shared" si="4"/>
        <v>361.05440784319961</v>
      </c>
      <c r="AM52" s="62">
        <f t="shared" si="5"/>
        <v>654.38774117653293</v>
      </c>
      <c r="AN52" s="62">
        <f ca="1">AVERAGE(OFFSET($AM$3,0,0,'Données projet'!$E$10+1,1))-AVERAGE(OFFSET($H$3,0,0,'Données projet'!$E$10+1,1))</f>
        <v>284.0976902574692</v>
      </c>
      <c r="AO52" s="62">
        <f t="shared" si="36"/>
        <v>190.4880882944471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172.63584</v>
      </c>
      <c r="BF52" s="14">
        <f t="shared" si="37"/>
        <v>43.679834395222109</v>
      </c>
      <c r="BG52" s="22">
        <f t="shared" si="7"/>
        <v>376.74979957167847</v>
      </c>
      <c r="BH52" s="62">
        <f t="shared" si="8"/>
        <v>670.08313290501178</v>
      </c>
      <c r="BI52" s="62">
        <f ca="1">AVERAGE(OFFSET($BH$3,0,0,'Données projet'!$E$11+1,1))-AVERAGE(OFFSET($H$3,0,0,'Données projet'!$E$11+1,1))</f>
        <v>428.8489304403459</v>
      </c>
      <c r="BJ52" s="62">
        <f t="shared" si="38"/>
        <v>247.01165577562966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144.05409916132993</v>
      </c>
      <c r="CE52" s="62">
        <f t="shared" si="40"/>
        <v>409.2784174616832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49.722775253995032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49.722775253995032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>
        <f>VLOOKUP(A52,'Données projet'!$A$139:$I$159,2,0)</f>
        <v>404.56923076923078</v>
      </c>
      <c r="CR52" s="13">
        <f>VLOOKUP(A52,'Données projet'!$A$139:$I$159,9,0)</f>
        <v>17.519780219780223</v>
      </c>
      <c r="CS52" s="13">
        <f t="array" ref="CS52">INDEX(CR:CR,MIN(IF(ISNUMBER(CR52:CR248),ROW(CR52:CR248),"")))</f>
        <v>17.519780219780223</v>
      </c>
      <c r="CT52" s="13">
        <f>IF('Données projet'!$A$140&gt;35,CT51+CS52-DB51,IF(A52&lt;'Données projet'!$A$140,$CQ$205^A52,IF(A52='Données projet'!$A$140,'Données projet'!$B$140,CT51+CS52-DB51)))</f>
        <v>404.56923076923084</v>
      </c>
      <c r="CU52" s="18">
        <f>CT52*VLOOKUP('Données projet'!$B$13,Paramètres!$A$1:$I$89,3,0)*VLOOKUP('Données projet'!$B$13,Paramètres!$A$1:$I$89,5,0)</f>
        <v>226.15420000000006</v>
      </c>
      <c r="CV52" s="14">
        <f t="shared" si="41"/>
        <v>55.450315347427065</v>
      </c>
      <c r="CW52" s="22">
        <f t="shared" si="13"/>
        <v>490.46119756343563</v>
      </c>
      <c r="CX52" s="62">
        <f t="shared" si="14"/>
        <v>783.79453089676895</v>
      </c>
      <c r="CY52" s="62">
        <f ca="1">AVERAGE(OFFSET($CX$3,0,0,'Données projet'!$E$13+1,1))-AVERAGE(OFFSET($H$3,0,0,'Données projet'!$E$13+1,1))</f>
        <v>321.13335003345236</v>
      </c>
      <c r="CZ52" s="62">
        <f t="shared" si="42"/>
        <v>301.26825075712128</v>
      </c>
      <c r="DA52" s="16">
        <f>IF(ISNA(VLOOKUP(A52,'Données projet'!$A$139:$I$159,3,0)),0,VLOOKUP(A52,'Données projet'!$A$139:$I$159,3,0))</f>
        <v>5</v>
      </c>
      <c r="DB52" s="16">
        <f>IF(ISNA(VLOOKUP(A52,'Données projet'!$A$139:$I$159,4,0)),0,VLOOKUP(A52,'Données projet'!$A$139:$I$159,4,0))</f>
        <v>90.453846153846158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12.175000440909923</v>
      </c>
      <c r="DH52" s="23">
        <f>EXP(-LN(2)/2)*DH51+(1-EXP(-LN(2)/2))/(LN(2)/2)*DB52*DE52*VLOOKUP('Données projet'!$B$13,Paramètres!$A$1:$I$89,3,0)*0.475*44/12</f>
        <v>1.3618961774452678E-2</v>
      </c>
      <c r="DI52" s="24">
        <f t="shared" si="15"/>
        <v>12.188619402684376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203.2051282051282</v>
      </c>
      <c r="L53" s="13">
        <f>VLOOKUP(A53,'Données projet'!$A$35:$I$55,9,0)</f>
        <v>6.0256410256410273</v>
      </c>
      <c r="M53" s="13">
        <f t="array" ref="M53">INDEX(L:L,MIN(IF(ISNUMBER(L53:L249),ROW(L53:L249),"")))</f>
        <v>6.0256410256410273</v>
      </c>
      <c r="N53" s="14">
        <f>IF('Données projet'!$A$36&gt;35,N52+M53-V52,IF(A53&lt;'Données projet'!$A$36,$K$205^A53,IF(A53='Données projet'!$A$36,'Données projet'!$B$36,N52+M53-V52)))</f>
        <v>203.20512820512815</v>
      </c>
      <c r="O53" s="14">
        <f>N53*VLOOKUP('Données projet'!$B$9,Paramètres!$A$1:$I$89,3,0)*VLOOKUP('Données projet'!$B$9,Paramètres!$A$1:$I$89,5,0)</f>
        <v>212.38999999999993</v>
      </c>
      <c r="P53" s="14">
        <f t="shared" si="33"/>
        <v>52.457516346075991</v>
      </c>
      <c r="Q53" s="22">
        <f t="shared" si="53"/>
        <v>461.27609096941552</v>
      </c>
      <c r="R53" s="62">
        <f t="shared" si="0"/>
        <v>754.60942430274883</v>
      </c>
      <c r="S53" s="62">
        <f ca="1">AVERAGE(OFFSET($R$3,0,0,'Données projet'!$E$9+1,1))-AVERAGE(OFFSET($H$3,0,0,'Données projet'!$E$9+1,1))</f>
        <v>493.70175665335978</v>
      </c>
      <c r="T53" s="62">
        <f t="shared" si="34"/>
        <v>325.12357781685949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24.358974358974358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10.836630036630035</v>
      </c>
      <c r="AI53" s="14">
        <f>IF('Données projet'!$A$62&gt;35,AI52+AH53-AQ52,IF(A53&lt;'Données projet'!$A$62,$AF$205^A53,IF(A53='Données projet'!$A$62,'Données projet'!$B$62,AI52+AH53-AQ52)))</f>
        <v>363.98644688644669</v>
      </c>
      <c r="AJ53" s="14">
        <f>AI53*VLOOKUP('Données projet'!$B$10,Paramètres!$A$1:$I$89,3,0)*VLOOKUP('Données projet'!$B$10,Paramètres!$A$1:$I$89,5,0)</f>
        <v>170.34565714285705</v>
      </c>
      <c r="AK53" s="14">
        <f t="shared" si="35"/>
        <v>43.167430132606164</v>
      </c>
      <c r="AL53" s="22">
        <f t="shared" si="4"/>
        <v>371.86862700476513</v>
      </c>
      <c r="AM53" s="62">
        <f t="shared" si="5"/>
        <v>665.20196033809839</v>
      </c>
      <c r="AN53" s="62">
        <f ca="1">AVERAGE(OFFSET($AM$3,0,0,'Données projet'!$E$10+1,1))-AVERAGE(OFFSET($H$3,0,0,'Données projet'!$E$10+1,1))</f>
        <v>284.0976902574692</v>
      </c>
      <c r="AO53" s="62">
        <f t="shared" si="36"/>
        <v>190.4880882944471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180.05519999999999</v>
      </c>
      <c r="BF53" s="14">
        <f t="shared" si="37"/>
        <v>45.334466930398364</v>
      </c>
      <c r="BG53" s="22">
        <f t="shared" si="7"/>
        <v>392.55366990377706</v>
      </c>
      <c r="BH53" s="62">
        <f t="shared" si="8"/>
        <v>685.88700323711032</v>
      </c>
      <c r="BI53" s="62">
        <f ca="1">AVERAGE(OFFSET($BH$3,0,0,'Données projet'!$E$11+1,1))-AVERAGE(OFFSET($H$3,0,0,'Données projet'!$E$11+1,1))</f>
        <v>428.8489304403459</v>
      </c>
      <c r="BJ53" s="62">
        <f t="shared" si="38"/>
        <v>247.01165577562966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144.05409916132993</v>
      </c>
      <c r="CE53" s="62">
        <f t="shared" si="40"/>
        <v>409.2784174616832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48.747741959162461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48.747741959162461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16.227472527472521</v>
      </c>
      <c r="CT53" s="13">
        <f>IF('Données projet'!$A$140&gt;35,CT52+CS53-DB52,IF(A53&lt;'Données projet'!$A$140,$CQ$205^A53,IF(A53='Données projet'!$A$140,'Données projet'!$B$140,CT52+CS53-DB52)))</f>
        <v>330.34285714285721</v>
      </c>
      <c r="CU53" s="18">
        <f>CT53*VLOOKUP('Données projet'!$B$13,Paramètres!$A$1:$I$89,3,0)*VLOOKUP('Données projet'!$B$13,Paramètres!$A$1:$I$89,5,0)</f>
        <v>184.66165714285719</v>
      </c>
      <c r="CV53" s="14">
        <f t="shared" si="41"/>
        <v>46.357770619215231</v>
      </c>
      <c r="CW53" s="22">
        <f t="shared" si="13"/>
        <v>402.3588366856095</v>
      </c>
      <c r="CX53" s="62">
        <f t="shared" si="14"/>
        <v>695.69217001894276</v>
      </c>
      <c r="CY53" s="62">
        <f ca="1">AVERAGE(OFFSET($CX$3,0,0,'Données projet'!$E$13+1,1))-AVERAGE(OFFSET($H$3,0,0,'Données projet'!$E$13+1,1))</f>
        <v>321.13335003345236</v>
      </c>
      <c r="CZ53" s="62">
        <f t="shared" si="42"/>
        <v>301.26825075712128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11.842074413597794</v>
      </c>
      <c r="DH53" s="23">
        <f>EXP(-LN(2)/2)*DH52+(1-EXP(-LN(2)/2))/(LN(2)/2)*DB53*DE53*VLOOKUP('Données projet'!$B$13,Paramètres!$A$1:$I$89,3,0)*0.475*44/12</f>
        <v>9.6300602234358646E-3</v>
      </c>
      <c r="DI53" s="24">
        <f t="shared" si="15"/>
        <v>11.851704473821231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5.6410256410256405</v>
      </c>
      <c r="N54" s="14">
        <f>IF('Données projet'!$A$36&gt;35,N53+M54-V53,IF(A54&lt;'Données projet'!$A$36,$K$205^A54,IF(A54='Données projet'!$A$36,'Données projet'!$B$36,N53+M54-V53)))</f>
        <v>184.48717948717942</v>
      </c>
      <c r="O54" s="14">
        <f>N54*VLOOKUP('Données projet'!$B$9,Paramètres!$A$1:$I$89,3,0)*VLOOKUP('Données projet'!$B$9,Paramètres!$A$1:$I$89,5,0)</f>
        <v>192.82599999999994</v>
      </c>
      <c r="P54" s="14">
        <f t="shared" si="33"/>
        <v>48.164203450161025</v>
      </c>
      <c r="Q54" s="22">
        <f t="shared" si="53"/>
        <v>419.72460434236359</v>
      </c>
      <c r="R54" s="62">
        <f t="shared" si="0"/>
        <v>713.05793767569685</v>
      </c>
      <c r="S54" s="62">
        <f ca="1">AVERAGE(OFFSET($R$3,0,0,'Données projet'!$E$9+1,1))-AVERAGE(OFFSET($H$3,0,0,'Données projet'!$E$9+1,1))</f>
        <v>493.70175665335978</v>
      </c>
      <c r="T54" s="62">
        <f t="shared" si="34"/>
        <v>325.12357781685949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374.82307692307688</v>
      </c>
      <c r="AG54" s="13">
        <f>VLOOKUP(A54,'Données projet'!$A$61:$I$81,9,0)</f>
        <v>10.836630036630035</v>
      </c>
      <c r="AH54" s="13">
        <f t="array" ref="AH54">INDEX(AG:AG,MIN(IF(ISNUMBER(AG54:AG250),ROW(AG54:AG250),"")))</f>
        <v>10.836630036630035</v>
      </c>
      <c r="AI54" s="14">
        <f>IF('Données projet'!$A$62&gt;35,AI53+AH54-AQ53,IF(A54&lt;'Données projet'!$A$62,$AF$205^A54,IF(A54='Données projet'!$A$62,'Données projet'!$B$62,AI53+AH54-AQ53)))</f>
        <v>374.82307692307671</v>
      </c>
      <c r="AJ54" s="14">
        <f>AI54*VLOOKUP('Données projet'!$B$10,Paramètres!$A$1:$I$89,3,0)*VLOOKUP('Données projet'!$B$10,Paramètres!$A$1:$I$89,5,0)</f>
        <v>175.41719999999992</v>
      </c>
      <c r="AK54" s="14">
        <f t="shared" si="35"/>
        <v>44.301072291840683</v>
      </c>
      <c r="AL54" s="22">
        <f t="shared" si="4"/>
        <v>382.67599090828907</v>
      </c>
      <c r="AM54" s="62">
        <f t="shared" si="5"/>
        <v>676.00932424162238</v>
      </c>
      <c r="AN54" s="62">
        <f ca="1">AVERAGE(OFFSET($AM$3,0,0,'Données projet'!$E$10+1,1))-AVERAGE(OFFSET($H$3,0,0,'Données projet'!$E$10+1,1))</f>
        <v>284.0976902574692</v>
      </c>
      <c r="AO54" s="62">
        <f t="shared" si="36"/>
        <v>190.4880882944471</v>
      </c>
      <c r="AP54" s="16">
        <f>IF(ISNA(VLOOKUP(A54,'Données projet'!$A$61:$I$81,3,0)),0,VLOOKUP(A54,'Données projet'!$A$61:$I$81,3,0))</f>
        <v>1</v>
      </c>
      <c r="AQ54" s="16">
        <f>IF(ISNA(VLOOKUP(A54,'Données projet'!$A$61:$I$81,4,0)),0,VLOOKUP(A54,'Données projet'!$A$61:$I$81,4,0))</f>
        <v>170.16153846153847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620.26096644164511</v>
      </c>
      <c r="BI54" s="62">
        <f ca="1">AVERAGE(OFFSET($BH$3,0,0,'Données projet'!$E$11+1,1))-AVERAGE(OFFSET($H$3,0,0,'Données projet'!$E$11+1,1))</f>
        <v>428.8489304403459</v>
      </c>
      <c r="BJ54" s="62">
        <f t="shared" si="38"/>
        <v>247.01165577562966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144.05409916132993</v>
      </c>
      <c r="CE54" s="62">
        <f t="shared" si="40"/>
        <v>409.2784174616832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47.791828472529971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47.791828472529971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16.227472527472521</v>
      </c>
      <c r="CT54" s="13">
        <f>IF('Données projet'!$A$140&gt;35,CT53+CS54-DB53,IF(A54&lt;'Données projet'!$A$140,$CQ$205^A54,IF(A54='Données projet'!$A$140,'Données projet'!$B$140,CT53+CS54-DB53)))</f>
        <v>346.57032967032973</v>
      </c>
      <c r="CU54" s="18">
        <f>CT54*VLOOKUP('Données projet'!$B$13,Paramètres!$A$1:$I$89,3,0)*VLOOKUP('Données projet'!$B$13,Paramètres!$A$1:$I$89,5,0)</f>
        <v>193.73281428571431</v>
      </c>
      <c r="CV54" s="14">
        <f t="shared" si="41"/>
        <v>48.364288285880889</v>
      </c>
      <c r="CW54" s="22">
        <f t="shared" si="13"/>
        <v>421.65245364552828</v>
      </c>
      <c r="CX54" s="62">
        <f t="shared" si="14"/>
        <v>714.9857869788616</v>
      </c>
      <c r="CY54" s="62">
        <f ca="1">AVERAGE(OFFSET($CX$3,0,0,'Données projet'!$E$13+1,1))-AVERAGE(OFFSET($H$3,0,0,'Données projet'!$E$13+1,1))</f>
        <v>321.13335003345236</v>
      </c>
      <c r="CZ54" s="62">
        <f t="shared" si="42"/>
        <v>301.26825075712128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11.518252266010334</v>
      </c>
      <c r="DH54" s="23">
        <f>EXP(-LN(2)/2)*DH53+(1-EXP(-LN(2)/2))/(LN(2)/2)*DB54*DE54*VLOOKUP('Données projet'!$B$13,Paramètres!$A$1:$I$89,3,0)*0.475*44/12</f>
        <v>6.809480887226339E-3</v>
      </c>
      <c r="DI54" s="24">
        <f t="shared" si="15"/>
        <v>11.52506174689756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5.6410256410256405</v>
      </c>
      <c r="N55" s="14">
        <f>IF('Données projet'!$A$36&gt;35,N54+M55-V54,IF(A55&lt;'Données projet'!$A$36,$K$205^A55,IF(A55='Données projet'!$A$36,'Données projet'!$B$36,N54+M55-V54)))</f>
        <v>190.12820512820505</v>
      </c>
      <c r="O55" s="14">
        <f>N55*VLOOKUP('Données projet'!$B$9,Paramètres!$A$1:$I$89,3,0)*VLOOKUP('Données projet'!$B$9,Paramètres!$A$1:$I$89,5,0)</f>
        <v>198.72199999999992</v>
      </c>
      <c r="P55" s="14">
        <f t="shared" si="33"/>
        <v>49.463197303970119</v>
      </c>
      <c r="Q55" s="22">
        <f t="shared" si="53"/>
        <v>432.25588530441445</v>
      </c>
      <c r="R55" s="62">
        <f t="shared" si="0"/>
        <v>725.58921863774776</v>
      </c>
      <c r="S55" s="62">
        <f ca="1">AVERAGE(OFFSET($R$3,0,0,'Données projet'!$E$9+1,1))-AVERAGE(OFFSET($H$3,0,0,'Données projet'!$E$9+1,1))</f>
        <v>493.70175665335978</v>
      </c>
      <c r="T55" s="62">
        <f t="shared" si="34"/>
        <v>325.12357781685949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12.445384615384622</v>
      </c>
      <c r="AI55" s="14">
        <f>IF('Données projet'!$A$62&gt;35,AI54+AH55-AQ54,IF(A55&lt;'Données projet'!$A$62,$AF$205^A55,IF(A55='Données projet'!$A$62,'Données projet'!$B$62,AI54+AH55-AQ54)))</f>
        <v>217.10692307692287</v>
      </c>
      <c r="AJ55" s="14">
        <f>AI55*VLOOKUP('Données projet'!$B$10,Paramètres!$A$1:$I$89,3,0)*VLOOKUP('Données projet'!$B$10,Paramètres!$A$1:$I$89,5,0)</f>
        <v>101.60603999999989</v>
      </c>
      <c r="AK55" s="14">
        <f t="shared" si="35"/>
        <v>27.344258913232427</v>
      </c>
      <c r="AL55" s="22">
        <f t="shared" si="4"/>
        <v>224.58843727387963</v>
      </c>
      <c r="AM55" s="62">
        <f t="shared" si="5"/>
        <v>517.92177060721292</v>
      </c>
      <c r="AN55" s="62">
        <f ca="1">AVERAGE(OFFSET($AM$3,0,0,'Données projet'!$E$10+1,1))-AVERAGE(OFFSET($H$3,0,0,'Données projet'!$E$10+1,1))</f>
        <v>284.0976902574692</v>
      </c>
      <c r="AO55" s="62">
        <f t="shared" si="36"/>
        <v>190.4880882944471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635.72643681712532</v>
      </c>
      <c r="BI55" s="62">
        <f ca="1">AVERAGE(OFFSET($BH$3,0,0,'Données projet'!$E$11+1,1))-AVERAGE(OFFSET($H$3,0,0,'Données projet'!$E$11+1,1))</f>
        <v>428.8489304403459</v>
      </c>
      <c r="BJ55" s="62">
        <f t="shared" si="38"/>
        <v>247.01165577562966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144.05409916132993</v>
      </c>
      <c r="CE55" s="62">
        <f t="shared" si="40"/>
        <v>409.2784174616832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46.854659866320688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46.854659866320688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16.227472527472521</v>
      </c>
      <c r="CT55" s="13">
        <f>IF('Données projet'!$A$140&gt;35,CT54+CS55-DB54,IF(A55&lt;'Données projet'!$A$140,$CQ$205^A55,IF(A55='Données projet'!$A$140,'Données projet'!$B$140,CT54+CS55-DB54)))</f>
        <v>362.79780219780224</v>
      </c>
      <c r="CU55" s="18">
        <f>CT55*VLOOKUP('Données projet'!$B$13,Paramètres!$A$1:$I$89,3,0)*VLOOKUP('Données projet'!$B$13,Paramètres!$A$1:$I$89,5,0)</f>
        <v>202.80397142857146</v>
      </c>
      <c r="CV55" s="14">
        <f t="shared" si="41"/>
        <v>50.359895566849652</v>
      </c>
      <c r="CW55" s="22">
        <f t="shared" si="13"/>
        <v>440.92706835035841</v>
      </c>
      <c r="CX55" s="62">
        <f t="shared" si="14"/>
        <v>734.26040168369173</v>
      </c>
      <c r="CY55" s="62">
        <f ca="1">AVERAGE(OFFSET($CX$3,0,0,'Données projet'!$E$13+1,1))-AVERAGE(OFFSET($H$3,0,0,'Données projet'!$E$13+1,1))</f>
        <v>321.13335003345236</v>
      </c>
      <c r="CZ55" s="62">
        <f t="shared" si="42"/>
        <v>301.26825075712128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11.203285052077721</v>
      </c>
      <c r="DH55" s="23">
        <f>EXP(-LN(2)/2)*DH54+(1-EXP(-LN(2)/2))/(LN(2)/2)*DB55*DE55*VLOOKUP('Données projet'!$B$13,Paramètres!$A$1:$I$89,3,0)*0.475*44/12</f>
        <v>4.8150301117179323E-3</v>
      </c>
      <c r="DI55" s="24">
        <f t="shared" si="15"/>
        <v>11.208100082189439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5.6410256410256405</v>
      </c>
      <c r="N56" s="14">
        <f>IF('Données projet'!$A$36&gt;35,N55+M56-V55,IF(A56&lt;'Données projet'!$A$36,$K$205^A56,IF(A56='Données projet'!$A$36,'Données projet'!$B$36,N55+M56-V55)))</f>
        <v>195.76923076923069</v>
      </c>
      <c r="O56" s="14">
        <f>N56*VLOOKUP('Données projet'!$B$9,Paramètres!$A$1:$I$89,3,0)*VLOOKUP('Données projet'!$B$9,Paramètres!$A$1:$I$89,5,0)</f>
        <v>204.61799999999994</v>
      </c>
      <c r="P56" s="14">
        <f t="shared" si="33"/>
        <v>50.757712073649664</v>
      </c>
      <c r="Q56" s="22">
        <f t="shared" si="53"/>
        <v>444.77936519493966</v>
      </c>
      <c r="R56" s="62">
        <f t="shared" si="0"/>
        <v>738.11269852827297</v>
      </c>
      <c r="S56" s="62">
        <f ca="1">AVERAGE(OFFSET($R$3,0,0,'Données projet'!$E$9+1,1))-AVERAGE(OFFSET($H$3,0,0,'Données projet'!$E$9+1,1))</f>
        <v>493.70175665335978</v>
      </c>
      <c r="T56" s="62">
        <f t="shared" si="34"/>
        <v>325.12357781685949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12.445384615384622</v>
      </c>
      <c r="AI56" s="14">
        <f>IF('Données projet'!$A$62&gt;35,AI55+AH56-AQ55,IF(A56&lt;'Données projet'!$A$62,$AF$205^A56,IF(A56='Données projet'!$A$62,'Données projet'!$B$62,AI55+AH56-AQ55)))</f>
        <v>229.55230769230749</v>
      </c>
      <c r="AJ56" s="14">
        <f>AI56*VLOOKUP('Données projet'!$B$10,Paramètres!$A$1:$I$89,3,0)*VLOOKUP('Données projet'!$B$10,Paramètres!$A$1:$I$89,5,0)</f>
        <v>107.4304799999999</v>
      </c>
      <c r="AK56" s="14">
        <f t="shared" si="35"/>
        <v>28.724755329033492</v>
      </c>
      <c r="AL56" s="22">
        <f t="shared" si="4"/>
        <v>237.13703486473312</v>
      </c>
      <c r="AM56" s="62">
        <f t="shared" si="5"/>
        <v>530.47036819806647</v>
      </c>
      <c r="AN56" s="62">
        <f ca="1">AVERAGE(OFFSET($AM$3,0,0,'Données projet'!$E$10+1,1))-AVERAGE(OFFSET($H$3,0,0,'Données projet'!$E$10+1,1))</f>
        <v>284.0976902574692</v>
      </c>
      <c r="AO56" s="62">
        <f t="shared" si="36"/>
        <v>190.4880882944471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651.17655593527957</v>
      </c>
      <c r="BI56" s="62">
        <f ca="1">AVERAGE(OFFSET($BH$3,0,0,'Données projet'!$E$11+1,1))-AVERAGE(OFFSET($H$3,0,0,'Données projet'!$E$11+1,1))</f>
        <v>428.8489304403459</v>
      </c>
      <c r="BJ56" s="62">
        <f t="shared" si="38"/>
        <v>247.01165577562966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144.05409916132993</v>
      </c>
      <c r="CE56" s="62">
        <f t="shared" si="40"/>
        <v>409.2784174616832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45.935868564862766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45.935868564862766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16.227472527472521</v>
      </c>
      <c r="CT56" s="13">
        <f>IF('Données projet'!$A$140&gt;35,CT55+CS56-DB55,IF(A56&lt;'Données projet'!$A$140,$CQ$205^A56,IF(A56='Données projet'!$A$140,'Données projet'!$B$140,CT55+CS56-DB55)))</f>
        <v>379.02527472527476</v>
      </c>
      <c r="CU56" s="18">
        <f>CT56*VLOOKUP('Données projet'!$B$13,Paramètres!$A$1:$I$89,3,0)*VLOOKUP('Données projet'!$B$13,Paramètres!$A$1:$I$89,5,0)</f>
        <v>211.87512857142858</v>
      </c>
      <c r="CV56" s="14">
        <f t="shared" si="41"/>
        <v>52.345136228066735</v>
      </c>
      <c r="CW56" s="22">
        <f t="shared" si="13"/>
        <v>460.18362785912103</v>
      </c>
      <c r="CX56" s="62">
        <f t="shared" si="14"/>
        <v>753.51696119245435</v>
      </c>
      <c r="CY56" s="62">
        <f ca="1">AVERAGE(OFFSET($CX$3,0,0,'Données projet'!$E$13+1,1))-AVERAGE(OFFSET($H$3,0,0,'Données projet'!$E$13+1,1))</f>
        <v>321.13335003345236</v>
      </c>
      <c r="CZ56" s="62">
        <f t="shared" si="42"/>
        <v>301.26825075712128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10.896930633173501</v>
      </c>
      <c r="DH56" s="23">
        <f>EXP(-LN(2)/2)*DH55+(1-EXP(-LN(2)/2))/(LN(2)/2)*DB56*DE56*VLOOKUP('Données projet'!$B$13,Paramètres!$A$1:$I$89,3,0)*0.475*44/12</f>
        <v>3.4047404436131695E-3</v>
      </c>
      <c r="DI56" s="24">
        <f t="shared" si="15"/>
        <v>10.900335373617114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5.6410256410256405</v>
      </c>
      <c r="N57" s="14">
        <f>IF('Données projet'!$A$36&gt;35,N56+M57-V56,IF(A57&lt;'Données projet'!$A$36,$K$205^A57,IF(A57='Données projet'!$A$36,'Données projet'!$B$36,N56+M57-V56)))</f>
        <v>201.41025641025632</v>
      </c>
      <c r="O57" s="14">
        <f>N57*VLOOKUP('Données projet'!$B$9,Paramètres!$A$1:$I$89,3,0)*VLOOKUP('Données projet'!$B$9,Paramètres!$A$1:$I$89,5,0)</f>
        <v>210.51399999999992</v>
      </c>
      <c r="P57" s="14">
        <f t="shared" si="33"/>
        <v>52.047891644487855</v>
      </c>
      <c r="Q57" s="22">
        <f t="shared" si="53"/>
        <v>457.2952946141495</v>
      </c>
      <c r="R57" s="62">
        <f t="shared" si="0"/>
        <v>750.62862794748276</v>
      </c>
      <c r="S57" s="62">
        <f ca="1">AVERAGE(OFFSET($R$3,0,0,'Données projet'!$E$9+1,1))-AVERAGE(OFFSET($H$3,0,0,'Données projet'!$E$9+1,1))</f>
        <v>493.70175665335978</v>
      </c>
      <c r="T57" s="62">
        <f t="shared" si="34"/>
        <v>325.12357781685949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12.445384615384622</v>
      </c>
      <c r="AI57" s="14">
        <f>IF('Données projet'!$A$62&gt;35,AI56+AH57-AQ56,IF(A57&lt;'Données projet'!$A$62,$AF$205^A57,IF(A57='Données projet'!$A$62,'Données projet'!$B$62,AI56+AH57-AQ56)))</f>
        <v>241.99769230769212</v>
      </c>
      <c r="AJ57" s="14">
        <f>AI57*VLOOKUP('Données projet'!$B$10,Paramètres!$A$1:$I$89,3,0)*VLOOKUP('Données projet'!$B$10,Paramètres!$A$1:$I$89,5,0)</f>
        <v>113.25491999999991</v>
      </c>
      <c r="AK57" s="14">
        <f t="shared" si="35"/>
        <v>30.096562742066286</v>
      </c>
      <c r="AL57" s="22">
        <f t="shared" si="4"/>
        <v>249.67049910909861</v>
      </c>
      <c r="AM57" s="62">
        <f t="shared" si="5"/>
        <v>543.00383244243199</v>
      </c>
      <c r="AN57" s="62">
        <f ca="1">AVERAGE(OFFSET($AM$3,0,0,'Données projet'!$E$10+1,1))-AVERAGE(OFFSET($H$3,0,0,'Données projet'!$E$10+1,1))</f>
        <v>284.0976902574692</v>
      </c>
      <c r="AO57" s="62">
        <f t="shared" si="36"/>
        <v>190.4880882944471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666.61207984061377</v>
      </c>
      <c r="BI57" s="62">
        <f ca="1">AVERAGE(OFFSET($BH$3,0,0,'Données projet'!$E$11+1,1))-AVERAGE(OFFSET($H$3,0,0,'Données projet'!$E$11+1,1))</f>
        <v>428.8489304403459</v>
      </c>
      <c r="BJ57" s="62">
        <f t="shared" si="38"/>
        <v>247.01165577562966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144.05409916132993</v>
      </c>
      <c r="CE57" s="62">
        <f t="shared" si="40"/>
        <v>409.2784174616832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45.035094200419074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45.035094200419074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16.227472527472521</v>
      </c>
      <c r="CT57" s="13">
        <f>IF('Données projet'!$A$140&gt;35,CT56+CS57-DB56,IF(A57&lt;'Données projet'!$A$140,$CQ$205^A57,IF(A57='Données projet'!$A$140,'Données projet'!$B$140,CT56+CS57-DB56)))</f>
        <v>395.25274725274727</v>
      </c>
      <c r="CU57" s="18">
        <f>CT57*VLOOKUP('Données projet'!$B$13,Paramètres!$A$1:$I$89,3,0)*VLOOKUP('Données projet'!$B$13,Paramètres!$A$1:$I$89,5,0)</f>
        <v>220.94628571428572</v>
      </c>
      <c r="CV57" s="14">
        <f t="shared" si="41"/>
        <v>54.320504840756463</v>
      </c>
      <c r="CW57" s="22">
        <f t="shared" si="13"/>
        <v>479.42299355003178</v>
      </c>
      <c r="CX57" s="62">
        <f t="shared" si="14"/>
        <v>772.75632688336509</v>
      </c>
      <c r="CY57" s="62">
        <f ca="1">AVERAGE(OFFSET($CX$3,0,0,'Données projet'!$E$13+1,1))-AVERAGE(OFFSET($H$3,0,0,'Données projet'!$E$13+1,1))</f>
        <v>321.13335003345236</v>
      </c>
      <c r="CZ57" s="62">
        <f t="shared" si="42"/>
        <v>301.26825075712128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10.598953491964695</v>
      </c>
      <c r="DH57" s="23">
        <f>EXP(-LN(2)/2)*DH56+(1-EXP(-LN(2)/2))/(LN(2)/2)*DB57*DE57*VLOOKUP('Données projet'!$B$13,Paramètres!$A$1:$I$89,3,0)*0.475*44/12</f>
        <v>2.4075150558589662E-3</v>
      </c>
      <c r="DI57" s="24">
        <f t="shared" si="15"/>
        <v>10.601361007020554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207.05128205128204</v>
      </c>
      <c r="L58" s="13">
        <f>VLOOKUP(A58,'Données projet'!$A$35:$I$55,9,0)</f>
        <v>5.6410256410256405</v>
      </c>
      <c r="M58" s="13">
        <f t="array" ref="M58">INDEX(L:L,MIN(IF(ISNUMBER(L58:L254),ROW(L58:L254),"")))</f>
        <v>5.6410256410256405</v>
      </c>
      <c r="N58" s="14">
        <f>IF('Données projet'!$A$36&gt;35,N57+M58-V57,IF(A58&lt;'Données projet'!$A$36,$K$205^A58,IF(A58='Données projet'!$A$36,'Données projet'!$B$36,N57+M58-V57)))</f>
        <v>207.05128205128196</v>
      </c>
      <c r="O58" s="14">
        <f>N58*VLOOKUP('Données projet'!$B$9,Paramètres!$A$1:$I$89,3,0)*VLOOKUP('Données projet'!$B$9,Paramètres!$A$1:$I$89,5,0)</f>
        <v>216.40999999999991</v>
      </c>
      <c r="P58" s="14">
        <f t="shared" si="33"/>
        <v>53.333871383439472</v>
      </c>
      <c r="Q58" s="22">
        <f t="shared" si="53"/>
        <v>469.80390932615688</v>
      </c>
      <c r="R58" s="62">
        <f t="shared" si="0"/>
        <v>763.1372426594902</v>
      </c>
      <c r="S58" s="62">
        <f ca="1">AVERAGE(OFFSET($R$3,0,0,'Données projet'!$E$9+1,1))-AVERAGE(OFFSET($H$3,0,0,'Données projet'!$E$9+1,1))</f>
        <v>493.70175665335978</v>
      </c>
      <c r="T58" s="62">
        <f t="shared" si="34"/>
        <v>325.12357781685949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12.445384615384622</v>
      </c>
      <c r="AI58" s="14">
        <f>IF('Données projet'!$A$62&gt;35,AI57+AH58-AQ57,IF(A58&lt;'Données projet'!$A$62,$AF$205^A58,IF(A58='Données projet'!$A$62,'Données projet'!$B$62,AI57+AH58-AQ57)))</f>
        <v>254.44307692307675</v>
      </c>
      <c r="AJ58" s="14">
        <f>AI58*VLOOKUP('Données projet'!$B$10,Paramètres!$A$1:$I$89,3,0)*VLOOKUP('Données projet'!$B$10,Paramètres!$A$1:$I$89,5,0)</f>
        <v>119.07935999999992</v>
      </c>
      <c r="AK58" s="14">
        <f t="shared" si="35"/>
        <v>31.460178981332241</v>
      </c>
      <c r="AL58" s="22">
        <f t="shared" si="4"/>
        <v>262.1896970591535</v>
      </c>
      <c r="AM58" s="62">
        <f t="shared" si="5"/>
        <v>555.52303039248682</v>
      </c>
      <c r="AN58" s="62">
        <f ca="1">AVERAGE(OFFSET($AM$3,0,0,'Données projet'!$E$10+1,1))-AVERAGE(OFFSET($H$3,0,0,'Données projet'!$E$10+1,1))</f>
        <v>284.0976902574692</v>
      </c>
      <c r="AO58" s="62">
        <f t="shared" si="36"/>
        <v>190.4880882944471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682.03369695342735</v>
      </c>
      <c r="BI58" s="62">
        <f ca="1">AVERAGE(OFFSET($BH$3,0,0,'Données projet'!$E$11+1,1))-AVERAGE(OFFSET($H$3,0,0,'Données projet'!$E$11+1,1))</f>
        <v>428.8489304403459</v>
      </c>
      <c r="BJ58" s="62">
        <f t="shared" si="38"/>
        <v>247.01165577562966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144.05409916132993</v>
      </c>
      <c r="CE58" s="62">
        <f t="shared" si="40"/>
        <v>409.2784174616832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44.151983471844012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44.151983471844012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16.227472527472521</v>
      </c>
      <c r="CT58" s="13">
        <f>IF('Données projet'!$A$140&gt;35,CT57+CS58-DB57,IF(A58&lt;'Données projet'!$A$140,$CQ$205^A58,IF(A58='Données projet'!$A$140,'Données projet'!$B$140,CT57+CS58-DB57)))</f>
        <v>411.48021978021978</v>
      </c>
      <c r="CU58" s="18">
        <f>CT58*VLOOKUP('Données projet'!$B$13,Paramètres!$A$1:$I$89,3,0)*VLOOKUP('Données projet'!$B$13,Paramètres!$A$1:$I$89,5,0)</f>
        <v>230.01744285714284</v>
      </c>
      <c r="CV58" s="14">
        <f t="shared" si="41"/>
        <v>56.286453068022915</v>
      </c>
      <c r="CW58" s="22">
        <f t="shared" si="13"/>
        <v>498.64595206966368</v>
      </c>
      <c r="CX58" s="62">
        <f t="shared" si="14"/>
        <v>791.97928540299699</v>
      </c>
      <c r="CY58" s="62">
        <f ca="1">AVERAGE(OFFSET($CX$3,0,0,'Données projet'!$E$13+1,1))-AVERAGE(OFFSET($H$3,0,0,'Données projet'!$E$13+1,1))</f>
        <v>321.13335003345236</v>
      </c>
      <c r="CZ58" s="62">
        <f t="shared" si="42"/>
        <v>301.26825075712128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10.309124551352181</v>
      </c>
      <c r="DH58" s="23">
        <f>EXP(-LN(2)/2)*DH57+(1-EXP(-LN(2)/2))/(LN(2)/2)*DB58*DE58*VLOOKUP('Données projet'!$B$13,Paramètres!$A$1:$I$89,3,0)*0.475*44/12</f>
        <v>1.7023702218065847E-3</v>
      </c>
      <c r="DI58" s="24">
        <f t="shared" si="15"/>
        <v>10.310826921573987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5.2564102564102537</v>
      </c>
      <c r="N59" s="14">
        <f>IF('Données projet'!$A$36&gt;35,N58+M59-V58,IF(A59&lt;'Données projet'!$A$36,$K$205^A59,IF(A59='Données projet'!$A$36,'Données projet'!$B$36,N58+M59-V58)))</f>
        <v>212.30769230769221</v>
      </c>
      <c r="O59" s="14">
        <f>N59*VLOOKUP('Données projet'!$B$9,Paramètres!$A$1:$I$89,3,0)*VLOOKUP('Données projet'!$B$9,Paramètres!$A$1:$I$89,5,0)</f>
        <v>221.90399999999991</v>
      </c>
      <c r="P59" s="14">
        <f t="shared" si="33"/>
        <v>54.528502940168273</v>
      </c>
      <c r="Q59" s="22">
        <f t="shared" si="53"/>
        <v>481.45327595412624</v>
      </c>
      <c r="R59" s="62">
        <f t="shared" si="0"/>
        <v>774.78660928745956</v>
      </c>
      <c r="S59" s="62">
        <f ca="1">AVERAGE(OFFSET($R$3,0,0,'Données projet'!$E$9+1,1))-AVERAGE(OFFSET($H$3,0,0,'Données projet'!$E$9+1,1))</f>
        <v>493.70175665335978</v>
      </c>
      <c r="T59" s="62">
        <f t="shared" si="34"/>
        <v>325.12357781685949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12.445384615384622</v>
      </c>
      <c r="AI59" s="14">
        <f>IF('Données projet'!$A$62&gt;35,AI58+AH59-AQ58,IF(A59&lt;'Données projet'!$A$62,$AF$205^A59,IF(A59='Données projet'!$A$62,'Données projet'!$B$62,AI58+AH59-AQ58)))</f>
        <v>266.88846153846134</v>
      </c>
      <c r="AJ59" s="14">
        <f>AI59*VLOOKUP('Données projet'!$B$10,Paramètres!$A$1:$I$89,3,0)*VLOOKUP('Données projet'!$B$10,Paramètres!$A$1:$I$89,5,0)</f>
        <v>124.9037999999999</v>
      </c>
      <c r="AK59" s="14">
        <f t="shared" si="35"/>
        <v>32.816050424606004</v>
      </c>
      <c r="AL59" s="22">
        <f t="shared" si="4"/>
        <v>274.69540615618865</v>
      </c>
      <c r="AM59" s="62">
        <f t="shared" si="5"/>
        <v>568.02873948952197</v>
      </c>
      <c r="AN59" s="62">
        <f ca="1">AVERAGE(OFFSET($AM$3,0,0,'Données projet'!$E$10+1,1))-AVERAGE(OFFSET($H$3,0,0,'Données projet'!$E$10+1,1))</f>
        <v>284.0976902574692</v>
      </c>
      <c r="AO59" s="62">
        <f t="shared" si="36"/>
        <v>190.4880882944471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185.12207999999998</v>
      </c>
      <c r="BF59" s="14">
        <f t="shared" si="37"/>
        <v>46.459887003478677</v>
      </c>
      <c r="BG59" s="22">
        <f t="shared" si="7"/>
        <v>403.33859253105862</v>
      </c>
      <c r="BH59" s="62">
        <f t="shared" si="8"/>
        <v>696.67192586439194</v>
      </c>
      <c r="BI59" s="62">
        <f ca="1">AVERAGE(OFFSET($BH$3,0,0,'Données projet'!$E$11+1,1))-AVERAGE(OFFSET($H$3,0,0,'Données projet'!$E$11+1,1))</f>
        <v>428.8489304403459</v>
      </c>
      <c r="BJ59" s="62">
        <f t="shared" si="38"/>
        <v>247.01165577562966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144.05409916132993</v>
      </c>
      <c r="CE59" s="62">
        <f t="shared" si="40"/>
        <v>409.2784174616832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43.28619000601195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43.28619000601195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>
        <f>VLOOKUP(A59,'Données projet'!$A$139:$I$159,2,0)</f>
        <v>427.7076923076923</v>
      </c>
      <c r="CR59" s="13">
        <f>VLOOKUP(A59,'Données projet'!$A$139:$I$159,9,0)</f>
        <v>16.227472527472521</v>
      </c>
      <c r="CS59" s="13">
        <f t="array" ref="CS59">INDEX(CR:CR,MIN(IF(ISNUMBER(CR59:CR255),ROW(CR59:CR255),"")))</f>
        <v>16.227472527472521</v>
      </c>
      <c r="CT59" s="13">
        <f>IF('Données projet'!$A$140&gt;35,CT58+CS59-DB58,IF(A59&lt;'Données projet'!$A$140,$CQ$205^A59,IF(A59='Données projet'!$A$140,'Données projet'!$B$140,CT58+CS59-DB58)))</f>
        <v>427.7076923076923</v>
      </c>
      <c r="CU59" s="18">
        <f>CT59*VLOOKUP('Données projet'!$B$13,Paramètres!$A$1:$I$89,3,0)*VLOOKUP('Données projet'!$B$13,Paramètres!$A$1:$I$89,5,0)</f>
        <v>239.08860000000001</v>
      </c>
      <c r="CV59" s="14">
        <f t="shared" si="41"/>
        <v>58.243394931850105</v>
      </c>
      <c r="CW59" s="22">
        <f t="shared" si="13"/>
        <v>517.85322450630554</v>
      </c>
      <c r="CX59" s="62">
        <f t="shared" si="14"/>
        <v>811.18655783963891</v>
      </c>
      <c r="CY59" s="62">
        <f ca="1">AVERAGE(OFFSET($CX$3,0,0,'Données projet'!$E$13+1,1))-AVERAGE(OFFSET($H$3,0,0,'Données projet'!$E$13+1,1))</f>
        <v>321.13335003345236</v>
      </c>
      <c r="CZ59" s="62">
        <f t="shared" si="42"/>
        <v>301.26825075712128</v>
      </c>
      <c r="DA59" s="16">
        <f>IF(ISNA(VLOOKUP(A59,'Données projet'!$A$139:$I$159,3,0)),0,VLOOKUP(A59,'Données projet'!$A$139:$I$159,3,0))</f>
        <v>6</v>
      </c>
      <c r="DB59" s="16">
        <f>IF(ISNA(VLOOKUP(A59,'Données projet'!$A$139:$I$159,4,0)),0,VLOOKUP(A59,'Données projet'!$A$139:$I$159,4,0))</f>
        <v>75.869230769230768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10.027220998362157</v>
      </c>
      <c r="DH59" s="23">
        <f>EXP(-LN(2)/2)*DH58+(1-EXP(-LN(2)/2))/(LN(2)/2)*DB59*DE59*VLOOKUP('Données projet'!$B$13,Paramètres!$A$1:$I$89,3,0)*0.475*44/12</f>
        <v>1.2037575279294831E-3</v>
      </c>
      <c r="DI59" s="24">
        <f t="shared" si="15"/>
        <v>10.028424755890086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5.2564102564102537</v>
      </c>
      <c r="N60" s="14">
        <f>IF('Données projet'!$A$36&gt;35,N59+M60-V59,IF(A60&lt;'Données projet'!$A$36,$K$205^A60,IF(A60='Données projet'!$A$36,'Données projet'!$B$36,N59+M60-V59)))</f>
        <v>217.56410256410246</v>
      </c>
      <c r="O60" s="14">
        <f>N60*VLOOKUP('Données projet'!$B$9,Paramètres!$A$1:$I$89,3,0)*VLOOKUP('Données projet'!$B$9,Paramètres!$A$1:$I$89,5,0)</f>
        <v>227.39799999999991</v>
      </c>
      <c r="P60" s="14">
        <f t="shared" si="33"/>
        <v>55.719696292134515</v>
      </c>
      <c r="Q60" s="22">
        <f t="shared" si="53"/>
        <v>493.09665437546749</v>
      </c>
      <c r="R60" s="62">
        <f t="shared" si="0"/>
        <v>786.42998770880081</v>
      </c>
      <c r="S60" s="62">
        <f ca="1">AVERAGE(OFFSET($R$3,0,0,'Données projet'!$E$9+1,1))-AVERAGE(OFFSET($H$3,0,0,'Données projet'!$E$9+1,1))</f>
        <v>493.70175665335978</v>
      </c>
      <c r="T60" s="62">
        <f t="shared" si="34"/>
        <v>325.12357781685949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12.445384615384622</v>
      </c>
      <c r="AI60" s="14">
        <f>IF('Données projet'!$A$62&gt;35,AI59+AH60-AQ59,IF(A60&lt;'Données projet'!$A$62,$AF$205^A60,IF(A60='Données projet'!$A$62,'Données projet'!$B$62,AI59+AH60-AQ59)))</f>
        <v>279.33384615384597</v>
      </c>
      <c r="AJ60" s="14">
        <f>AI60*VLOOKUP('Données projet'!$B$10,Paramètres!$A$1:$I$89,3,0)*VLOOKUP('Données projet'!$B$10,Paramètres!$A$1:$I$89,5,0)</f>
        <v>130.72823999999991</v>
      </c>
      <c r="AK60" s="14">
        <f t="shared" si="35"/>
        <v>34.164579466496839</v>
      </c>
      <c r="AL60" s="22">
        <f t="shared" si="4"/>
        <v>287.18832723748181</v>
      </c>
      <c r="AM60" s="62">
        <f t="shared" si="5"/>
        <v>580.52166057081513</v>
      </c>
      <c r="AN60" s="62">
        <f ca="1">AVERAGE(OFFSET($AM$3,0,0,'Données projet'!$E$10+1,1))-AVERAGE(OFFSET($H$3,0,0,'Données projet'!$E$10+1,1))</f>
        <v>284.0976902574692</v>
      </c>
      <c r="AO60" s="62">
        <f t="shared" si="36"/>
        <v>190.4880882944471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191.99855999999997</v>
      </c>
      <c r="BF60" s="14">
        <f t="shared" si="37"/>
        <v>47.981536645873334</v>
      </c>
      <c r="BG60" s="22">
        <f t="shared" si="7"/>
        <v>417.96533499156266</v>
      </c>
      <c r="BH60" s="62">
        <f t="shared" si="8"/>
        <v>711.29866832489597</v>
      </c>
      <c r="BI60" s="62">
        <f ca="1">AVERAGE(OFFSET($BH$3,0,0,'Données projet'!$E$11+1,1))-AVERAGE(OFFSET($H$3,0,0,'Données projet'!$E$11+1,1))</f>
        <v>428.8489304403459</v>
      </c>
      <c r="BJ60" s="62">
        <f t="shared" si="38"/>
        <v>247.01165577562966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144.05409916132993</v>
      </c>
      <c r="CE60" s="62">
        <f t="shared" si="40"/>
        <v>409.2784174616832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42.437374221962983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42.437374221962983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14.839560439560435</v>
      </c>
      <c r="CT60" s="13">
        <f>IF('Données projet'!$A$140&gt;35,CT59+CS60-DB59,IF(A60&lt;'Données projet'!$A$140,$CQ$205^A60,IF(A60='Données projet'!$A$140,'Données projet'!$B$140,CT59+CS60-DB59)))</f>
        <v>366.678021978022</v>
      </c>
      <c r="CU60" s="18">
        <f>CT60*VLOOKUP('Données projet'!$B$13,Paramètres!$A$1:$I$89,3,0)*VLOOKUP('Données projet'!$B$13,Paramètres!$A$1:$I$89,5,0)</f>
        <v>204.9730142857143</v>
      </c>
      <c r="CV60" s="14">
        <f t="shared" si="41"/>
        <v>50.835518579260878</v>
      </c>
      <c r="CW60" s="22">
        <f t="shared" si="13"/>
        <v>445.53319473983174</v>
      </c>
      <c r="CX60" s="62">
        <f t="shared" si="14"/>
        <v>738.866528073165</v>
      </c>
      <c r="CY60" s="62">
        <f ca="1">AVERAGE(OFFSET($CX$3,0,0,'Données projet'!$E$13+1,1))-AVERAGE(OFFSET($H$3,0,0,'Données projet'!$E$13+1,1))</f>
        <v>321.13335003345236</v>
      </c>
      <c r="CZ60" s="62">
        <f t="shared" si="42"/>
        <v>301.26825075712128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9.7530261128533091</v>
      </c>
      <c r="DH60" s="23">
        <f>EXP(-LN(2)/2)*DH59+(1-EXP(-LN(2)/2))/(LN(2)/2)*DB60*DE60*VLOOKUP('Données projet'!$B$13,Paramètres!$A$1:$I$89,3,0)*0.475*44/12</f>
        <v>8.5118511090329237E-4</v>
      </c>
      <c r="DI60" s="24">
        <f t="shared" si="15"/>
        <v>9.7538772979642125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5.2564102564102537</v>
      </c>
      <c r="N61" s="14">
        <f>IF('Données projet'!$A$36&gt;35,N60+M61-V60,IF(A61&lt;'Données projet'!$A$36,$K$205^A61,IF(A61='Données projet'!$A$36,'Données projet'!$B$36,N60+M61-V60)))</f>
        <v>222.8205128205127</v>
      </c>
      <c r="O61" s="14">
        <f>N61*VLOOKUP('Données projet'!$B$9,Paramètres!$A$1:$I$89,3,0)*VLOOKUP('Données projet'!$B$9,Paramètres!$A$1:$I$89,5,0)</f>
        <v>232.89199999999991</v>
      </c>
      <c r="P61" s="14">
        <f t="shared" si="33"/>
        <v>56.907544064397435</v>
      </c>
      <c r="Q61" s="22">
        <f t="shared" si="53"/>
        <v>504.73420591215864</v>
      </c>
      <c r="R61" s="62">
        <f t="shared" si="0"/>
        <v>798.06753924549196</v>
      </c>
      <c r="S61" s="62">
        <f ca="1">AVERAGE(OFFSET($R$3,0,0,'Données projet'!$E$9+1,1))-AVERAGE(OFFSET($H$3,0,0,'Données projet'!$E$9+1,1))</f>
        <v>493.70175665335978</v>
      </c>
      <c r="T61" s="62">
        <f t="shared" si="34"/>
        <v>325.12357781685949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12.445384615384622</v>
      </c>
      <c r="AI61" s="14">
        <f>IF('Données projet'!$A$62&gt;35,AI60+AH61-AQ60,IF(A61&lt;'Données projet'!$A$62,$AF$205^A61,IF(A61='Données projet'!$A$62,'Données projet'!$B$62,AI60+AH61-AQ60)))</f>
        <v>291.77923076923059</v>
      </c>
      <c r="AJ61" s="14">
        <f>AI61*VLOOKUP('Données projet'!$B$10,Paramètres!$A$1:$I$89,3,0)*VLOOKUP('Données projet'!$B$10,Paramètres!$A$1:$I$89,5,0)</f>
        <v>136.55267999999992</v>
      </c>
      <c r="AK61" s="14">
        <f t="shared" si="35"/>
        <v>35.506130617997925</v>
      </c>
      <c r="AL61" s="22">
        <f t="shared" si="4"/>
        <v>299.66909515967956</v>
      </c>
      <c r="AM61" s="62">
        <f t="shared" si="5"/>
        <v>593.00242849301287</v>
      </c>
      <c r="AN61" s="62">
        <f ca="1">AVERAGE(OFFSET($AM$3,0,0,'Données projet'!$E$10+1,1))-AVERAGE(OFFSET($H$3,0,0,'Données projet'!$E$10+1,1))</f>
        <v>284.0976902574692</v>
      </c>
      <c r="AO61" s="62">
        <f t="shared" si="36"/>
        <v>190.4880882944471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198.87503999999998</v>
      </c>
      <c r="BF61" s="14">
        <f t="shared" si="37"/>
        <v>49.496854461868558</v>
      </c>
      <c r="BG61" s="22">
        <f t="shared" si="7"/>
        <v>432.58104952108766</v>
      </c>
      <c r="BH61" s="62">
        <f t="shared" si="8"/>
        <v>725.91438285442098</v>
      </c>
      <c r="BI61" s="62">
        <f ca="1">AVERAGE(OFFSET($BH$3,0,0,'Données projet'!$E$11+1,1))-AVERAGE(OFFSET($H$3,0,0,'Données projet'!$E$11+1,1))</f>
        <v>428.8489304403459</v>
      </c>
      <c r="BJ61" s="62">
        <f t="shared" si="38"/>
        <v>247.01165577562966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144.05409916132993</v>
      </c>
      <c r="CE61" s="62">
        <f t="shared" si="40"/>
        <v>409.2784174616832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41.605203197712704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41.605203197712704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14.839560439560435</v>
      </c>
      <c r="CT61" s="13">
        <f>IF('Données projet'!$A$140&gt;35,CT60+CS61-DB60,IF(A61&lt;'Données projet'!$A$140,$CQ$205^A61,IF(A61='Données projet'!$A$140,'Données projet'!$B$140,CT60+CS61-DB60)))</f>
        <v>381.51758241758245</v>
      </c>
      <c r="CU61" s="18">
        <f>CT61*VLOOKUP('Données projet'!$B$13,Paramètres!$A$1:$I$89,3,0)*VLOOKUP('Données projet'!$B$13,Paramètres!$A$1:$I$89,5,0)</f>
        <v>213.26832857142858</v>
      </c>
      <c r="CV61" s="14">
        <f t="shared" si="41"/>
        <v>52.649154508451623</v>
      </c>
      <c r="CW61" s="22">
        <f t="shared" si="13"/>
        <v>463.13961636412461</v>
      </c>
      <c r="CX61" s="62">
        <f t="shared" si="14"/>
        <v>756.47294969745792</v>
      </c>
      <c r="CY61" s="62">
        <f ca="1">AVERAGE(OFFSET($CX$3,0,0,'Données projet'!$E$13+1,1))-AVERAGE(OFFSET($H$3,0,0,'Données projet'!$E$13+1,1))</f>
        <v>321.13335003345236</v>
      </c>
      <c r="CZ61" s="62">
        <f t="shared" si="42"/>
        <v>301.26825075712128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9.4863291009079838</v>
      </c>
      <c r="DH61" s="23">
        <f>EXP(-LN(2)/2)*DH60+(1-EXP(-LN(2)/2))/(LN(2)/2)*DB61*DE61*VLOOKUP('Données projet'!$B$13,Paramètres!$A$1:$I$89,3,0)*0.475*44/12</f>
        <v>6.0187876396474154E-4</v>
      </c>
      <c r="DI61" s="24">
        <f t="shared" si="15"/>
        <v>9.4869309796719481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5.2564102564102537</v>
      </c>
      <c r="N62" s="14">
        <f>IF('Données projet'!$A$36&gt;35,N61+M62-V61,IF(A62&lt;'Données projet'!$A$36,$K$205^A62,IF(A62='Données projet'!$A$36,'Données projet'!$B$36,N61+M62-V61)))</f>
        <v>228.07692307692295</v>
      </c>
      <c r="O62" s="14">
        <f>N62*VLOOKUP('Données projet'!$B$9,Paramètres!$A$1:$I$89,3,0)*VLOOKUP('Données projet'!$B$9,Paramètres!$A$1:$I$89,5,0)</f>
        <v>238.38599999999991</v>
      </c>
      <c r="P62" s="14">
        <f t="shared" si="33"/>
        <v>58.092134262616966</v>
      </c>
      <c r="Q62" s="22">
        <f t="shared" si="53"/>
        <v>516.3660838407244</v>
      </c>
      <c r="R62" s="62">
        <f t="shared" si="0"/>
        <v>809.69941717405777</v>
      </c>
      <c r="S62" s="62">
        <f ca="1">AVERAGE(OFFSET($R$3,0,0,'Données projet'!$E$9+1,1))-AVERAGE(OFFSET($H$3,0,0,'Données projet'!$E$9+1,1))</f>
        <v>493.70175665335978</v>
      </c>
      <c r="T62" s="62">
        <f t="shared" si="34"/>
        <v>325.12357781685949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12.445384615384622</v>
      </c>
      <c r="AI62" s="14">
        <f>IF('Données projet'!$A$62&gt;35,AI61+AH62-AQ61,IF(A62&lt;'Données projet'!$A$62,$AF$205^A62,IF(A62='Données projet'!$A$62,'Données projet'!$B$62,AI61+AH62-AQ61)))</f>
        <v>304.22461538461522</v>
      </c>
      <c r="AJ62" s="14">
        <f>AI62*VLOOKUP('Données projet'!$B$10,Paramètres!$A$1:$I$89,3,0)*VLOOKUP('Données projet'!$B$10,Paramètres!$A$1:$I$89,5,0)</f>
        <v>142.37711999999993</v>
      </c>
      <c r="AK62" s="14">
        <f t="shared" si="35"/>
        <v>36.841035536023817</v>
      </c>
      <c r="AL62" s="22">
        <f t="shared" si="4"/>
        <v>312.13828755857463</v>
      </c>
      <c r="AM62" s="62">
        <f t="shared" si="5"/>
        <v>605.47162089190795</v>
      </c>
      <c r="AN62" s="62">
        <f ca="1">AVERAGE(OFFSET($AM$3,0,0,'Données projet'!$E$10+1,1))-AVERAGE(OFFSET($H$3,0,0,'Données projet'!$E$10+1,1))</f>
        <v>284.0976902574692</v>
      </c>
      <c r="AO62" s="62">
        <f t="shared" si="36"/>
        <v>190.4880882944471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205.75151999999994</v>
      </c>
      <c r="BF62" s="14">
        <f t="shared" si="37"/>
        <v>51.006084477955554</v>
      </c>
      <c r="BG62" s="22">
        <f t="shared" si="7"/>
        <v>447.18616113243911</v>
      </c>
      <c r="BH62" s="62">
        <f t="shared" si="8"/>
        <v>740.51949446577237</v>
      </c>
      <c r="BI62" s="62">
        <f ca="1">AVERAGE(OFFSET($BH$3,0,0,'Données projet'!$E$11+1,1))-AVERAGE(OFFSET($H$3,0,0,'Données projet'!$E$11+1,1))</f>
        <v>428.8489304403459</v>
      </c>
      <c r="BJ62" s="62">
        <f t="shared" si="38"/>
        <v>247.01165577562966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144.05409916132993</v>
      </c>
      <c r="CE62" s="62">
        <f t="shared" si="40"/>
        <v>409.2784174616832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40.789350539673769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40.789350539673769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14.839560439560435</v>
      </c>
      <c r="CT62" s="13">
        <f>IF('Données projet'!$A$140&gt;35,CT61+CS62-DB61,IF(A62&lt;'Données projet'!$A$140,$CQ$205^A62,IF(A62='Données projet'!$A$140,'Données projet'!$B$140,CT61+CS62-DB61)))</f>
        <v>396.35714285714289</v>
      </c>
      <c r="CU62" s="18">
        <f>CT62*VLOOKUP('Données projet'!$B$13,Paramètres!$A$1:$I$89,3,0)*VLOOKUP('Données projet'!$B$13,Paramètres!$A$1:$I$89,5,0)</f>
        <v>221.56364285714287</v>
      </c>
      <c r="CV62" s="14">
        <f t="shared" si="41"/>
        <v>54.45459555983345</v>
      </c>
      <c r="CW62" s="22">
        <f t="shared" si="13"/>
        <v>480.73176524290039</v>
      </c>
      <c r="CX62" s="62">
        <f t="shared" si="14"/>
        <v>774.06509857623371</v>
      </c>
      <c r="CY62" s="62">
        <f ca="1">AVERAGE(OFFSET($CX$3,0,0,'Données projet'!$E$13+1,1))-AVERAGE(OFFSET($H$3,0,0,'Données projet'!$E$13+1,1))</f>
        <v>321.13335003345236</v>
      </c>
      <c r="CZ62" s="62">
        <f t="shared" si="42"/>
        <v>301.26825075712128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9.2269249327792888</v>
      </c>
      <c r="DH62" s="23">
        <f>EXP(-LN(2)/2)*DH61+(1-EXP(-LN(2)/2))/(LN(2)/2)*DB62*DE62*VLOOKUP('Données projet'!$B$13,Paramètres!$A$1:$I$89,3,0)*0.475*44/12</f>
        <v>4.2559255545164619E-4</v>
      </c>
      <c r="DI62" s="24">
        <f t="shared" si="15"/>
        <v>9.2273505253347405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233.33333333333331</v>
      </c>
      <c r="L63" s="13">
        <f>VLOOKUP(A63,'Données projet'!$A$35:$I$55,9,0)</f>
        <v>5.2564102564102537</v>
      </c>
      <c r="M63" s="13">
        <f t="array" ref="M63">INDEX(L:L,MIN(IF(ISNUMBER(L63:L259),ROW(L63:L259),"")))</f>
        <v>5.2564102564102537</v>
      </c>
      <c r="N63" s="14">
        <f>IF('Données projet'!$A$36&gt;35,N62+M63-V62,IF(A63&lt;'Données projet'!$A$36,$K$205^A63,IF(A63='Données projet'!$A$36,'Données projet'!$B$36,N62+M63-V62)))</f>
        <v>233.3333333333332</v>
      </c>
      <c r="O63" s="14">
        <f>N63*VLOOKUP('Données projet'!$B$9,Paramètres!$A$1:$I$89,3,0)*VLOOKUP('Données projet'!$B$9,Paramètres!$A$1:$I$89,5,0)</f>
        <v>243.87999999999988</v>
      </c>
      <c r="P63" s="14">
        <f t="shared" si="33"/>
        <v>59.2735506045045</v>
      </c>
      <c r="Q63" s="22">
        <f t="shared" si="53"/>
        <v>527.99243396951181</v>
      </c>
      <c r="R63" s="62">
        <f t="shared" si="0"/>
        <v>821.32576730284518</v>
      </c>
      <c r="S63" s="62">
        <f ca="1">AVERAGE(OFFSET($R$3,0,0,'Données projet'!$E$9+1,1))-AVERAGE(OFFSET($H$3,0,0,'Données projet'!$E$9+1,1))</f>
        <v>493.70175665335978</v>
      </c>
      <c r="T63" s="62">
        <f t="shared" si="34"/>
        <v>325.12357781685949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24.358974358974358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12.445384615384622</v>
      </c>
      <c r="AI63" s="14">
        <f>IF('Données projet'!$A$62&gt;35,AI62+AH63-AQ62,IF(A63&lt;'Données projet'!$A$62,$AF$205^A63,IF(A63='Données projet'!$A$62,'Données projet'!$B$62,AI62+AH63-AQ62)))</f>
        <v>316.66999999999985</v>
      </c>
      <c r="AJ63" s="14">
        <f>AI63*VLOOKUP('Données projet'!$B$10,Paramètres!$A$1:$I$89,3,0)*VLOOKUP('Données projet'!$B$10,Paramètres!$A$1:$I$89,5,0)</f>
        <v>148.20155999999992</v>
      </c>
      <c r="AK63" s="14">
        <f t="shared" si="35"/>
        <v>38.169597206764486</v>
      </c>
      <c r="AL63" s="22">
        <f t="shared" si="4"/>
        <v>324.59643213511464</v>
      </c>
      <c r="AM63" s="62">
        <f t="shared" si="5"/>
        <v>617.92976546844795</v>
      </c>
      <c r="AN63" s="62">
        <f ca="1">AVERAGE(OFFSET($AM$3,0,0,'Données projet'!$E$10+1,1))-AVERAGE(OFFSET($H$3,0,0,'Données projet'!$E$10+1,1))</f>
        <v>284.0976902574692</v>
      </c>
      <c r="AO63" s="62">
        <f t="shared" si="36"/>
        <v>190.4880882944471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212.62799999999999</v>
      </c>
      <c r="BF63" s="14">
        <f t="shared" si="37"/>
        <v>52.509453483719035</v>
      </c>
      <c r="BG63" s="22">
        <f t="shared" si="7"/>
        <v>461.78106481747727</v>
      </c>
      <c r="BH63" s="62">
        <f t="shared" si="8"/>
        <v>755.11439815081053</v>
      </c>
      <c r="BI63" s="62">
        <f ca="1">AVERAGE(OFFSET($BH$3,0,0,'Données projet'!$E$11+1,1))-AVERAGE(OFFSET($H$3,0,0,'Données projet'!$E$11+1,1))</f>
        <v>428.8489304403459</v>
      </c>
      <c r="BJ63" s="62">
        <f t="shared" si="38"/>
        <v>247.01165577562966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144.05409916132993</v>
      </c>
      <c r="CE63" s="62">
        <f t="shared" si="40"/>
        <v>409.2784174616832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39.989496254637992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39.989496254637992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14.839560439560435</v>
      </c>
      <c r="CT63" s="13">
        <f>IF('Données projet'!$A$140&gt;35,CT62+CS63-DB62,IF(A63&lt;'Données projet'!$A$140,$CQ$205^A63,IF(A63='Données projet'!$A$140,'Données projet'!$B$140,CT62+CS63-DB62)))</f>
        <v>411.19670329670333</v>
      </c>
      <c r="CU63" s="18">
        <f>CT63*VLOOKUP('Données projet'!$B$13,Paramètres!$A$1:$I$89,3,0)*VLOOKUP('Données projet'!$B$13,Paramètres!$A$1:$I$89,5,0)</f>
        <v>229.85895714285718</v>
      </c>
      <c r="CV63" s="14">
        <f t="shared" si="41"/>
        <v>56.252183679167004</v>
      </c>
      <c r="CW63" s="22">
        <f t="shared" si="13"/>
        <v>498.31023693169209</v>
      </c>
      <c r="CX63" s="62">
        <f t="shared" si="14"/>
        <v>791.64357026502535</v>
      </c>
      <c r="CY63" s="62">
        <f ca="1">AVERAGE(OFFSET($CX$3,0,0,'Données projet'!$E$13+1,1))-AVERAGE(OFFSET($H$3,0,0,'Données projet'!$E$13+1,1))</f>
        <v>321.13335003345236</v>
      </c>
      <c r="CZ63" s="62">
        <f t="shared" si="42"/>
        <v>301.26825075712128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8.9746141852695462</v>
      </c>
      <c r="DH63" s="23">
        <f>EXP(-LN(2)/2)*DH62+(1-EXP(-LN(2)/2))/(LN(2)/2)*DB63*DE63*VLOOKUP('Données projet'!$B$13,Paramètres!$A$1:$I$89,3,0)*0.475*44/12</f>
        <v>3.0093938198237077E-4</v>
      </c>
      <c r="DI63" s="24">
        <f t="shared" si="15"/>
        <v>8.9749151246515293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5.0000000000000053</v>
      </c>
      <c r="N64" s="14">
        <f>IF('Données projet'!$A$36&gt;35,N63+M64-V63,IF(A64&lt;'Données projet'!$A$36,$K$205^A64,IF(A64='Données projet'!$A$36,'Données projet'!$B$36,N63+M64-V63)))</f>
        <v>213.97435897435884</v>
      </c>
      <c r="O64" s="14">
        <f>N64*VLOOKUP('Données projet'!$B$9,Paramètres!$A$1:$I$89,3,0)*VLOOKUP('Données projet'!$B$9,Paramètres!$A$1:$I$89,5,0)</f>
        <v>223.64599999999987</v>
      </c>
      <c r="P64" s="14">
        <f t="shared" si="33"/>
        <v>54.906566144961104</v>
      </c>
      <c r="Q64" s="22">
        <f t="shared" si="53"/>
        <v>485.14571936914029</v>
      </c>
      <c r="R64" s="62">
        <f t="shared" si="0"/>
        <v>778.47905270247361</v>
      </c>
      <c r="S64" s="62">
        <f ca="1">AVERAGE(OFFSET($R$3,0,0,'Données projet'!$E$9+1,1))-AVERAGE(OFFSET($H$3,0,0,'Données projet'!$E$9+1,1))</f>
        <v>493.70175665335978</v>
      </c>
      <c r="T64" s="62">
        <f t="shared" si="34"/>
        <v>325.12357781685949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329.11538461538464</v>
      </c>
      <c r="AG64" s="13">
        <f>VLOOKUP(A64,'Données projet'!$A$61:$I$81,9,0)</f>
        <v>12.445384615384622</v>
      </c>
      <c r="AH64" s="13">
        <f t="array" ref="AH64">INDEX(AG:AG,MIN(IF(ISNUMBER(AG64:AG260),ROW(AG64:AG260),"")))</f>
        <v>12.445384615384622</v>
      </c>
      <c r="AI64" s="14">
        <f>IF('Données projet'!$A$62&gt;35,AI63+AH64-AQ63,IF(A64&lt;'Données projet'!$A$62,$AF$205^A64,IF(A64='Données projet'!$A$62,'Données projet'!$B$62,AI63+AH64-AQ63)))</f>
        <v>329.11538461538447</v>
      </c>
      <c r="AJ64" s="14">
        <f>AI64*VLOOKUP('Données projet'!$B$10,Paramètres!$A$1:$I$89,3,0)*VLOOKUP('Données projet'!$B$10,Paramètres!$A$1:$I$89,5,0)</f>
        <v>154.02599999999993</v>
      </c>
      <c r="AK64" s="14">
        <f t="shared" si="35"/>
        <v>39.492093452898274</v>
      </c>
      <c r="AL64" s="22">
        <f t="shared" si="4"/>
        <v>337.0440127637977</v>
      </c>
      <c r="AM64" s="62">
        <f t="shared" si="5"/>
        <v>630.37734609713107</v>
      </c>
      <c r="AN64" s="62">
        <f ca="1">AVERAGE(OFFSET($AM$3,0,0,'Données projet'!$E$10+1,1))-AVERAGE(OFFSET($H$3,0,0,'Données projet'!$E$10+1,1))</f>
        <v>284.0976902574692</v>
      </c>
      <c r="AO64" s="62">
        <f t="shared" si="36"/>
        <v>190.4880882944471</v>
      </c>
      <c r="AP64" s="16">
        <f>IF(ISNA(VLOOKUP(A64,'Données projet'!$A$61:$I$81,3,0)),0,VLOOKUP(A64,'Données projet'!$A$61:$I$81,3,0))</f>
        <v>2</v>
      </c>
      <c r="AQ64" s="16">
        <f>IF(ISNA(VLOOKUP(A64,'Données projet'!$A$61:$I$81,4,0)),0,VLOOKUP(A64,'Données projet'!$A$61:$I$81,4,0))</f>
        <v>94.76153846153845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688.19859268339724</v>
      </c>
      <c r="BI64" s="62">
        <f ca="1">AVERAGE(OFFSET($BH$3,0,0,'Données projet'!$E$11+1,1))-AVERAGE(OFFSET($H$3,0,0,'Données projet'!$E$11+1,1))</f>
        <v>428.8489304403459</v>
      </c>
      <c r="BJ64" s="62">
        <f t="shared" si="38"/>
        <v>247.01165577562966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144.05409916132993</v>
      </c>
      <c r="CE64" s="62">
        <f t="shared" si="40"/>
        <v>409.2784174616832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39.205326624268828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39.205326624268828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14.839560439560435</v>
      </c>
      <c r="CT64" s="13">
        <f>IF('Données projet'!$A$140&gt;35,CT63+CS64-DB63,IF(A64&lt;'Données projet'!$A$140,$CQ$205^A64,IF(A64='Données projet'!$A$140,'Données projet'!$B$140,CT63+CS64-DB63)))</f>
        <v>426.03626373626378</v>
      </c>
      <c r="CU64" s="18">
        <f>CT64*VLOOKUP('Données projet'!$B$13,Paramètres!$A$1:$I$89,3,0)*VLOOKUP('Données projet'!$B$13,Paramètres!$A$1:$I$89,5,0)</f>
        <v>238.15427142857146</v>
      </c>
      <c r="CV64" s="14">
        <f t="shared" si="41"/>
        <v>58.042234732541061</v>
      </c>
      <c r="CW64" s="22">
        <f t="shared" si="13"/>
        <v>515.87558156393777</v>
      </c>
      <c r="CX64" s="62">
        <f t="shared" si="14"/>
        <v>809.20891489727114</v>
      </c>
      <c r="CY64" s="62">
        <f ca="1">AVERAGE(OFFSET($CX$3,0,0,'Données projet'!$E$13+1,1))-AVERAGE(OFFSET($H$3,0,0,'Données projet'!$E$13+1,1))</f>
        <v>321.13335003345236</v>
      </c>
      <c r="CZ64" s="62">
        <f t="shared" si="42"/>
        <v>301.26825075712128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8.7292028884189019</v>
      </c>
      <c r="DH64" s="23">
        <f>EXP(-LN(2)/2)*DH63+(1-EXP(-LN(2)/2))/(LN(2)/2)*DB64*DE64*VLOOKUP('Données projet'!$B$13,Paramètres!$A$1:$I$89,3,0)*0.475*44/12</f>
        <v>2.1279627772582309E-4</v>
      </c>
      <c r="DI64" s="24">
        <f t="shared" si="15"/>
        <v>8.7294156846966278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5.0000000000000053</v>
      </c>
      <c r="N65" s="14">
        <f>IF('Données projet'!$A$36&gt;35,N64+M65-V64,IF(A65&lt;'Données projet'!$A$36,$K$205^A65,IF(A65='Données projet'!$A$36,'Données projet'!$B$36,N64+M65-V64)))</f>
        <v>218.97435897435884</v>
      </c>
      <c r="O65" s="14">
        <f>N65*VLOOKUP('Données projet'!$B$9,Paramètres!$A$1:$I$89,3,0)*VLOOKUP('Données projet'!$B$9,Paramètres!$A$1:$I$89,5,0)</f>
        <v>228.87199999999987</v>
      </c>
      <c r="P65" s="14">
        <f t="shared" si="33"/>
        <v>56.038711813998113</v>
      </c>
      <c r="Q65" s="22">
        <f t="shared" si="53"/>
        <v>496.21948974271317</v>
      </c>
      <c r="R65" s="62">
        <f t="shared" si="0"/>
        <v>789.55282307604648</v>
      </c>
      <c r="S65" s="62">
        <f ca="1">AVERAGE(OFFSET($R$3,0,0,'Données projet'!$E$9+1,1))-AVERAGE(OFFSET($H$3,0,0,'Données projet'!$E$9+1,1))</f>
        <v>493.70175665335978</v>
      </c>
      <c r="T65" s="62">
        <f t="shared" si="34"/>
        <v>325.12357781685949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10.314743589743586</v>
      </c>
      <c r="AI65" s="14">
        <f>IF('Données projet'!$A$62&gt;35,AI64+AH65-AQ64,IF(A65&lt;'Données projet'!$A$62,$AF$205^A65,IF(A65='Données projet'!$A$62,'Données projet'!$B$62,AI64+AH65-AQ64)))</f>
        <v>244.66858974358962</v>
      </c>
      <c r="AJ65" s="14">
        <f>AI65*VLOOKUP('Données projet'!$B$10,Paramètres!$A$1:$I$89,3,0)*VLOOKUP('Données projet'!$B$10,Paramètres!$A$1:$I$89,5,0)</f>
        <v>114.50489999999994</v>
      </c>
      <c r="AK65" s="14">
        <f t="shared" si="35"/>
        <v>30.389882066052209</v>
      </c>
      <c r="AL65" s="22">
        <f t="shared" si="4"/>
        <v>252.35841209837415</v>
      </c>
      <c r="AM65" s="62">
        <f t="shared" si="5"/>
        <v>545.69174543170743</v>
      </c>
      <c r="AN65" s="62">
        <f ca="1">AVERAGE(OFFSET($AM$3,0,0,'Données projet'!$E$10+1,1))-AVERAGE(OFFSET($H$3,0,0,'Données projet'!$E$10+1,1))</f>
        <v>284.0976902574692</v>
      </c>
      <c r="AO65" s="62">
        <f t="shared" si="36"/>
        <v>190.4880882944471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702.06203699024263</v>
      </c>
      <c r="BI65" s="62">
        <f ca="1">AVERAGE(OFFSET($BH$3,0,0,'Données projet'!$E$11+1,1))-AVERAGE(OFFSET($H$3,0,0,'Données projet'!$E$11+1,1))</f>
        <v>428.8489304403459</v>
      </c>
      <c r="BJ65" s="62">
        <f t="shared" si="38"/>
        <v>247.01165577562966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144.05409916132993</v>
      </c>
      <c r="CE65" s="62">
        <f t="shared" si="40"/>
        <v>409.2784174616832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38.436534082054955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38.436534082054955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14.839560439560435</v>
      </c>
      <c r="CT65" s="13">
        <f>IF('Données projet'!$A$140&gt;35,CT64+CS65-DB64,IF(A65&lt;'Données projet'!$A$140,$CQ$205^A65,IF(A65='Données projet'!$A$140,'Données projet'!$B$140,CT64+CS65-DB64)))</f>
        <v>440.87582417582422</v>
      </c>
      <c r="CU65" s="18">
        <f>CT65*VLOOKUP('Données projet'!$B$13,Paramètres!$A$1:$I$89,3,0)*VLOOKUP('Données projet'!$B$13,Paramètres!$A$1:$I$89,5,0)</f>
        <v>246.44958571428575</v>
      </c>
      <c r="CV65" s="14">
        <f t="shared" si="41"/>
        <v>59.825041333918982</v>
      </c>
      <c r="CW65" s="22">
        <f t="shared" si="13"/>
        <v>533.42830877562324</v>
      </c>
      <c r="CX65" s="62">
        <f t="shared" si="14"/>
        <v>826.76164210895649</v>
      </c>
      <c r="CY65" s="62">
        <f ca="1">AVERAGE(OFFSET($CX$3,0,0,'Données projet'!$E$13+1,1))-AVERAGE(OFFSET($H$3,0,0,'Données projet'!$E$13+1,1))</f>
        <v>321.13335003345236</v>
      </c>
      <c r="CZ65" s="62">
        <f t="shared" si="42"/>
        <v>301.26825075712128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8.4905023763862584</v>
      </c>
      <c r="DH65" s="23">
        <f>EXP(-LN(2)/2)*DH64+(1-EXP(-LN(2)/2))/(LN(2)/2)*DB65*DE65*VLOOKUP('Données projet'!$B$13,Paramètres!$A$1:$I$89,3,0)*0.475*44/12</f>
        <v>1.5046969099118538E-4</v>
      </c>
      <c r="DI65" s="24">
        <f t="shared" si="15"/>
        <v>8.4906528460772499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5.0000000000000053</v>
      </c>
      <c r="N66" s="14">
        <f>IF('Données projet'!$A$36&gt;35,N65+M66-V65,IF(A66&lt;'Données projet'!$A$36,$K$205^A66,IF(A66='Données projet'!$A$36,'Données projet'!$B$36,N65+M66-V65)))</f>
        <v>223.97435897435884</v>
      </c>
      <c r="O66" s="14">
        <f>N66*VLOOKUP('Données projet'!$B$9,Paramètres!$A$1:$I$89,3,0)*VLOOKUP('Données projet'!$B$9,Paramètres!$A$1:$I$89,5,0)</f>
        <v>234.09799999999987</v>
      </c>
      <c r="P66" s="14">
        <f t="shared" si="33"/>
        <v>57.167852134096286</v>
      </c>
      <c r="Q66" s="22">
        <f t="shared" si="53"/>
        <v>507.28802580021755</v>
      </c>
      <c r="R66" s="62">
        <f t="shared" si="0"/>
        <v>800.62135913355087</v>
      </c>
      <c r="S66" s="62">
        <f ca="1">AVERAGE(OFFSET($R$3,0,0,'Données projet'!$E$9+1,1))-AVERAGE(OFFSET($H$3,0,0,'Données projet'!$E$9+1,1))</f>
        <v>493.70175665335978</v>
      </c>
      <c r="T66" s="62">
        <f t="shared" si="34"/>
        <v>325.12357781685949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10.314743589743586</v>
      </c>
      <c r="AI66" s="14">
        <f>IF('Données projet'!$A$62&gt;35,AI65+AH66-AQ65,IF(A66&lt;'Données projet'!$A$62,$AF$205^A66,IF(A66='Données projet'!$A$62,'Données projet'!$B$62,AI65+AH66-AQ65)))</f>
        <v>254.98333333333321</v>
      </c>
      <c r="AJ66" s="14">
        <f>AI66*VLOOKUP('Données projet'!$B$10,Paramètres!$A$1:$I$89,3,0)*VLOOKUP('Données projet'!$B$10,Paramètres!$A$1:$I$89,5,0)</f>
        <v>119.33219999999994</v>
      </c>
      <c r="AK66" s="14">
        <f t="shared" si="35"/>
        <v>31.519195359992764</v>
      </c>
      <c r="AL66" s="22">
        <f t="shared" si="4"/>
        <v>262.73284691865393</v>
      </c>
      <c r="AM66" s="62">
        <f t="shared" si="5"/>
        <v>556.06618025198725</v>
      </c>
      <c r="AN66" s="62">
        <f ca="1">AVERAGE(OFFSET($AM$3,0,0,'Données projet'!$E$10+1,1))-AVERAGE(OFFSET($H$3,0,0,'Données projet'!$E$10+1,1))</f>
        <v>284.0976902574692</v>
      </c>
      <c r="AO66" s="62">
        <f t="shared" si="36"/>
        <v>190.4880882944471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715.91532773426115</v>
      </c>
      <c r="BI66" s="62">
        <f ca="1">AVERAGE(OFFSET($BH$3,0,0,'Données projet'!$E$11+1,1))-AVERAGE(OFFSET($H$3,0,0,'Données projet'!$E$11+1,1))</f>
        <v>428.8489304403459</v>
      </c>
      <c r="BJ66" s="62">
        <f t="shared" si="38"/>
        <v>247.01165577562966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144.05409916132993</v>
      </c>
      <c r="CE66" s="62">
        <f t="shared" si="40"/>
        <v>409.2784174616832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37.68281709267675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37.68281709267675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455.71538461538455</v>
      </c>
      <c r="CR66" s="13">
        <f>VLOOKUP(A66,'Données projet'!$A$139:$I$159,9,0)</f>
        <v>14.839560439560435</v>
      </c>
      <c r="CS66" s="13">
        <f t="array" ref="CS66">INDEX(CR:CR,MIN(IF(ISNUMBER(CR66:CR262),ROW(CR66:CR262),"")))</f>
        <v>14.839560439560435</v>
      </c>
      <c r="CT66" s="13">
        <f>IF('Données projet'!$A$140&gt;35,CT65+CS66-DB65,IF(A66&lt;'Données projet'!$A$140,$CQ$205^A66,IF(A66='Données projet'!$A$140,'Données projet'!$B$140,CT65+CS66-DB65)))</f>
        <v>455.71538461538466</v>
      </c>
      <c r="CU66" s="18">
        <f>CT66*VLOOKUP('Données projet'!$B$13,Paramètres!$A$1:$I$89,3,0)*VLOOKUP('Données projet'!$B$13,Paramètres!$A$1:$I$89,5,0)</f>
        <v>254.74490000000003</v>
      </c>
      <c r="CV66" s="14">
        <f t="shared" si="41"/>
        <v>61.600875281297732</v>
      </c>
      <c r="CW66" s="22">
        <f t="shared" si="13"/>
        <v>550.96889194826019</v>
      </c>
      <c r="CX66" s="62">
        <f t="shared" si="14"/>
        <v>844.30222528159356</v>
      </c>
      <c r="CY66" s="62">
        <f ca="1">AVERAGE(OFFSET($CX$3,0,0,'Données projet'!$E$13+1,1))-AVERAGE(OFFSET($H$3,0,0,'Données projet'!$E$13+1,1))</f>
        <v>321.13335003345236</v>
      </c>
      <c r="CZ66" s="62">
        <f t="shared" si="42"/>
        <v>301.26825075712128</v>
      </c>
      <c r="DA66" s="16">
        <f>IF(ISNA(VLOOKUP(A66,'Données projet'!$A$139:$I$159,3,0)),0,VLOOKUP(A66,'Données projet'!$A$139:$I$159,3,0))</f>
        <v>7</v>
      </c>
      <c r="DB66" s="16">
        <f>IF(ISNA(VLOOKUP(A66,'Données projet'!$A$139:$I$159,4,0)),0,VLOOKUP(A66,'Données projet'!$A$139:$I$159,4,0))</f>
        <v>79.723076923076917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8.2583291424078613</v>
      </c>
      <c r="DH66" s="23">
        <f>EXP(-LN(2)/2)*DH65+(1-EXP(-LN(2)/2))/(LN(2)/2)*DB66*DE66*VLOOKUP('Données projet'!$B$13,Paramètres!$A$1:$I$89,3,0)*0.475*44/12</f>
        <v>1.0639813886291155E-4</v>
      </c>
      <c r="DI66" s="24">
        <f t="shared" si="15"/>
        <v>8.2584355405467242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5.0000000000000053</v>
      </c>
      <c r="N67" s="14">
        <f>IF('Données projet'!$A$36&gt;35,N66+M67-V66,IF(A67&lt;'Données projet'!$A$36,$K$205^A67,IF(A67='Données projet'!$A$36,'Données projet'!$B$36,N66+M67-V66)))</f>
        <v>228.97435897435884</v>
      </c>
      <c r="O67" s="14">
        <f>N67*VLOOKUP('Données projet'!$B$9,Paramètres!$A$1:$I$89,3,0)*VLOOKUP('Données projet'!$B$9,Paramètres!$A$1:$I$89,5,0)</f>
        <v>239.32399999999987</v>
      </c>
      <c r="P67" s="14">
        <f t="shared" si="33"/>
        <v>58.294061921376255</v>
      </c>
      <c r="Q67" s="22">
        <f t="shared" ref="Q67:Q98" si="54">(O67+P67)*0.475*44/12</f>
        <v>518.35145784639667</v>
      </c>
      <c r="R67" s="62">
        <f t="shared" ref="R67:R130" si="55">Q67+(I67+J67)*44/12</f>
        <v>811.68479117972993</v>
      </c>
      <c r="S67" s="62">
        <f ca="1">AVERAGE(OFFSET($R$3,0,0,'Données projet'!$E$9+1,1))-AVERAGE(OFFSET($H$3,0,0,'Données projet'!$E$9+1,1))</f>
        <v>493.70175665335978</v>
      </c>
      <c r="T67" s="62">
        <f t="shared" si="34"/>
        <v>325.12357781685949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10.314743589743586</v>
      </c>
      <c r="AI67" s="14">
        <f>IF('Données projet'!$A$62&gt;35,AI66+AH67-AQ66,IF(A67&lt;'Données projet'!$A$62,$AF$205^A67,IF(A67='Données projet'!$A$62,'Données projet'!$B$62,AI66+AH67-AQ66)))</f>
        <v>265.29807692307679</v>
      </c>
      <c r="AJ67" s="14">
        <f>AI67*VLOOKUP('Données projet'!$B$10,Paramètres!$A$1:$I$89,3,0)*VLOOKUP('Données projet'!$B$10,Paramètres!$A$1:$I$89,5,0)</f>
        <v>124.15949999999995</v>
      </c>
      <c r="AK67" s="14">
        <f t="shared" si="35"/>
        <v>32.64320204479629</v>
      </c>
      <c r="AL67" s="22">
        <f t="shared" si="4"/>
        <v>273.09803939468674</v>
      </c>
      <c r="AM67" s="62">
        <f t="shared" si="5"/>
        <v>566.43137272802005</v>
      </c>
      <c r="AN67" s="62">
        <f ca="1">AVERAGE(OFFSET($AM$3,0,0,'Données projet'!$E$10+1,1))-AVERAGE(OFFSET($H$3,0,0,'Données projet'!$E$10+1,1))</f>
        <v>284.0976902574692</v>
      </c>
      <c r="AO67" s="62">
        <f t="shared" si="36"/>
        <v>190.4880882944471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428.8489304403459</v>
      </c>
      <c r="BJ67" s="62">
        <f t="shared" si="38"/>
        <v>247.01165577562966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144.05409916132993</v>
      </c>
      <c r="CE67" s="62">
        <f t="shared" si="40"/>
        <v>409.2784174616832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36.943880033738282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36.943880033738282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13.296703296703299</v>
      </c>
      <c r="CT67" s="13">
        <f>IF('Données projet'!$A$140&gt;35,CT66+CS67-DB66,IF(A67&lt;'Données projet'!$A$140,$CQ$205^A67,IF(A67='Données projet'!$A$140,'Données projet'!$B$140,CT66+CS67-DB66)))</f>
        <v>389.28901098901105</v>
      </c>
      <c r="CU67" s="18">
        <f>CT67*VLOOKUP('Données projet'!$B$13,Paramètres!$A$1:$I$89,3,0)*VLOOKUP('Données projet'!$B$13,Paramètres!$A$1:$I$89,5,0)</f>
        <v>217.61255714285718</v>
      </c>
      <c r="CV67" s="14">
        <f t="shared" si="41"/>
        <v>53.595657750447323</v>
      </c>
      <c r="CW67" s="22">
        <f t="shared" si="13"/>
        <v>472.35430760583859</v>
      </c>
      <c r="CX67" s="62">
        <f t="shared" si="14"/>
        <v>765.68764093917184</v>
      </c>
      <c r="CY67" s="62">
        <f ca="1">AVERAGE(OFFSET($CX$3,0,0,'Données projet'!$E$13+1,1))-AVERAGE(OFFSET($H$3,0,0,'Données projet'!$E$13+1,1))</f>
        <v>321.13335003345236</v>
      </c>
      <c r="CZ67" s="62">
        <f t="shared" si="42"/>
        <v>301.26825075712128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8.0325046977220627</v>
      </c>
      <c r="DH67" s="23">
        <f>EXP(-LN(2)/2)*DH66+(1-EXP(-LN(2)/2))/(LN(2)/2)*DB67*DE67*VLOOKUP('Données projet'!$B$13,Paramètres!$A$1:$I$89,3,0)*0.475*44/12</f>
        <v>7.5234845495592692E-5</v>
      </c>
      <c r="DI67" s="24">
        <f t="shared" si="15"/>
        <v>8.0325799325675575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233.97435897435898</v>
      </c>
      <c r="L68" s="13">
        <f>VLOOKUP(A68,'Données projet'!$A$35:$I$55,9,0)</f>
        <v>5.0000000000000053</v>
      </c>
      <c r="M68" s="13">
        <f t="array" ref="M68">INDEX(L:L,MIN(IF(ISNUMBER(L68:L264),ROW(L68:L264),"")))</f>
        <v>5.0000000000000053</v>
      </c>
      <c r="N68" s="14">
        <f>IF('Données projet'!$A$36&gt;35,N67+M68-V67,IF(A68&lt;'Données projet'!$A$36,$K$205^A68,IF(A68='Données projet'!$A$36,'Données projet'!$B$36,N67+M68-V67)))</f>
        <v>233.97435897435884</v>
      </c>
      <c r="O68" s="14">
        <f>N68*VLOOKUP('Données projet'!$B$9,Paramètres!$A$1:$I$89,3,0)*VLOOKUP('Données projet'!$B$9,Paramètres!$A$1:$I$89,5,0)</f>
        <v>244.5499999999999</v>
      </c>
      <c r="P68" s="14">
        <f t="shared" si="33"/>
        <v>59.417412537913442</v>
      </c>
      <c r="Q68" s="22">
        <f t="shared" si="54"/>
        <v>529.40991017019905</v>
      </c>
      <c r="R68" s="62">
        <f t="shared" si="55"/>
        <v>822.74324350353231</v>
      </c>
      <c r="S68" s="62">
        <f ca="1">AVERAGE(OFFSET($R$3,0,0,'Données projet'!$E$9+1,1))-AVERAGE(OFFSET($H$3,0,0,'Données projet'!$E$9+1,1))</f>
        <v>493.70175665335978</v>
      </c>
      <c r="T68" s="62">
        <f t="shared" si="34"/>
        <v>325.12357781685949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10.314743589743586</v>
      </c>
      <c r="AI68" s="14">
        <f>IF('Données projet'!$A$62&gt;35,AI67+AH68-AQ67,IF(A68&lt;'Données projet'!$A$62,$AF$205^A68,IF(A68='Données projet'!$A$62,'Données projet'!$B$62,AI67+AH68-AQ67)))</f>
        <v>275.61282051282035</v>
      </c>
      <c r="AJ68" s="14">
        <f>AI68*VLOOKUP('Données projet'!$B$10,Paramètres!$A$1:$I$89,3,0)*VLOOKUP('Données projet'!$B$10,Paramètres!$A$1:$I$89,5,0)</f>
        <v>128.98679999999993</v>
      </c>
      <c r="AK68" s="14">
        <f t="shared" si="35"/>
        <v>33.762132053732969</v>
      </c>
      <c r="AL68" s="22">
        <f t="shared" ref="AL68:AL131" si="58">(AJ68+AK68)*0.475*44/12</f>
        <v>283.45438999358481</v>
      </c>
      <c r="AM68" s="62">
        <f t="shared" ref="AM68:AM131" si="59">AL68+(AD68+AE68)*44/12</f>
        <v>576.78772332691813</v>
      </c>
      <c r="AN68" s="62">
        <f ca="1">AVERAGE(OFFSET($AM$3,0,0,'Données projet'!$E$10+1,1))-AVERAGE(OFFSET($H$3,0,0,'Données projet'!$E$10+1,1))</f>
        <v>284.0976902574692</v>
      </c>
      <c r="AO68" s="62">
        <f t="shared" si="36"/>
        <v>190.4880882944471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743.59294134580057</v>
      </c>
      <c r="BI68" s="62">
        <f ca="1">AVERAGE(OFFSET($BH$3,0,0,'Données projet'!$E$11+1,1))-AVERAGE(OFFSET($H$3,0,0,'Données projet'!$E$11+1,1))</f>
        <v>428.8489304403459</v>
      </c>
      <c r="BJ68" s="62">
        <f t="shared" si="38"/>
        <v>247.01165577562966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144.05409916132993</v>
      </c>
      <c r="CE68" s="62">
        <f t="shared" si="40"/>
        <v>409.2784174616832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36.219433079818494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36.219433079818494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13.296703296703299</v>
      </c>
      <c r="CT68" s="13">
        <f>IF('Données projet'!$A$140&gt;35,CT67+CS68-DB67,IF(A68&lt;'Données projet'!$A$140,$CQ$205^A68,IF(A68='Données projet'!$A$140,'Données projet'!$B$140,CT67+CS68-DB67)))</f>
        <v>402.58571428571435</v>
      </c>
      <c r="CU68" s="18">
        <f>CT68*VLOOKUP('Données projet'!$B$13,Paramètres!$A$1:$I$89,3,0)*VLOOKUP('Données projet'!$B$13,Paramètres!$A$1:$I$89,5,0)</f>
        <v>225.04541428571432</v>
      </c>
      <c r="CV68" s="14">
        <f t="shared" si="41"/>
        <v>55.210030257376133</v>
      </c>
      <c r="CW68" s="22">
        <f t="shared" ref="CW68:CW131" si="67">(CU68+CV68)*0.475*44/12</f>
        <v>488.11156591254917</v>
      </c>
      <c r="CX68" s="62">
        <f t="shared" ref="CX68:CX131" si="68">CW68+(CO68+CP68)*44/12</f>
        <v>781.44489924588243</v>
      </c>
      <c r="CY68" s="62">
        <f ca="1">AVERAGE(OFFSET($CX$3,0,0,'Données projet'!$E$13+1,1))-AVERAGE(OFFSET($H$3,0,0,'Données projet'!$E$13+1,1))</f>
        <v>321.13335003345236</v>
      </c>
      <c r="CZ68" s="62">
        <f t="shared" si="42"/>
        <v>301.26825075712128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7.8128554343517891</v>
      </c>
      <c r="DH68" s="23">
        <f>EXP(-LN(2)/2)*DH67+(1-EXP(-LN(2)/2))/(LN(2)/2)*DB68*DE68*VLOOKUP('Données projet'!$B$13,Paramètres!$A$1:$I$89,3,0)*0.475*44/12</f>
        <v>5.3199069431455773E-5</v>
      </c>
      <c r="DI68" s="24">
        <f t="shared" ref="DI68:DI131" si="69">SUM(DF68:DH68)</f>
        <v>7.8129086334212206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4.8717948717948669</v>
      </c>
      <c r="N69" s="14">
        <f>IF('Données projet'!$A$36&gt;35,N68+M69-V68,IF(A69&lt;'Données projet'!$A$36,$K$205^A69,IF(A69='Données projet'!$A$36,'Données projet'!$B$36,N68+M69-V68)))</f>
        <v>238.8461538461537</v>
      </c>
      <c r="O69" s="14">
        <f>N69*VLOOKUP('Données projet'!$B$9,Paramètres!$A$1:$I$89,3,0)*VLOOKUP('Données projet'!$B$9,Paramètres!$A$1:$I$89,5,0)</f>
        <v>249.64199999999988</v>
      </c>
      <c r="P69" s="14">
        <f t="shared" ref="P69:P132" si="87">EXP(-1.0587+0.8836*LN(O69)+0.284)</f>
        <v>60.509274148016289</v>
      </c>
      <c r="Q69" s="22">
        <f t="shared" si="54"/>
        <v>540.18013580779473</v>
      </c>
      <c r="R69" s="62">
        <f t="shared" si="55"/>
        <v>833.5134691411281</v>
      </c>
      <c r="S69" s="62">
        <f ca="1">AVERAGE(OFFSET($R$3,0,0,'Données projet'!$E$9+1,1))-AVERAGE(OFFSET($H$3,0,0,'Données projet'!$E$9+1,1))</f>
        <v>493.70175665335978</v>
      </c>
      <c r="T69" s="62">
        <f t="shared" ref="T69:T132" si="88">$T$3</f>
        <v>325.12357781685949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10.314743589743586</v>
      </c>
      <c r="AI69" s="14">
        <f>IF('Données projet'!$A$62&gt;35,AI68+AH69-AQ68,IF(A69&lt;'Données projet'!$A$62,$AF$205^A69,IF(A69='Données projet'!$A$62,'Données projet'!$B$62,AI68+AH69-AQ68)))</f>
        <v>285.92756410256391</v>
      </c>
      <c r="AJ69" s="14">
        <f>AI69*VLOOKUP('Données projet'!$B$10,Paramètres!$A$1:$I$89,3,0)*VLOOKUP('Données projet'!$B$10,Paramètres!$A$1:$I$89,5,0)</f>
        <v>133.81409999999991</v>
      </c>
      <c r="AK69" s="14">
        <f t="shared" ref="AK69:AK132" si="89">EXP(-1.0587+0.8836*LN(AJ69)+0.284)</f>
        <v>34.87619713467933</v>
      </c>
      <c r="AL69" s="22">
        <f t="shared" si="58"/>
        <v>293.80226750956632</v>
      </c>
      <c r="AM69" s="62">
        <f t="shared" si="59"/>
        <v>587.13560084289963</v>
      </c>
      <c r="AN69" s="62">
        <f ca="1">AVERAGE(OFFSET($AM$3,0,0,'Données projet'!$E$10+1,1))-AVERAGE(OFFSET($H$3,0,0,'Données projet'!$E$10+1,1))</f>
        <v>284.0976902574692</v>
      </c>
      <c r="AO69" s="62">
        <f t="shared" ref="AO69:AO132" si="90">$AO$3</f>
        <v>190.4880882944471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213.35183999999992</v>
      </c>
      <c r="BF69" s="14">
        <f t="shared" ref="BF69:BF132" si="91">EXP(-1.0587+0.8836*LN(BE69)+0.284)</f>
        <v>52.667370665417188</v>
      </c>
      <c r="BG69" s="22">
        <f t="shared" si="61"/>
        <v>463.31679190893482</v>
      </c>
      <c r="BH69" s="62">
        <f t="shared" si="62"/>
        <v>756.65012524226813</v>
      </c>
      <c r="BI69" s="62">
        <f ca="1">AVERAGE(OFFSET($BH$3,0,0,'Données projet'!$E$11+1,1))-AVERAGE(OFFSET($H$3,0,0,'Données projet'!$E$11+1,1))</f>
        <v>428.8489304403459</v>
      </c>
      <c r="BJ69" s="62">
        <f t="shared" ref="BJ69:BJ132" si="92">$BJ$3</f>
        <v>247.01165577562966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144.05409916132993</v>
      </c>
      <c r="CE69" s="62">
        <f t="shared" ref="CE69:CE132" si="94">$CE$3</f>
        <v>409.2784174616832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35.509192088796063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35.509192088796063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13.296703296703299</v>
      </c>
      <c r="CT69" s="13">
        <f>IF('Données projet'!$A$140&gt;35,CT68+CS69-DB68,IF(A69&lt;'Données projet'!$A$140,$CQ$205^A69,IF(A69='Données projet'!$A$140,'Données projet'!$B$140,CT68+CS69-DB68)))</f>
        <v>415.88241758241765</v>
      </c>
      <c r="CU69" s="18">
        <f>CT69*VLOOKUP('Données projet'!$B$13,Paramètres!$A$1:$I$89,3,0)*VLOOKUP('Données projet'!$B$13,Paramètres!$A$1:$I$89,5,0)</f>
        <v>232.47827142857147</v>
      </c>
      <c r="CV69" s="14">
        <f t="shared" ref="CV69:CV132" si="95">EXP(-1.0587+0.8836*LN(CU69)+0.284)</f>
        <v>56.818207052289068</v>
      </c>
      <c r="CW69" s="22">
        <f t="shared" si="67"/>
        <v>503.85803335416534</v>
      </c>
      <c r="CX69" s="62">
        <f t="shared" si="68"/>
        <v>797.19136668749866</v>
      </c>
      <c r="CY69" s="62">
        <f ca="1">AVERAGE(OFFSET($CX$3,0,0,'Données projet'!$E$13+1,1))-AVERAGE(OFFSET($H$3,0,0,'Données projet'!$E$13+1,1))</f>
        <v>321.13335003345236</v>
      </c>
      <c r="CZ69" s="62">
        <f t="shared" ref="CZ69:CZ132" si="96">$CZ$3</f>
        <v>301.26825075712128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7.5992124916392285</v>
      </c>
      <c r="DH69" s="23">
        <f>EXP(-LN(2)/2)*DH68+(1-EXP(-LN(2)/2))/(LN(2)/2)*DB69*DE69*VLOOKUP('Données projet'!$B$13,Paramètres!$A$1:$I$89,3,0)*0.475*44/12</f>
        <v>3.7617422747796346E-5</v>
      </c>
      <c r="DI69" s="24">
        <f t="shared" si="69"/>
        <v>7.599250109061976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4.8717948717948669</v>
      </c>
      <c r="N70" s="14">
        <f>IF('Données projet'!$A$36&gt;35,N69+M70-V69,IF(A70&lt;'Données projet'!$A$36,$K$205^A70,IF(A70='Données projet'!$A$36,'Données projet'!$B$36,N69+M70-V69)))</f>
        <v>243.71794871794856</v>
      </c>
      <c r="O70" s="14">
        <f>N70*VLOOKUP('Données projet'!$B$9,Paramètres!$A$1:$I$89,3,0)*VLOOKUP('Données projet'!$B$9,Paramètres!$A$1:$I$89,5,0)</f>
        <v>254.73399999999987</v>
      </c>
      <c r="P70" s="14">
        <f t="shared" si="87"/>
        <v>61.598546307129801</v>
      </c>
      <c r="Q70" s="22">
        <f t="shared" si="54"/>
        <v>550.94585148491763</v>
      </c>
      <c r="R70" s="62">
        <f t="shared" si="55"/>
        <v>844.279184818251</v>
      </c>
      <c r="S70" s="62">
        <f ca="1">AVERAGE(OFFSET($R$3,0,0,'Données projet'!$E$9+1,1))-AVERAGE(OFFSET($H$3,0,0,'Données projet'!$E$9+1,1))</f>
        <v>493.70175665335978</v>
      </c>
      <c r="T70" s="62">
        <f t="shared" si="88"/>
        <v>325.12357781685949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10.314743589743586</v>
      </c>
      <c r="AI70" s="14">
        <f>IF('Données projet'!$A$62&gt;35,AI69+AH70-AQ69,IF(A70&lt;'Données projet'!$A$62,$AF$205^A70,IF(A70='Données projet'!$A$62,'Données projet'!$B$62,AI69+AH70-AQ69)))</f>
        <v>296.24230769230746</v>
      </c>
      <c r="AJ70" s="14">
        <f>AI70*VLOOKUP('Données projet'!$B$10,Paramètres!$A$1:$I$89,3,0)*VLOOKUP('Données projet'!$B$10,Paramètres!$A$1:$I$89,5,0)</f>
        <v>138.64139999999989</v>
      </c>
      <c r="AK70" s="14">
        <f t="shared" si="89"/>
        <v>35.985592892108869</v>
      </c>
      <c r="AL70" s="22">
        <f t="shared" si="58"/>
        <v>304.1420126204228</v>
      </c>
      <c r="AM70" s="62">
        <f t="shared" si="59"/>
        <v>597.47534595375612</v>
      </c>
      <c r="AN70" s="62">
        <f ca="1">AVERAGE(OFFSET($AM$3,0,0,'Données projet'!$E$10+1,1))-AVERAGE(OFFSET($H$3,0,0,'Données projet'!$E$10+1,1))</f>
        <v>284.0976902574692</v>
      </c>
      <c r="AO70" s="62">
        <f t="shared" si="90"/>
        <v>190.4880882944471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219.50447999999992</v>
      </c>
      <c r="BF70" s="14">
        <f t="shared" si="91"/>
        <v>54.007172767040167</v>
      </c>
      <c r="BG70" s="22">
        <f t="shared" si="61"/>
        <v>476.36612856926143</v>
      </c>
      <c r="BH70" s="62">
        <f t="shared" si="62"/>
        <v>769.69946190259475</v>
      </c>
      <c r="BI70" s="62">
        <f ca="1">AVERAGE(OFFSET($BH$3,0,0,'Données projet'!$E$11+1,1))-AVERAGE(OFFSET($H$3,0,0,'Données projet'!$E$11+1,1))</f>
        <v>428.8489304403459</v>
      </c>
      <c r="BJ70" s="62">
        <f t="shared" si="92"/>
        <v>247.01165577562966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144.05409916132993</v>
      </c>
      <c r="CE70" s="62">
        <f t="shared" si="94"/>
        <v>409.2784174616832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34.812878490403349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34.812878490403349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13.296703296703299</v>
      </c>
      <c r="CT70" s="13">
        <f>IF('Données projet'!$A$140&gt;35,CT69+CS70-DB69,IF(A70&lt;'Données projet'!$A$140,$CQ$205^A70,IF(A70='Données projet'!$A$140,'Données projet'!$B$140,CT69+CS70-DB69)))</f>
        <v>429.17912087912094</v>
      </c>
      <c r="CU70" s="18">
        <f>CT70*VLOOKUP('Données projet'!$B$13,Paramètres!$A$1:$I$89,3,0)*VLOOKUP('Données projet'!$B$13,Paramètres!$A$1:$I$89,5,0)</f>
        <v>239.91112857142861</v>
      </c>
      <c r="CV70" s="14">
        <f t="shared" si="95"/>
        <v>58.420408949287598</v>
      </c>
      <c r="CW70" s="22">
        <f t="shared" si="67"/>
        <v>519.59409451524732</v>
      </c>
      <c r="CX70" s="62">
        <f t="shared" si="68"/>
        <v>812.92742784858069</v>
      </c>
      <c r="CY70" s="62">
        <f ca="1">AVERAGE(OFFSET($CX$3,0,0,'Données projet'!$E$13+1,1))-AVERAGE(OFFSET($H$3,0,0,'Données projet'!$E$13+1,1))</f>
        <v>321.13335003345236</v>
      </c>
      <c r="CZ70" s="62">
        <f t="shared" si="96"/>
        <v>301.26825075712128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7.3914116264301368</v>
      </c>
      <c r="DH70" s="23">
        <f>EXP(-LN(2)/2)*DH69+(1-EXP(-LN(2)/2))/(LN(2)/2)*DB70*DE70*VLOOKUP('Données projet'!$B$13,Paramètres!$A$1:$I$89,3,0)*0.475*44/12</f>
        <v>2.6599534715727887E-5</v>
      </c>
      <c r="DI70" s="24">
        <f t="shared" si="69"/>
        <v>7.3914382259648521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4.8717948717948669</v>
      </c>
      <c r="N71" s="14">
        <f>IF('Données projet'!$A$36&gt;35,N70+M71-V70,IF(A71&lt;'Données projet'!$A$36,$K$205^A71,IF(A71='Données projet'!$A$36,'Données projet'!$B$36,N70+M71-V70)))</f>
        <v>248.58974358974342</v>
      </c>
      <c r="O71" s="14">
        <f>N71*VLOOKUP('Données projet'!$B$9,Paramètres!$A$1:$I$89,3,0)*VLOOKUP('Données projet'!$B$9,Paramètres!$A$1:$I$89,5,0)</f>
        <v>259.82599999999985</v>
      </c>
      <c r="P71" s="14">
        <f t="shared" si="87"/>
        <v>62.685286742684056</v>
      </c>
      <c r="Q71" s="22">
        <f t="shared" si="54"/>
        <v>561.70715774350776</v>
      </c>
      <c r="R71" s="62">
        <f t="shared" si="55"/>
        <v>855.04049107684114</v>
      </c>
      <c r="S71" s="62">
        <f ca="1">AVERAGE(OFFSET($R$3,0,0,'Données projet'!$E$9+1,1))-AVERAGE(OFFSET($H$3,0,0,'Données projet'!$E$9+1,1))</f>
        <v>493.70175665335978</v>
      </c>
      <c r="T71" s="62">
        <f t="shared" si="88"/>
        <v>325.12357781685949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10.314743589743586</v>
      </c>
      <c r="AI71" s="14">
        <f>IF('Données projet'!$A$62&gt;35,AI70+AH71-AQ70,IF(A71&lt;'Données projet'!$A$62,$AF$205^A71,IF(A71='Données projet'!$A$62,'Données projet'!$B$62,AI70+AH71-AQ70)))</f>
        <v>306.55705128205102</v>
      </c>
      <c r="AJ71" s="14">
        <f>AI71*VLOOKUP('Données projet'!$B$10,Paramètres!$A$1:$I$89,3,0)*VLOOKUP('Données projet'!$B$10,Paramètres!$A$1:$I$89,5,0)</f>
        <v>143.46869999999987</v>
      </c>
      <c r="AK71" s="14">
        <f t="shared" si="89"/>
        <v>37.090500536695572</v>
      </c>
      <c r="AL71" s="22">
        <f t="shared" si="58"/>
        <v>314.47394093474452</v>
      </c>
      <c r="AM71" s="62">
        <f t="shared" si="59"/>
        <v>607.80727426807789</v>
      </c>
      <c r="AN71" s="62">
        <f ca="1">AVERAGE(OFFSET($AM$3,0,0,'Données projet'!$E$10+1,1))-AVERAGE(OFFSET($H$3,0,0,'Données projet'!$E$10+1,1))</f>
        <v>284.0976902574692</v>
      </c>
      <c r="AO71" s="62">
        <f t="shared" si="90"/>
        <v>190.4880882944471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225.65711999999994</v>
      </c>
      <c r="BF71" s="14">
        <f t="shared" si="91"/>
        <v>55.342610076561513</v>
      </c>
      <c r="BG71" s="22">
        <f t="shared" si="61"/>
        <v>489.40786321667775</v>
      </c>
      <c r="BH71" s="62">
        <f t="shared" si="62"/>
        <v>782.74119655001107</v>
      </c>
      <c r="BI71" s="62">
        <f ca="1">AVERAGE(OFFSET($BH$3,0,0,'Données projet'!$E$11+1,1))-AVERAGE(OFFSET($H$3,0,0,'Données projet'!$E$11+1,1))</f>
        <v>428.8489304403459</v>
      </c>
      <c r="BJ71" s="62">
        <f t="shared" si="92"/>
        <v>247.01165577562966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144.05409916132993</v>
      </c>
      <c r="CE71" s="62">
        <f t="shared" si="94"/>
        <v>409.2784174616832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34.13021917696576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34.13021917696576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13.296703296703299</v>
      </c>
      <c r="CT71" s="13">
        <f>IF('Données projet'!$A$140&gt;35,CT70+CS71-DB70,IF(A71&lt;'Données projet'!$A$140,$CQ$205^A71,IF(A71='Données projet'!$A$140,'Données projet'!$B$140,CT70+CS71-DB70)))</f>
        <v>442.47582417582424</v>
      </c>
      <c r="CU71" s="18">
        <f>CT71*VLOOKUP('Données projet'!$B$13,Paramètres!$A$1:$I$89,3,0)*VLOOKUP('Données projet'!$B$13,Paramètres!$A$1:$I$89,5,0)</f>
        <v>247.34398571428574</v>
      </c>
      <c r="CV71" s="14">
        <f t="shared" si="95"/>
        <v>60.016842302819605</v>
      </c>
      <c r="CW71" s="22">
        <f t="shared" si="67"/>
        <v>535.32010879645838</v>
      </c>
      <c r="CX71" s="62">
        <f t="shared" si="68"/>
        <v>828.65344212979176</v>
      </c>
      <c r="CY71" s="62">
        <f ca="1">AVERAGE(OFFSET($CX$3,0,0,'Données projet'!$E$13+1,1))-AVERAGE(OFFSET($H$3,0,0,'Données projet'!$E$13+1,1))</f>
        <v>321.13335003345236</v>
      </c>
      <c r="CZ71" s="62">
        <f t="shared" si="96"/>
        <v>301.26825075712128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7.189293086807961</v>
      </c>
      <c r="DH71" s="23">
        <f>EXP(-LN(2)/2)*DH70+(1-EXP(-LN(2)/2))/(LN(2)/2)*DB71*DE71*VLOOKUP('Données projet'!$B$13,Paramètres!$A$1:$I$89,3,0)*0.475*44/12</f>
        <v>1.8808711373898173E-5</v>
      </c>
      <c r="DI71" s="24">
        <f t="shared" si="69"/>
        <v>7.1893118955193351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4.8717948717948669</v>
      </c>
      <c r="N72" s="14">
        <f>IF('Données projet'!$A$36&gt;35,N71+M72-V71,IF(A72&lt;'Données projet'!$A$36,$K$205^A72,IF(A72='Données projet'!$A$36,'Données projet'!$B$36,N71+M72-V71)))</f>
        <v>253.46153846153828</v>
      </c>
      <c r="O72" s="14">
        <f>N72*VLOOKUP('Données projet'!$B$9,Paramètres!$A$1:$I$89,3,0)*VLOOKUP('Données projet'!$B$9,Paramètres!$A$1:$I$89,5,0)</f>
        <v>264.91799999999984</v>
      </c>
      <c r="P72" s="14">
        <f t="shared" si="87"/>
        <v>63.769550790039318</v>
      </c>
      <c r="Q72" s="22">
        <f t="shared" si="54"/>
        <v>572.4641509593182</v>
      </c>
      <c r="R72" s="62">
        <f t="shared" si="55"/>
        <v>865.79748429265146</v>
      </c>
      <c r="S72" s="62">
        <f ca="1">AVERAGE(OFFSET($R$3,0,0,'Données projet'!$E$9+1,1))-AVERAGE(OFFSET($H$3,0,0,'Données projet'!$E$9+1,1))</f>
        <v>493.70175665335978</v>
      </c>
      <c r="T72" s="62">
        <f t="shared" si="88"/>
        <v>325.12357781685949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10.314743589743586</v>
      </c>
      <c r="AI72" s="14">
        <f>IF('Données projet'!$A$62&gt;35,AI71+AH72-AQ71,IF(A72&lt;'Données projet'!$A$62,$AF$205^A72,IF(A72='Données projet'!$A$62,'Données projet'!$B$62,AI71+AH72-AQ71)))</f>
        <v>316.87179487179458</v>
      </c>
      <c r="AJ72" s="14">
        <f>AI72*VLOOKUP('Données projet'!$B$10,Paramètres!$A$1:$I$89,3,0)*VLOOKUP('Données projet'!$B$10,Paramètres!$A$1:$I$89,5,0)</f>
        <v>148.29599999999988</v>
      </c>
      <c r="AK72" s="14">
        <f t="shared" si="89"/>
        <v>38.19108839282633</v>
      </c>
      <c r="AL72" s="22">
        <f t="shared" si="58"/>
        <v>324.79834561750562</v>
      </c>
      <c r="AM72" s="62">
        <f t="shared" si="59"/>
        <v>618.13167895083893</v>
      </c>
      <c r="AN72" s="62">
        <f ca="1">AVERAGE(OFFSET($AM$3,0,0,'Données projet'!$E$10+1,1))-AVERAGE(OFFSET($H$3,0,0,'Données projet'!$E$10+1,1))</f>
        <v>284.0976902574692</v>
      </c>
      <c r="AO72" s="62">
        <f t="shared" si="90"/>
        <v>190.4880882944471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231.80975999999993</v>
      </c>
      <c r="BF72" s="14">
        <f t="shared" si="91"/>
        <v>56.673815277159328</v>
      </c>
      <c r="BG72" s="22">
        <f t="shared" si="61"/>
        <v>502.44222694105241</v>
      </c>
      <c r="BH72" s="62">
        <f t="shared" si="62"/>
        <v>795.77556027438573</v>
      </c>
      <c r="BI72" s="62">
        <f ca="1">AVERAGE(OFFSET($BH$3,0,0,'Données projet'!$E$11+1,1))-AVERAGE(OFFSET($H$3,0,0,'Données projet'!$E$11+1,1))</f>
        <v>428.8489304403459</v>
      </c>
      <c r="BJ72" s="62">
        <f t="shared" si="92"/>
        <v>247.01165577562966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144.05409916132993</v>
      </c>
      <c r="CE72" s="62">
        <f t="shared" si="94"/>
        <v>409.2784174616832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33.46094639628361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33.46094639628361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13.296703296703299</v>
      </c>
      <c r="CT72" s="13">
        <f>IF('Données projet'!$A$140&gt;35,CT71+CS72-DB71,IF(A72&lt;'Données projet'!$A$140,$CQ$205^A72,IF(A72='Données projet'!$A$140,'Données projet'!$B$140,CT71+CS72-DB71)))</f>
        <v>455.77252747252754</v>
      </c>
      <c r="CU72" s="18">
        <f>CT72*VLOOKUP('Données projet'!$B$13,Paramètres!$A$1:$I$89,3,0)*VLOOKUP('Données projet'!$B$13,Paramètres!$A$1:$I$89,5,0)</f>
        <v>254.7768428571429</v>
      </c>
      <c r="CV72" s="14">
        <f t="shared" si="95"/>
        <v>61.607700360287495</v>
      </c>
      <c r="CW72" s="22">
        <f t="shared" si="67"/>
        <v>551.03641277035797</v>
      </c>
      <c r="CX72" s="62">
        <f t="shared" si="68"/>
        <v>844.36974610369134</v>
      </c>
      <c r="CY72" s="62">
        <f ca="1">AVERAGE(OFFSET($CX$3,0,0,'Données projet'!$E$13+1,1))-AVERAGE(OFFSET($H$3,0,0,'Données projet'!$E$13+1,1))</f>
        <v>321.13335003345236</v>
      </c>
      <c r="CZ72" s="62">
        <f t="shared" si="96"/>
        <v>301.26825075712128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6.9927014892807051</v>
      </c>
      <c r="DH72" s="23">
        <f>EXP(-LN(2)/2)*DH71+(1-EXP(-LN(2)/2))/(LN(2)/2)*DB72*DE72*VLOOKUP('Données projet'!$B$13,Paramètres!$A$1:$I$89,3,0)*0.475*44/12</f>
        <v>1.3299767357863943E-5</v>
      </c>
      <c r="DI72" s="24">
        <f t="shared" si="69"/>
        <v>6.9927147890480628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258.33333333333331</v>
      </c>
      <c r="L73" s="13">
        <f>VLOOKUP(A73,'Données projet'!$A$35:$I$55,9,0)</f>
        <v>4.8717948717948669</v>
      </c>
      <c r="M73" s="13">
        <f t="array" ref="M73">INDEX(L:L,MIN(IF(ISNUMBER(L73:L269),ROW(L73:L269),"")))</f>
        <v>4.8717948717948669</v>
      </c>
      <c r="N73" s="14">
        <f>IF('Données projet'!$A$36&gt;35,N72+M73-V72,IF(A73&lt;'Données projet'!$A$36,$K$205^A73,IF(A73='Données projet'!$A$36,'Données projet'!$B$36,N72+M73-V72)))</f>
        <v>258.33333333333314</v>
      </c>
      <c r="O73" s="14">
        <f>N73*VLOOKUP('Données projet'!$B$9,Paramètres!$A$1:$I$89,3,0)*VLOOKUP('Données projet'!$B$9,Paramètres!$A$1:$I$89,5,0)</f>
        <v>270.00999999999982</v>
      </c>
      <c r="P73" s="14">
        <f t="shared" si="87"/>
        <v>64.851391535647195</v>
      </c>
      <c r="Q73" s="22">
        <f t="shared" si="54"/>
        <v>583.21692359125188</v>
      </c>
      <c r="R73" s="62">
        <f t="shared" si="55"/>
        <v>876.55025692458526</v>
      </c>
      <c r="S73" s="62">
        <f ca="1">AVERAGE(OFFSET($R$3,0,0,'Données projet'!$E$9+1,1))-AVERAGE(OFFSET($H$3,0,0,'Données projet'!$E$9+1,1))</f>
        <v>493.70175665335978</v>
      </c>
      <c r="T73" s="62">
        <f t="shared" si="88"/>
        <v>325.12357781685949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23.076923076923077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10.314743589743586</v>
      </c>
      <c r="AI73" s="14">
        <f>IF('Données projet'!$A$62&gt;35,AI72+AH73-AQ72,IF(A73&lt;'Données projet'!$A$62,$AF$205^A73,IF(A73='Données projet'!$A$62,'Données projet'!$B$62,AI72+AH73-AQ72)))</f>
        <v>327.18653846153813</v>
      </c>
      <c r="AJ73" s="14">
        <f>AI73*VLOOKUP('Données projet'!$B$10,Paramètres!$A$1:$I$89,3,0)*VLOOKUP('Données projet'!$B$10,Paramètres!$A$1:$I$89,5,0)</f>
        <v>153.12329999999986</v>
      </c>
      <c r="AK73" s="14">
        <f t="shared" si="89"/>
        <v>39.287513204310272</v>
      </c>
      <c r="AL73" s="22">
        <f t="shared" si="58"/>
        <v>335.11549966417346</v>
      </c>
      <c r="AM73" s="62">
        <f t="shared" si="59"/>
        <v>628.44883299750677</v>
      </c>
      <c r="AN73" s="62">
        <f ca="1">AVERAGE(OFFSET($AM$3,0,0,'Données projet'!$E$10+1,1))-AVERAGE(OFFSET($H$3,0,0,'Données projet'!$E$10+1,1))</f>
        <v>284.0976902574692</v>
      </c>
      <c r="AO73" s="62">
        <f t="shared" si="90"/>
        <v>190.4880882944471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237.96239999999995</v>
      </c>
      <c r="BF73" s="14">
        <f t="shared" si="91"/>
        <v>58.00091360766335</v>
      </c>
      <c r="BG73" s="22">
        <f t="shared" si="61"/>
        <v>515.4694378666801</v>
      </c>
      <c r="BH73" s="62">
        <f t="shared" si="62"/>
        <v>808.80277120001347</v>
      </c>
      <c r="BI73" s="62">
        <f ca="1">AVERAGE(OFFSET($BH$3,0,0,'Données projet'!$E$11+1,1))-AVERAGE(OFFSET($H$3,0,0,'Données projet'!$E$11+1,1))</f>
        <v>428.8489304403459</v>
      </c>
      <c r="BJ73" s="62">
        <f t="shared" si="92"/>
        <v>247.01165577562966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144.05409916132993</v>
      </c>
      <c r="CE73" s="62">
        <f t="shared" si="94"/>
        <v>409.2784174616832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32.804797646614553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32.804797646614553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469.06923076923073</v>
      </c>
      <c r="CR73" s="13">
        <f>VLOOKUP(A73,'Données projet'!$A$139:$I$159,9,0)</f>
        <v>13.296703296703299</v>
      </c>
      <c r="CS73" s="13">
        <f t="array" ref="CS73">INDEX(CR:CR,MIN(IF(ISNUMBER(CR73:CR269),ROW(CR73:CR269),"")))</f>
        <v>13.296703296703299</v>
      </c>
      <c r="CT73" s="13">
        <f>IF('Données projet'!$A$140&gt;35,CT72+CS73-DB72,IF(A73&lt;'Données projet'!$A$140,$CQ$205^A73,IF(A73='Données projet'!$A$140,'Données projet'!$B$140,CT72+CS73-DB72)))</f>
        <v>469.06923076923084</v>
      </c>
      <c r="CU73" s="18">
        <f>CT73*VLOOKUP('Données projet'!$B$13,Paramètres!$A$1:$I$89,3,0)*VLOOKUP('Données projet'!$B$13,Paramètres!$A$1:$I$89,5,0)</f>
        <v>262.20970000000005</v>
      </c>
      <c r="CV73" s="14">
        <f t="shared" si="95"/>
        <v>63.193164452376628</v>
      </c>
      <c r="CW73" s="22">
        <f t="shared" si="67"/>
        <v>566.74332225455601</v>
      </c>
      <c r="CX73" s="62">
        <f t="shared" si="68"/>
        <v>860.07665558788926</v>
      </c>
      <c r="CY73" s="62">
        <f ca="1">AVERAGE(OFFSET($CX$3,0,0,'Données projet'!$E$13+1,1))-AVERAGE(OFFSET($H$3,0,0,'Données projet'!$E$13+1,1))</f>
        <v>321.13335003345236</v>
      </c>
      <c r="CZ73" s="62">
        <f t="shared" si="96"/>
        <v>301.26825075712128</v>
      </c>
      <c r="DA73" s="16">
        <f>IF(ISNA(VLOOKUP(A73,'Données projet'!$A$139:$I$159,3,0)),0,VLOOKUP(A73,'Données projet'!$A$139:$I$159,3,0))</f>
        <v>8</v>
      </c>
      <c r="DB73" s="16">
        <f>IF(ISNA(VLOOKUP(A73,'Données projet'!$A$139:$I$159,4,0)),0,VLOOKUP(A73,'Données projet'!$A$139:$I$159,4,0))</f>
        <v>469.06923076923073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6.8014856993261352</v>
      </c>
      <c r="DH73" s="23">
        <f>EXP(-LN(2)/2)*DH72+(1-EXP(-LN(2)/2))/(LN(2)/2)*DB73*DE73*VLOOKUP('Données projet'!$B$13,Paramètres!$A$1:$I$89,3,0)*0.475*44/12</f>
        <v>9.4043556869490865E-6</v>
      </c>
      <c r="DI73" s="24">
        <f t="shared" si="69"/>
        <v>6.8014951036818223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4.4871794871794863</v>
      </c>
      <c r="N74" s="14">
        <f>IF('Données projet'!$A$36&gt;35,N73+M74-V73,IF(A74&lt;'Données projet'!$A$36,$K$205^A74,IF(A74='Données projet'!$A$36,'Données projet'!$B$36,N73+M74-V73)))</f>
        <v>239.74358974358958</v>
      </c>
      <c r="O74" s="14">
        <f>N74*VLOOKUP('Données projet'!$B$9,Paramètres!$A$1:$I$89,3,0)*VLOOKUP('Données projet'!$B$9,Paramètres!$A$1:$I$89,5,0)</f>
        <v>250.57999999999984</v>
      </c>
      <c r="P74" s="14">
        <f t="shared" si="87"/>
        <v>60.710122367679979</v>
      </c>
      <c r="Q74" s="22">
        <f t="shared" si="54"/>
        <v>542.16362979037569</v>
      </c>
      <c r="R74" s="62">
        <f t="shared" si="55"/>
        <v>835.49696312370907</v>
      </c>
      <c r="S74" s="62">
        <f ca="1">AVERAGE(OFFSET($R$3,0,0,'Données projet'!$E$9+1,1))-AVERAGE(OFFSET($H$3,0,0,'Données projet'!$E$9+1,1))</f>
        <v>493.70175665335978</v>
      </c>
      <c r="T74" s="62">
        <f t="shared" si="88"/>
        <v>325.12357781685949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10.314743589743586</v>
      </c>
      <c r="AI74" s="14">
        <f>IF('Données projet'!$A$62&gt;35,AI73+AH74-AQ73,IF(A74&lt;'Données projet'!$A$62,$AF$205^A74,IF(A74='Données projet'!$A$62,'Données projet'!$B$62,AI73+AH74-AQ73)))</f>
        <v>337.50128205128169</v>
      </c>
      <c r="AJ74" s="14">
        <f>AI74*VLOOKUP('Données projet'!$B$10,Paramètres!$A$1:$I$89,3,0)*VLOOKUP('Données projet'!$B$10,Paramètres!$A$1:$I$89,5,0)</f>
        <v>157.95059999999984</v>
      </c>
      <c r="AK74" s="14">
        <f t="shared" si="89"/>
        <v>40.379921270810058</v>
      </c>
      <c r="AL74" s="22">
        <f t="shared" si="58"/>
        <v>345.42565787999388</v>
      </c>
      <c r="AM74" s="62">
        <f t="shared" si="59"/>
        <v>638.75899121332714</v>
      </c>
      <c r="AN74" s="62">
        <f ca="1">AVERAGE(OFFSET($AM$3,0,0,'Données projet'!$E$10+1,1))-AVERAGE(OFFSET($H$3,0,0,'Données projet'!$E$10+1,1))</f>
        <v>284.0976902574692</v>
      </c>
      <c r="AO74" s="62">
        <f t="shared" si="90"/>
        <v>190.4880882944471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205.57055999999994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740.13528187395309</v>
      </c>
      <c r="BI74" s="62">
        <f ca="1">AVERAGE(OFFSET($BH$3,0,0,'Données projet'!$E$11+1,1))-AVERAGE(OFFSET($H$3,0,0,'Données projet'!$E$11+1,1))</f>
        <v>428.8489304403459</v>
      </c>
      <c r="BJ74" s="62">
        <f t="shared" si="92"/>
        <v>247.01165577562966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144.05409916132993</v>
      </c>
      <c r="CE74" s="62">
        <f t="shared" si="94"/>
        <v>409.2784174616832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32.161515573715285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32.161515573715285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6.3550942286383367E-14</v>
      </c>
      <c r="CV74" s="14">
        <f t="shared" si="95"/>
        <v>1.0064464192543978E-12</v>
      </c>
      <c r="CW74" s="22">
        <f t="shared" si="67"/>
        <v>1.8635787380168604E-12</v>
      </c>
      <c r="CX74" s="62">
        <f t="shared" si="68"/>
        <v>293.33333333333519</v>
      </c>
      <c r="CY74" s="62">
        <f ca="1">AVERAGE(OFFSET($CX$3,0,0,'Données projet'!$E$13+1,1))-AVERAGE(OFFSET($H$3,0,0,'Données projet'!$E$13+1,1))</f>
        <v>321.13335003345236</v>
      </c>
      <c r="CZ74" s="62">
        <f t="shared" si="96"/>
        <v>301.26825075712128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6.6154987152034739</v>
      </c>
      <c r="DH74" s="23">
        <f>EXP(-LN(2)/2)*DH73+(1-EXP(-LN(2)/2))/(LN(2)/2)*DB74*DE74*VLOOKUP('Données projet'!$B$13,Paramètres!$A$1:$I$89,3,0)*0.475*44/12</f>
        <v>6.6498836789319717E-6</v>
      </c>
      <c r="DI74" s="24">
        <f t="shared" si="69"/>
        <v>6.6155053650871531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4.4871794871794863</v>
      </c>
      <c r="N75" s="14">
        <f>IF('Données projet'!$A$36&gt;35,N74+M75-V74,IF(A75&lt;'Données projet'!$A$36,$K$205^A75,IF(A75='Données projet'!$A$36,'Données projet'!$B$36,N74+M75-V74)))</f>
        <v>244.23076923076906</v>
      </c>
      <c r="O75" s="14">
        <f>N75*VLOOKUP('Données projet'!$B$9,Paramètres!$A$1:$I$89,3,0)*VLOOKUP('Données projet'!$B$9,Paramètres!$A$1:$I$89,5,0)</f>
        <v>255.26999999999984</v>
      </c>
      <c r="P75" s="14">
        <f t="shared" si="87"/>
        <v>61.713058280444663</v>
      </c>
      <c r="Q75" s="22">
        <f t="shared" si="54"/>
        <v>552.07882650510749</v>
      </c>
      <c r="R75" s="62">
        <f t="shared" si="55"/>
        <v>845.41215983844086</v>
      </c>
      <c r="S75" s="62">
        <f ca="1">AVERAGE(OFFSET($R$3,0,0,'Données projet'!$E$9+1,1))-AVERAGE(OFFSET($H$3,0,0,'Données projet'!$E$9+1,1))</f>
        <v>493.70175665335978</v>
      </c>
      <c r="T75" s="62">
        <f t="shared" si="88"/>
        <v>325.12357781685949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10.314743589743586</v>
      </c>
      <c r="AI75" s="14">
        <f>IF('Données projet'!$A$62&gt;35,AI74+AH75-AQ74,IF(A75&lt;'Données projet'!$A$62,$AF$205^A75,IF(A75='Données projet'!$A$62,'Données projet'!$B$62,AI74+AH75-AQ74)))</f>
        <v>347.81602564102525</v>
      </c>
      <c r="AJ75" s="14">
        <f>AI75*VLOOKUP('Données projet'!$B$10,Paramètres!$A$1:$I$89,3,0)*VLOOKUP('Données projet'!$B$10,Paramètres!$A$1:$I$89,5,0)</f>
        <v>162.77789999999982</v>
      </c>
      <c r="AK75" s="14">
        <f t="shared" si="89"/>
        <v>41.468449441443042</v>
      </c>
      <c r="AL75" s="22">
        <f t="shared" si="58"/>
        <v>355.72905861051299</v>
      </c>
      <c r="AM75" s="62">
        <f t="shared" si="59"/>
        <v>649.06239194384625</v>
      </c>
      <c r="AN75" s="62">
        <f ca="1">AVERAGE(OFFSET($AM$3,0,0,'Données projet'!$E$10+1,1))-AVERAGE(OFFSET($H$3,0,0,'Données projet'!$E$10+1,1))</f>
        <v>284.0976902574692</v>
      </c>
      <c r="AO75" s="62">
        <f t="shared" si="90"/>
        <v>190.4880882944471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752.04261652954642</v>
      </c>
      <c r="BI75" s="62">
        <f ca="1">AVERAGE(OFFSET($BH$3,0,0,'Données projet'!$E$11+1,1))-AVERAGE(OFFSET($H$3,0,0,'Données projet'!$E$11+1,1))</f>
        <v>428.8489304403459</v>
      </c>
      <c r="BJ75" s="62">
        <f t="shared" si="92"/>
        <v>247.01165577562966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144.05409916132993</v>
      </c>
      <c r="CE75" s="62">
        <f t="shared" si="94"/>
        <v>409.2784174616832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31.530847869902249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31.530847869902249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6.3550942286383367E-14</v>
      </c>
      <c r="CV75" s="14">
        <f t="shared" si="95"/>
        <v>1.0064464192543978E-12</v>
      </c>
      <c r="CW75" s="22">
        <f t="shared" si="67"/>
        <v>1.8635787380168604E-12</v>
      </c>
      <c r="CX75" s="62">
        <f t="shared" si="68"/>
        <v>293.33333333333519</v>
      </c>
      <c r="CY75" s="62">
        <f ca="1">AVERAGE(OFFSET($CX$3,0,0,'Données projet'!$E$13+1,1))-AVERAGE(OFFSET($H$3,0,0,'Données projet'!$E$13+1,1))</f>
        <v>321.13335003345236</v>
      </c>
      <c r="CZ75" s="62">
        <f t="shared" si="96"/>
        <v>301.26825075712128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6.4345975549422771</v>
      </c>
      <c r="DH75" s="23">
        <f>EXP(-LN(2)/2)*DH74+(1-EXP(-LN(2)/2))/(LN(2)/2)*DB75*DE75*VLOOKUP('Données projet'!$B$13,Paramètres!$A$1:$I$89,3,0)*0.475*44/12</f>
        <v>4.7021778434745433E-6</v>
      </c>
      <c r="DI75" s="24">
        <f t="shared" si="69"/>
        <v>6.4346022571201207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4.4871794871794863</v>
      </c>
      <c r="N76" s="14">
        <f>IF('Données projet'!$A$36&gt;35,N75+M76-V75,IF(A76&lt;'Données projet'!$A$36,$K$205^A76,IF(A76='Données projet'!$A$36,'Données projet'!$B$36,N75+M76-V75)))</f>
        <v>248.71794871794853</v>
      </c>
      <c r="O76" s="14">
        <f>N76*VLOOKUP('Données projet'!$B$9,Paramètres!$A$1:$I$89,3,0)*VLOOKUP('Données projet'!$B$9,Paramètres!$A$1:$I$89,5,0)</f>
        <v>259.95999999999981</v>
      </c>
      <c r="P76" s="14">
        <f t="shared" si="87"/>
        <v>62.713851496250946</v>
      </c>
      <c r="Q76" s="22">
        <f t="shared" si="54"/>
        <v>561.99029135597004</v>
      </c>
      <c r="R76" s="62">
        <f t="shared" si="55"/>
        <v>855.32362468930341</v>
      </c>
      <c r="S76" s="62">
        <f ca="1">AVERAGE(OFFSET($R$3,0,0,'Données projet'!$E$9+1,1))-AVERAGE(OFFSET($H$3,0,0,'Données projet'!$E$9+1,1))</f>
        <v>493.70175665335978</v>
      </c>
      <c r="T76" s="62">
        <f t="shared" si="88"/>
        <v>325.12357781685949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>
        <f>VLOOKUP(A76,'Données projet'!$A$61:$I$81,2,0)</f>
        <v>358.1307692307692</v>
      </c>
      <c r="AG76" s="13">
        <f>VLOOKUP(A76,'Données projet'!$A$61:$I$81,9,0)</f>
        <v>10.314743589743586</v>
      </c>
      <c r="AH76" s="13">
        <f t="array" ref="AH76">INDEX(AG:AG,MIN(IF(ISNUMBER(AG76:AG272),ROW(AG76:AG272),"")))</f>
        <v>10.314743589743586</v>
      </c>
      <c r="AI76" s="14">
        <f>IF('Données projet'!$A$62&gt;35,AI75+AH76-AQ75,IF(A76&lt;'Données projet'!$A$62,$AF$205^A76,IF(A76='Données projet'!$A$62,'Données projet'!$B$62,AI75+AH76-AQ75)))</f>
        <v>358.13076923076881</v>
      </c>
      <c r="AJ76" s="14">
        <f>AI76*VLOOKUP('Données projet'!$B$10,Paramètres!$A$1:$I$89,3,0)*VLOOKUP('Données projet'!$B$10,Paramètres!$A$1:$I$89,5,0)</f>
        <v>167.6051999999998</v>
      </c>
      <c r="AK76" s="14">
        <f t="shared" si="89"/>
        <v>42.553225987206659</v>
      </c>
      <c r="AL76" s="22">
        <f t="shared" si="58"/>
        <v>366.02592526105121</v>
      </c>
      <c r="AM76" s="62">
        <f t="shared" si="59"/>
        <v>659.35925859438453</v>
      </c>
      <c r="AN76" s="62">
        <f ca="1">AVERAGE(OFFSET($AM$3,0,0,'Données projet'!$E$10+1,1))-AVERAGE(OFFSET($H$3,0,0,'Données projet'!$E$10+1,1))</f>
        <v>284.0976902574692</v>
      </c>
      <c r="AO76" s="62">
        <f t="shared" si="90"/>
        <v>190.4880882944471</v>
      </c>
      <c r="AP76" s="16">
        <f>IF(ISNA(VLOOKUP(A76,'Données projet'!$A$61:$I$81,3,0)),0,VLOOKUP(A76,'Données projet'!$A$61:$I$81,3,0))</f>
        <v>3</v>
      </c>
      <c r="AQ76" s="16">
        <f>IF(ISNA(VLOOKUP(A76,'Données projet'!$A$61:$I$81,4,0)),0,VLOOKUP(A76,'Données projet'!$A$61:$I$81,4,0))</f>
        <v>93.584615384615375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216.7900799999999</v>
      </c>
      <c r="BF76" s="14">
        <f t="shared" si="91"/>
        <v>53.416629794462551</v>
      </c>
      <c r="BG76" s="22">
        <f t="shared" si="61"/>
        <v>470.61001955868869</v>
      </c>
      <c r="BH76" s="62">
        <f t="shared" si="62"/>
        <v>763.94335289202195</v>
      </c>
      <c r="BI76" s="62">
        <f ca="1">AVERAGE(OFFSET($BH$3,0,0,'Données projet'!$E$11+1,1))-AVERAGE(OFFSET($H$3,0,0,'Données projet'!$E$11+1,1))</f>
        <v>428.8489304403459</v>
      </c>
      <c r="BJ76" s="62">
        <f t="shared" si="92"/>
        <v>247.01165577562966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144.05409916132993</v>
      </c>
      <c r="CE76" s="62">
        <f t="shared" si="94"/>
        <v>409.2784174616832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30.912547175091674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30.912547175091674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6.3550942286383367E-14</v>
      </c>
      <c r="CV76" s="14">
        <f t="shared" si="95"/>
        <v>1.0064464192543978E-12</v>
      </c>
      <c r="CW76" s="22">
        <f t="shared" si="67"/>
        <v>1.8635787380168604E-12</v>
      </c>
      <c r="CX76" s="62">
        <f t="shared" si="68"/>
        <v>293.33333333333519</v>
      </c>
      <c r="CY76" s="62">
        <f ca="1">AVERAGE(OFFSET($CX$3,0,0,'Données projet'!$E$13+1,1))-AVERAGE(OFFSET($H$3,0,0,'Données projet'!$E$13+1,1))</f>
        <v>321.13335003345236</v>
      </c>
      <c r="CZ76" s="62">
        <f t="shared" si="96"/>
        <v>301.26825075712128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6.2586431464216012</v>
      </c>
      <c r="DH76" s="23">
        <f>EXP(-LN(2)/2)*DH75+(1-EXP(-LN(2)/2))/(LN(2)/2)*DB76*DE76*VLOOKUP('Données projet'!$B$13,Paramètres!$A$1:$I$89,3,0)*0.475*44/12</f>
        <v>3.3249418394659858E-6</v>
      </c>
      <c r="DI76" s="24">
        <f t="shared" si="69"/>
        <v>6.2586464713634404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4.4871794871794863</v>
      </c>
      <c r="N77" s="14">
        <f>IF('Données projet'!$A$36&gt;35,N76+M77-V76,IF(A77&lt;'Données projet'!$A$36,$K$205^A77,IF(A77='Données projet'!$A$36,'Données projet'!$B$36,N76+M77-V76)))</f>
        <v>253.20512820512801</v>
      </c>
      <c r="O77" s="14">
        <f>N77*VLOOKUP('Données projet'!$B$9,Paramètres!$A$1:$I$89,3,0)*VLOOKUP('Données projet'!$B$9,Paramètres!$A$1:$I$89,5,0)</f>
        <v>264.64999999999981</v>
      </c>
      <c r="P77" s="14">
        <f t="shared" si="87"/>
        <v>63.712545131099922</v>
      </c>
      <c r="Q77" s="22">
        <f t="shared" si="54"/>
        <v>571.89809943666535</v>
      </c>
      <c r="R77" s="62">
        <f t="shared" si="55"/>
        <v>865.23143276999872</v>
      </c>
      <c r="S77" s="62">
        <f ca="1">AVERAGE(OFFSET($R$3,0,0,'Données projet'!$E$9+1,1))-AVERAGE(OFFSET($H$3,0,0,'Données projet'!$E$9+1,1))</f>
        <v>493.70175665335978</v>
      </c>
      <c r="T77" s="62">
        <f t="shared" si="88"/>
        <v>325.12357781685949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9.52371794871795</v>
      </c>
      <c r="AI77" s="14">
        <f>IF('Données projet'!$A$62&gt;35,AI76+AH77-AQ76,IF(A77&lt;'Données projet'!$A$62,$AF$205^A77,IF(A77='Données projet'!$A$62,'Données projet'!$B$62,AI76+AH77-AQ76)))</f>
        <v>274.06987179487135</v>
      </c>
      <c r="AJ77" s="14">
        <f>AI77*VLOOKUP('Données projet'!$B$10,Paramètres!$A$1:$I$89,3,0)*VLOOKUP('Données projet'!$B$10,Paramètres!$A$1:$I$89,5,0)</f>
        <v>128.26469999999981</v>
      </c>
      <c r="AK77" s="14">
        <f t="shared" si="89"/>
        <v>33.595069382484589</v>
      </c>
      <c r="AL77" s="22">
        <f t="shared" si="58"/>
        <v>281.90576500782691</v>
      </c>
      <c r="AM77" s="62">
        <f t="shared" si="59"/>
        <v>575.23909834116023</v>
      </c>
      <c r="AN77" s="62">
        <f ca="1">AVERAGE(OFFSET($AM$3,0,0,'Données projet'!$E$10+1,1))-AVERAGE(OFFSET($H$3,0,0,'Données projet'!$E$10+1,1))</f>
        <v>284.0976902574692</v>
      </c>
      <c r="AO77" s="62">
        <f t="shared" si="90"/>
        <v>190.4880882944471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775.83768133226158</v>
      </c>
      <c r="BI77" s="62">
        <f ca="1">AVERAGE(OFFSET($BH$3,0,0,'Données projet'!$E$11+1,1))-AVERAGE(OFFSET($H$3,0,0,'Données projet'!$E$11+1,1))</f>
        <v>428.8489304403459</v>
      </c>
      <c r="BJ77" s="62">
        <f t="shared" si="92"/>
        <v>247.01165577562966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144.05409916132993</v>
      </c>
      <c r="CE77" s="62">
        <f t="shared" si="94"/>
        <v>409.2784174616832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30.306370979780148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30.306370979780148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6.3550942286383367E-14</v>
      </c>
      <c r="CV77" s="14">
        <f t="shared" si="95"/>
        <v>1.0064464192543978E-12</v>
      </c>
      <c r="CW77" s="22">
        <f t="shared" si="67"/>
        <v>1.8635787380168604E-12</v>
      </c>
      <c r="CX77" s="62">
        <f t="shared" si="68"/>
        <v>293.33333333333519</v>
      </c>
      <c r="CY77" s="62">
        <f ca="1">AVERAGE(OFFSET($CX$3,0,0,'Données projet'!$E$13+1,1))-AVERAGE(OFFSET($H$3,0,0,'Données projet'!$E$13+1,1))</f>
        <v>321.13335003345236</v>
      </c>
      <c r="CZ77" s="62">
        <f t="shared" si="96"/>
        <v>301.26825075712128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6.087500220454964</v>
      </c>
      <c r="DH77" s="23">
        <f>EXP(-LN(2)/2)*DH76+(1-EXP(-LN(2)/2))/(LN(2)/2)*DB77*DE77*VLOOKUP('Données projet'!$B$13,Paramètres!$A$1:$I$89,3,0)*0.475*44/12</f>
        <v>2.3510889217372716E-6</v>
      </c>
      <c r="DI77" s="24">
        <f t="shared" si="69"/>
        <v>6.0875025715438857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257.69230769230768</v>
      </c>
      <c r="L78" s="13">
        <f>VLOOKUP(A78,'Données projet'!$A$35:$I$55,9,0)</f>
        <v>4.4871794871794863</v>
      </c>
      <c r="M78" s="13">
        <f t="array" ref="M78">INDEX(L:L,MIN(IF(ISNUMBER(L78:L274),ROW(L78:L274),"")))</f>
        <v>4.4871794871794863</v>
      </c>
      <c r="N78" s="14">
        <f>IF('Données projet'!$A$36&gt;35,N77+M78-V77,IF(A78&lt;'Données projet'!$A$36,$K$205^A78,IF(A78='Données projet'!$A$36,'Données projet'!$B$36,N77+M78-V77)))</f>
        <v>257.69230769230751</v>
      </c>
      <c r="O78" s="14">
        <f>N78*VLOOKUP('Données projet'!$B$9,Paramètres!$A$1:$I$89,3,0)*VLOOKUP('Données projet'!$B$9,Paramètres!$A$1:$I$89,5,0)</f>
        <v>269.33999999999986</v>
      </c>
      <c r="P78" s="14">
        <f t="shared" si="87"/>
        <v>64.709180685305114</v>
      </c>
      <c r="Q78" s="22">
        <f t="shared" si="54"/>
        <v>581.80232302690615</v>
      </c>
      <c r="R78" s="62">
        <f t="shared" si="55"/>
        <v>875.13565636023941</v>
      </c>
      <c r="S78" s="62">
        <f ca="1">AVERAGE(OFFSET($R$3,0,0,'Données projet'!$E$9+1,1))-AVERAGE(OFFSET($H$3,0,0,'Données projet'!$E$9+1,1))</f>
        <v>493.70175665335978</v>
      </c>
      <c r="T78" s="62">
        <f t="shared" si="88"/>
        <v>325.12357781685949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9.52371794871795</v>
      </c>
      <c r="AI78" s="14">
        <f>IF('Données projet'!$A$62&gt;35,AI77+AH78-AQ77,IF(A78&lt;'Données projet'!$A$62,$AF$205^A78,IF(A78='Données projet'!$A$62,'Données projet'!$B$62,AI77+AH78-AQ77)))</f>
        <v>283.59358974358929</v>
      </c>
      <c r="AJ78" s="14">
        <f>AI78*VLOOKUP('Données projet'!$B$10,Paramètres!$A$1:$I$89,3,0)*VLOOKUP('Données projet'!$B$10,Paramètres!$A$1:$I$89,5,0)</f>
        <v>132.72179999999977</v>
      </c>
      <c r="AK78" s="14">
        <f t="shared" si="89"/>
        <v>34.624526937017919</v>
      </c>
      <c r="AL78" s="22">
        <f t="shared" si="58"/>
        <v>291.46151941530582</v>
      </c>
      <c r="AM78" s="62">
        <f t="shared" si="59"/>
        <v>584.79485274863919</v>
      </c>
      <c r="AN78" s="62">
        <f ca="1">AVERAGE(OFFSET($AM$3,0,0,'Données projet'!$E$10+1,1))-AVERAGE(OFFSET($H$3,0,0,'Données projet'!$E$10+1,1))</f>
        <v>284.0976902574692</v>
      </c>
      <c r="AO78" s="62">
        <f t="shared" si="90"/>
        <v>190.4880882944471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228.00959999999986</v>
      </c>
      <c r="BF78" s="14">
        <f t="shared" si="91"/>
        <v>55.852093054619779</v>
      </c>
      <c r="BG78" s="22">
        <f t="shared" si="61"/>
        <v>494.39244873679587</v>
      </c>
      <c r="BH78" s="62">
        <f t="shared" si="62"/>
        <v>787.72578207012918</v>
      </c>
      <c r="BI78" s="62">
        <f ca="1">AVERAGE(OFFSET($BH$3,0,0,'Données projet'!$E$11+1,1))-AVERAGE(OFFSET($H$3,0,0,'Données projet'!$E$11+1,1))</f>
        <v>428.8489304403459</v>
      </c>
      <c r="BJ78" s="62">
        <f t="shared" si="92"/>
        <v>247.01165577562966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144.05409916132993</v>
      </c>
      <c r="CE78" s="62">
        <f t="shared" si="94"/>
        <v>409.2784174616832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29.712081529927708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29.712081529927708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6.3550942286383367E-14</v>
      </c>
      <c r="CV78" s="14">
        <f t="shared" si="95"/>
        <v>1.0064464192543978E-12</v>
      </c>
      <c r="CW78" s="22">
        <f t="shared" si="67"/>
        <v>1.8635787380168604E-12</v>
      </c>
      <c r="CX78" s="62">
        <f t="shared" si="68"/>
        <v>293.33333333333519</v>
      </c>
      <c r="CY78" s="62">
        <f ca="1">AVERAGE(OFFSET($CX$3,0,0,'Données projet'!$E$13+1,1))-AVERAGE(OFFSET($H$3,0,0,'Données projet'!$E$13+1,1))</f>
        <v>321.13335003345236</v>
      </c>
      <c r="CZ78" s="62">
        <f t="shared" si="96"/>
        <v>301.26825075712128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5.9210372067988999</v>
      </c>
      <c r="DH78" s="23">
        <f>EXP(-LN(2)/2)*DH77+(1-EXP(-LN(2)/2))/(LN(2)/2)*DB78*DE78*VLOOKUP('Données projet'!$B$13,Paramètres!$A$1:$I$89,3,0)*0.475*44/12</f>
        <v>1.6624709197329929E-6</v>
      </c>
      <c r="DI78" s="24">
        <f t="shared" si="69"/>
        <v>5.9210388692698199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4.3589743589743648</v>
      </c>
      <c r="N79" s="14">
        <f>IF('Données projet'!$A$36&gt;35,N78+M79-V78,IF(A79&lt;'Données projet'!$A$36,$K$205^A79,IF(A79='Données projet'!$A$36,'Données projet'!$B$36,N78+M79-V78)))</f>
        <v>262.05128205128187</v>
      </c>
      <c r="O79" s="14">
        <f>N79*VLOOKUP('Données projet'!$B$9,Paramètres!$A$1:$I$89,3,0)*VLOOKUP('Données projet'!$B$9,Paramètres!$A$1:$I$89,5,0)</f>
        <v>273.89599999999984</v>
      </c>
      <c r="P79" s="14">
        <f t="shared" si="87"/>
        <v>65.675408141572404</v>
      </c>
      <c r="Q79" s="22">
        <f t="shared" si="54"/>
        <v>591.42020251323834</v>
      </c>
      <c r="R79" s="62">
        <f t="shared" si="55"/>
        <v>884.75353584657159</v>
      </c>
      <c r="S79" s="62">
        <f ca="1">AVERAGE(OFFSET($R$3,0,0,'Données projet'!$E$9+1,1))-AVERAGE(OFFSET($H$3,0,0,'Données projet'!$E$9+1,1))</f>
        <v>493.70175665335978</v>
      </c>
      <c r="T79" s="62">
        <f t="shared" si="88"/>
        <v>325.12357781685949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9.52371794871795</v>
      </c>
      <c r="AI79" s="14">
        <f>IF('Données projet'!$A$62&gt;35,AI78+AH79-AQ78,IF(A79&lt;'Données projet'!$A$62,$AF$205^A79,IF(A79='Données projet'!$A$62,'Données projet'!$B$62,AI78+AH79-AQ78)))</f>
        <v>293.11730769230724</v>
      </c>
      <c r="AJ79" s="14">
        <f>AI79*VLOOKUP('Données projet'!$B$10,Paramètres!$A$1:$I$89,3,0)*VLOOKUP('Données projet'!$B$10,Paramètres!$A$1:$I$89,5,0)</f>
        <v>137.1788999999998</v>
      </c>
      <c r="AK79" s="14">
        <f t="shared" si="89"/>
        <v>35.649967423044046</v>
      </c>
      <c r="AL79" s="22">
        <f t="shared" si="58"/>
        <v>301.01027742846799</v>
      </c>
      <c r="AM79" s="62">
        <f t="shared" si="59"/>
        <v>594.3436107618013</v>
      </c>
      <c r="AN79" s="62">
        <f ca="1">AVERAGE(OFFSET($AM$3,0,0,'Données projet'!$E$10+1,1))-AVERAGE(OFFSET($H$3,0,0,'Données projet'!$E$10+1,1))</f>
        <v>284.0976902574692</v>
      </c>
      <c r="AO79" s="62">
        <f t="shared" si="90"/>
        <v>190.4880882944471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233.43839999999989</v>
      </c>
      <c r="BF79" s="14">
        <f t="shared" si="91"/>
        <v>57.025500710931624</v>
      </c>
      <c r="BG79" s="22">
        <f t="shared" si="61"/>
        <v>505.89129373820577</v>
      </c>
      <c r="BH79" s="62">
        <f t="shared" si="62"/>
        <v>799.22462707153909</v>
      </c>
      <c r="BI79" s="62">
        <f ca="1">AVERAGE(OFFSET($BH$3,0,0,'Données projet'!$E$11+1,1))-AVERAGE(OFFSET($H$3,0,0,'Données projet'!$E$11+1,1))</f>
        <v>428.8489304403459</v>
      </c>
      <c r="BJ79" s="62">
        <f t="shared" si="92"/>
        <v>247.01165577562966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144.05409916132993</v>
      </c>
      <c r="CE79" s="62">
        <f t="shared" si="94"/>
        <v>409.2784174616832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29.129445733706103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29.129445733706103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6.3550942286383367E-14</v>
      </c>
      <c r="CV79" s="14">
        <f t="shared" si="95"/>
        <v>1.0064464192543978E-12</v>
      </c>
      <c r="CW79" s="22">
        <f t="shared" si="67"/>
        <v>1.8635787380168604E-12</v>
      </c>
      <c r="CX79" s="62">
        <f t="shared" si="68"/>
        <v>293.33333333333519</v>
      </c>
      <c r="CY79" s="62">
        <f ca="1">AVERAGE(OFFSET($CX$3,0,0,'Données projet'!$E$13+1,1))-AVERAGE(OFFSET($H$3,0,0,'Données projet'!$E$13+1,1))</f>
        <v>321.13335003345236</v>
      </c>
      <c r="CZ79" s="62">
        <f t="shared" si="96"/>
        <v>301.26825075712128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5.7591261330051697</v>
      </c>
      <c r="DH79" s="23">
        <f>EXP(-LN(2)/2)*DH78+(1-EXP(-LN(2)/2))/(LN(2)/2)*DB79*DE79*VLOOKUP('Données projet'!$B$13,Paramètres!$A$1:$I$89,3,0)*0.475*44/12</f>
        <v>1.1755444608686358E-6</v>
      </c>
      <c r="DI79" s="24">
        <f t="shared" si="69"/>
        <v>5.7591273085496306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4.3589743589743648</v>
      </c>
      <c r="N80" s="14">
        <f>IF('Données projet'!$A$36&gt;35,N79+M80-V79,IF(A80&lt;'Données projet'!$A$36,$K$205^A80,IF(A80='Données projet'!$A$36,'Données projet'!$B$36,N79+M80-V79)))</f>
        <v>266.41025641025624</v>
      </c>
      <c r="O80" s="14">
        <f>N80*VLOOKUP('Données projet'!$B$9,Paramètres!$A$1:$I$89,3,0)*VLOOKUP('Données projet'!$B$9,Paramètres!$A$1:$I$89,5,0)</f>
        <v>278.45199999999988</v>
      </c>
      <c r="P80" s="14">
        <f t="shared" si="87"/>
        <v>66.639766503676199</v>
      </c>
      <c r="Q80" s="22">
        <f t="shared" si="54"/>
        <v>601.03482666056914</v>
      </c>
      <c r="R80" s="62">
        <f t="shared" si="55"/>
        <v>894.36815999390251</v>
      </c>
      <c r="S80" s="62">
        <f ca="1">AVERAGE(OFFSET($R$3,0,0,'Données projet'!$E$9+1,1))-AVERAGE(OFFSET($H$3,0,0,'Données projet'!$E$9+1,1))</f>
        <v>493.70175665335978</v>
      </c>
      <c r="T80" s="62">
        <f t="shared" si="88"/>
        <v>325.12357781685949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9.52371794871795</v>
      </c>
      <c r="AI80" s="14">
        <f>IF('Données projet'!$A$62&gt;35,AI79+AH80-AQ79,IF(A80&lt;'Données projet'!$A$62,$AF$205^A80,IF(A80='Données projet'!$A$62,'Données projet'!$B$62,AI79+AH80-AQ79)))</f>
        <v>302.64102564102518</v>
      </c>
      <c r="AJ80" s="14">
        <f>AI80*VLOOKUP('Données projet'!$B$10,Paramètres!$A$1:$I$89,3,0)*VLOOKUP('Données projet'!$B$10,Paramètres!$A$1:$I$89,5,0)</f>
        <v>141.63599999999977</v>
      </c>
      <c r="AK80" s="14">
        <f t="shared" si="89"/>
        <v>36.67153632894432</v>
      </c>
      <c r="AL80" s="22">
        <f t="shared" si="58"/>
        <v>310.55229243957757</v>
      </c>
      <c r="AM80" s="62">
        <f t="shared" si="59"/>
        <v>603.88562577291088</v>
      </c>
      <c r="AN80" s="62">
        <f ca="1">AVERAGE(OFFSET($AM$3,0,0,'Données projet'!$E$10+1,1))-AVERAGE(OFFSET($H$3,0,0,'Données projet'!$E$10+1,1))</f>
        <v>284.0976902574692</v>
      </c>
      <c r="AO80" s="62">
        <f t="shared" si="90"/>
        <v>190.4880882944471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238.86719999999988</v>
      </c>
      <c r="BF80" s="14">
        <f t="shared" si="91"/>
        <v>58.195735973104156</v>
      </c>
      <c r="BG80" s="22">
        <f t="shared" si="61"/>
        <v>517.38461348648957</v>
      </c>
      <c r="BH80" s="62">
        <f t="shared" si="62"/>
        <v>810.71794681982283</v>
      </c>
      <c r="BI80" s="62">
        <f ca="1">AVERAGE(OFFSET($BH$3,0,0,'Données projet'!$E$11+1,1))-AVERAGE(OFFSET($H$3,0,0,'Données projet'!$E$11+1,1))</f>
        <v>428.8489304403459</v>
      </c>
      <c r="BJ80" s="62">
        <f t="shared" si="92"/>
        <v>247.01165577562966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144.05409916132993</v>
      </c>
      <c r="CE80" s="62">
        <f t="shared" si="94"/>
        <v>409.2784174616832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28.558235070075657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28.558235070075657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6.3550942286383367E-14</v>
      </c>
      <c r="CV80" s="14">
        <f t="shared" si="95"/>
        <v>1.0064464192543978E-12</v>
      </c>
      <c r="CW80" s="22">
        <f t="shared" si="67"/>
        <v>1.8635787380168604E-12</v>
      </c>
      <c r="CX80" s="62">
        <f t="shared" si="68"/>
        <v>293.33333333333519</v>
      </c>
      <c r="CY80" s="62">
        <f ca="1">AVERAGE(OFFSET($CX$3,0,0,'Données projet'!$E$13+1,1))-AVERAGE(OFFSET($H$3,0,0,'Données projet'!$E$13+1,1))</f>
        <v>321.13335003345236</v>
      </c>
      <c r="CZ80" s="62">
        <f t="shared" si="96"/>
        <v>301.26825075712128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5.6016425260388623</v>
      </c>
      <c r="DH80" s="23">
        <f>EXP(-LN(2)/2)*DH79+(1-EXP(-LN(2)/2))/(LN(2)/2)*DB80*DE80*VLOOKUP('Données projet'!$B$13,Paramètres!$A$1:$I$89,3,0)*0.475*44/12</f>
        <v>8.3123545986649646E-7</v>
      </c>
      <c r="DI80" s="24">
        <f t="shared" si="69"/>
        <v>5.6016433572743223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4.3589743589743648</v>
      </c>
      <c r="N81" s="14">
        <f>IF('Données projet'!$A$36&gt;35,N80+M81-V80,IF(A81&lt;'Données projet'!$A$36,$K$205^A81,IF(A81='Données projet'!$A$36,'Données projet'!$B$36,N80+M81-V80)))</f>
        <v>270.7692307692306</v>
      </c>
      <c r="O81" s="14">
        <f>N81*VLOOKUP('Données projet'!$B$9,Paramètres!$A$1:$I$89,3,0)*VLOOKUP('Données projet'!$B$9,Paramètres!$A$1:$I$89,5,0)</f>
        <v>283.00799999999987</v>
      </c>
      <c r="P81" s="14">
        <f t="shared" si="87"/>
        <v>67.602289883832427</v>
      </c>
      <c r="Q81" s="22">
        <f t="shared" si="54"/>
        <v>610.64625488100796</v>
      </c>
      <c r="R81" s="62">
        <f t="shared" si="55"/>
        <v>903.97958821434122</v>
      </c>
      <c r="S81" s="62">
        <f ca="1">AVERAGE(OFFSET($R$3,0,0,'Données projet'!$E$9+1,1))-AVERAGE(OFFSET($H$3,0,0,'Données projet'!$E$9+1,1))</f>
        <v>493.70175665335978</v>
      </c>
      <c r="T81" s="62">
        <f t="shared" si="88"/>
        <v>325.12357781685949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9.52371794871795</v>
      </c>
      <c r="AI81" s="14">
        <f>IF('Données projet'!$A$62&gt;35,AI80+AH81-AQ80,IF(A81&lt;'Données projet'!$A$62,$AF$205^A81,IF(A81='Données projet'!$A$62,'Données projet'!$B$62,AI80+AH81-AQ80)))</f>
        <v>312.16474358974313</v>
      </c>
      <c r="AJ81" s="14">
        <f>AI81*VLOOKUP('Données projet'!$B$10,Paramètres!$A$1:$I$89,3,0)*VLOOKUP('Données projet'!$B$10,Paramètres!$A$1:$I$89,5,0)</f>
        <v>146.09309999999979</v>
      </c>
      <c r="AK81" s="14">
        <f t="shared" si="89"/>
        <v>37.689369466401367</v>
      </c>
      <c r="AL81" s="22">
        <f t="shared" si="58"/>
        <v>320.08780098731535</v>
      </c>
      <c r="AM81" s="62">
        <f t="shared" si="59"/>
        <v>613.42113432064866</v>
      </c>
      <c r="AN81" s="62">
        <f ca="1">AVERAGE(OFFSET($AM$3,0,0,'Données projet'!$E$10+1,1))-AVERAGE(OFFSET($H$3,0,0,'Données projet'!$E$10+1,1))</f>
        <v>284.0976902574692</v>
      </c>
      <c r="AO81" s="62">
        <f t="shared" si="90"/>
        <v>190.4880882944471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244.29599999999991</v>
      </c>
      <c r="BF81" s="14">
        <f t="shared" si="91"/>
        <v>59.362879241040318</v>
      </c>
      <c r="BG81" s="22">
        <f t="shared" si="61"/>
        <v>528.87254801147833</v>
      </c>
      <c r="BH81" s="62">
        <f t="shared" si="62"/>
        <v>822.20588134481159</v>
      </c>
      <c r="BI81" s="62">
        <f ca="1">AVERAGE(OFFSET($BH$3,0,0,'Données projet'!$E$11+1,1))-AVERAGE(OFFSET($H$3,0,0,'Données projet'!$E$11+1,1))</f>
        <v>428.8489304403459</v>
      </c>
      <c r="BJ81" s="62">
        <f t="shared" si="92"/>
        <v>247.01165577562966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144.05409916132993</v>
      </c>
      <c r="CE81" s="62">
        <f t="shared" si="94"/>
        <v>409.2784174616832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27.998225499154902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27.998225499154902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6.3550942286383367E-14</v>
      </c>
      <c r="CV81" s="14">
        <f t="shared" si="95"/>
        <v>1.0064464192543978E-12</v>
      </c>
      <c r="CW81" s="22">
        <f t="shared" si="67"/>
        <v>1.8635787380168604E-12</v>
      </c>
      <c r="CX81" s="62">
        <f t="shared" si="68"/>
        <v>293.33333333333519</v>
      </c>
      <c r="CY81" s="62">
        <f ca="1">AVERAGE(OFFSET($CX$3,0,0,'Données projet'!$E$13+1,1))-AVERAGE(OFFSET($H$3,0,0,'Données projet'!$E$13+1,1))</f>
        <v>321.13335003345236</v>
      </c>
      <c r="CZ81" s="62">
        <f t="shared" si="96"/>
        <v>301.26825075712128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5.448465316586752</v>
      </c>
      <c r="DH81" s="23">
        <f>EXP(-LN(2)/2)*DH80+(1-EXP(-LN(2)/2))/(LN(2)/2)*DB81*DE81*VLOOKUP('Données projet'!$B$13,Paramètres!$A$1:$I$89,3,0)*0.475*44/12</f>
        <v>5.8777223043431791E-7</v>
      </c>
      <c r="DI81" s="24">
        <f t="shared" si="69"/>
        <v>5.448465904358982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4.3589743589743648</v>
      </c>
      <c r="N82" s="14">
        <f>IF('Données projet'!$A$36&gt;35,N81+M82-V81,IF(A82&lt;'Données projet'!$A$36,$K$205^A82,IF(A82='Données projet'!$A$36,'Données projet'!$B$36,N81+M82-V81)))</f>
        <v>275.12820512820497</v>
      </c>
      <c r="O82" s="14">
        <f>N82*VLOOKUP('Données projet'!$B$9,Paramètres!$A$1:$I$89,3,0)*VLOOKUP('Données projet'!$B$9,Paramètres!$A$1:$I$89,5,0)</f>
        <v>287.56399999999985</v>
      </c>
      <c r="P82" s="14">
        <f t="shared" si="87"/>
        <v>68.563011232963589</v>
      </c>
      <c r="Q82" s="22">
        <f t="shared" si="54"/>
        <v>620.25454456407806</v>
      </c>
      <c r="R82" s="62">
        <f t="shared" si="55"/>
        <v>913.58787789741132</v>
      </c>
      <c r="S82" s="62">
        <f ca="1">AVERAGE(OFFSET($R$3,0,0,'Données projet'!$E$9+1,1))-AVERAGE(OFFSET($H$3,0,0,'Données projet'!$E$9+1,1))</f>
        <v>493.70175665335978</v>
      </c>
      <c r="T82" s="62">
        <f t="shared" si="88"/>
        <v>325.12357781685949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9.52371794871795</v>
      </c>
      <c r="AI82" s="14">
        <f>IF('Données projet'!$A$62&gt;35,AI81+AH82-AQ81,IF(A82&lt;'Données projet'!$A$62,$AF$205^A82,IF(A82='Données projet'!$A$62,'Données projet'!$B$62,AI81+AH82-AQ81)))</f>
        <v>321.68846153846107</v>
      </c>
      <c r="AJ82" s="14">
        <f>AI82*VLOOKUP('Données projet'!$B$10,Paramètres!$A$1:$I$89,3,0)*VLOOKUP('Données projet'!$B$10,Paramètres!$A$1:$I$89,5,0)</f>
        <v>150.55019999999979</v>
      </c>
      <c r="AK82" s="14">
        <f t="shared" si="89"/>
        <v>38.703593889379746</v>
      </c>
      <c r="AL82" s="22">
        <f t="shared" si="58"/>
        <v>329.61702435733599</v>
      </c>
      <c r="AM82" s="62">
        <f t="shared" si="59"/>
        <v>622.95035769066931</v>
      </c>
      <c r="AN82" s="62">
        <f ca="1">AVERAGE(OFFSET($AM$3,0,0,'Données projet'!$E$10+1,1))-AVERAGE(OFFSET($H$3,0,0,'Données projet'!$E$10+1,1))</f>
        <v>284.0976902574692</v>
      </c>
      <c r="AO82" s="62">
        <f t="shared" si="90"/>
        <v>190.4880882944471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249.7247999999999</v>
      </c>
      <c r="BF82" s="14">
        <f t="shared" si="91"/>
        <v>60.527007137298092</v>
      </c>
      <c r="BG82" s="22">
        <f t="shared" si="61"/>
        <v>540.35523076412733</v>
      </c>
      <c r="BH82" s="62">
        <f t="shared" si="62"/>
        <v>833.68856409746058</v>
      </c>
      <c r="BI82" s="62">
        <f ca="1">AVERAGE(OFFSET($BH$3,0,0,'Données projet'!$E$11+1,1))-AVERAGE(OFFSET($H$3,0,0,'Données projet'!$E$11+1,1))</f>
        <v>428.8489304403459</v>
      </c>
      <c r="BJ82" s="62">
        <f t="shared" si="92"/>
        <v>247.01165577562966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144.05409916132993</v>
      </c>
      <c r="CE82" s="62">
        <f t="shared" si="94"/>
        <v>409.2784174616832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27.449197374347793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27.449197374347793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6.3550942286383367E-14</v>
      </c>
      <c r="CV82" s="14">
        <f t="shared" si="95"/>
        <v>1.0064464192543978E-12</v>
      </c>
      <c r="CW82" s="22">
        <f t="shared" si="67"/>
        <v>1.8635787380168604E-12</v>
      </c>
      <c r="CX82" s="62">
        <f t="shared" si="68"/>
        <v>293.33333333333519</v>
      </c>
      <c r="CY82" s="62">
        <f ca="1">AVERAGE(OFFSET($CX$3,0,0,'Données projet'!$E$13+1,1))-AVERAGE(OFFSET($H$3,0,0,'Données projet'!$E$13+1,1))</f>
        <v>321.13335003345236</v>
      </c>
      <c r="CZ82" s="62">
        <f t="shared" si="96"/>
        <v>301.26825075712128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5.2994767459823491</v>
      </c>
      <c r="DH82" s="23">
        <f>EXP(-LN(2)/2)*DH81+(1-EXP(-LN(2)/2))/(LN(2)/2)*DB82*DE82*VLOOKUP('Données projet'!$B$13,Paramètres!$A$1:$I$89,3,0)*0.475*44/12</f>
        <v>4.1561772993324823E-7</v>
      </c>
      <c r="DI82" s="24">
        <f t="shared" si="69"/>
        <v>5.2994771616000786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279.4871794871795</v>
      </c>
      <c r="L83" s="13">
        <f>VLOOKUP(A83,'Données projet'!$A$35:$I$55,9,0)</f>
        <v>4.3589743589743648</v>
      </c>
      <c r="M83" s="13">
        <f t="array" ref="M83">INDEX(L:L,MIN(IF(ISNUMBER(L83:L279),ROW(L83:L279),"")))</f>
        <v>4.3589743589743648</v>
      </c>
      <c r="N83" s="14">
        <f>IF('Données projet'!$A$36&gt;35,N82+M83-V82,IF(A83&lt;'Données projet'!$A$36,$K$205^A83,IF(A83='Données projet'!$A$36,'Données projet'!$B$36,N82+M83-V82)))</f>
        <v>279.48717948717933</v>
      </c>
      <c r="O83" s="14">
        <f>N83*VLOOKUP('Données projet'!$B$9,Paramètres!$A$1:$I$89,3,0)*VLOOKUP('Données projet'!$B$9,Paramètres!$A$1:$I$89,5,0)</f>
        <v>292.11999999999989</v>
      </c>
      <c r="P83" s="14">
        <f t="shared" si="87"/>
        <v>69.521962397994116</v>
      </c>
      <c r="Q83" s="22">
        <f t="shared" si="54"/>
        <v>629.85975117650617</v>
      </c>
      <c r="R83" s="62">
        <f t="shared" si="55"/>
        <v>923.19308450983954</v>
      </c>
      <c r="S83" s="62">
        <f ca="1">AVERAGE(OFFSET($R$3,0,0,'Données projet'!$E$9+1,1))-AVERAGE(OFFSET($H$3,0,0,'Données projet'!$E$9+1,1))</f>
        <v>493.70175665335978</v>
      </c>
      <c r="T83" s="62">
        <f t="shared" si="88"/>
        <v>325.12357781685949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22.435897435897434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9.52371794871795</v>
      </c>
      <c r="AI83" s="14">
        <f>IF('Données projet'!$A$62&gt;35,AI82+AH83-AQ82,IF(A83&lt;'Données projet'!$A$62,$AF$205^A83,IF(A83='Données projet'!$A$62,'Données projet'!$B$62,AI82+AH83-AQ82)))</f>
        <v>331.21217948717901</v>
      </c>
      <c r="AJ83" s="14">
        <f>AI83*VLOOKUP('Données projet'!$B$10,Paramètres!$A$1:$I$89,3,0)*VLOOKUP('Données projet'!$B$10,Paramètres!$A$1:$I$89,5,0)</f>
        <v>155.00729999999979</v>
      </c>
      <c r="AK83" s="14">
        <f t="shared" si="89"/>
        <v>39.714328701221447</v>
      </c>
      <c r="AL83" s="22">
        <f t="shared" si="58"/>
        <v>339.14016998796029</v>
      </c>
      <c r="AM83" s="62">
        <f t="shared" si="59"/>
        <v>632.47350332129361</v>
      </c>
      <c r="AN83" s="62">
        <f ca="1">AVERAGE(OFFSET($AM$3,0,0,'Données projet'!$E$10+1,1))-AVERAGE(OFFSET($H$3,0,0,'Données projet'!$E$10+1,1))</f>
        <v>284.0976902574692</v>
      </c>
      <c r="AO83" s="62">
        <f t="shared" si="90"/>
        <v>190.4880882944471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255.15359999999987</v>
      </c>
      <c r="BF83" s="14">
        <f t="shared" si="91"/>
        <v>61.688192762754376</v>
      </c>
      <c r="BG83" s="22">
        <f t="shared" si="61"/>
        <v>551.83278906179692</v>
      </c>
      <c r="BH83" s="62">
        <f t="shared" si="62"/>
        <v>845.16612239513029</v>
      </c>
      <c r="BI83" s="62">
        <f ca="1">AVERAGE(OFFSET($BH$3,0,0,'Données projet'!$E$11+1,1))-AVERAGE(OFFSET($H$3,0,0,'Données projet'!$E$11+1,1))</f>
        <v>428.8489304403459</v>
      </c>
      <c r="BJ83" s="62">
        <f t="shared" si="92"/>
        <v>247.01165577562966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144.05409916132993</v>
      </c>
      <c r="CE83" s="62">
        <f t="shared" si="94"/>
        <v>409.2784174616832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26.910935356194059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26.910935356194059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6.3550942286383367E-14</v>
      </c>
      <c r="CV83" s="14">
        <f t="shared" si="95"/>
        <v>1.0064464192543978E-12</v>
      </c>
      <c r="CW83" s="22">
        <f t="shared" si="67"/>
        <v>1.8635787380168604E-12</v>
      </c>
      <c r="CX83" s="62">
        <f t="shared" si="68"/>
        <v>293.33333333333519</v>
      </c>
      <c r="CY83" s="62">
        <f ca="1">AVERAGE(OFFSET($CX$3,0,0,'Données projet'!$E$13+1,1))-AVERAGE(OFFSET($H$3,0,0,'Données projet'!$E$13+1,1))</f>
        <v>321.13335003345236</v>
      </c>
      <c r="CZ83" s="62">
        <f t="shared" si="96"/>
        <v>301.26825075712128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5.154562275676092</v>
      </c>
      <c r="DH83" s="23">
        <f>EXP(-LN(2)/2)*DH82+(1-EXP(-LN(2)/2))/(LN(2)/2)*DB83*DE83*VLOOKUP('Données projet'!$B$13,Paramètres!$A$1:$I$89,3,0)*0.475*44/12</f>
        <v>2.9388611521715895E-7</v>
      </c>
      <c r="DI83" s="24">
        <f t="shared" si="69"/>
        <v>5.1545625695622075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3.9743589743589722</v>
      </c>
      <c r="N84" s="14">
        <f>IF('Données projet'!$A$36&gt;35,N83+M84-V83,IF(A84&lt;'Données projet'!$A$36,$K$205^A84,IF(A84='Données projet'!$A$36,'Données projet'!$B$36,N83+M84-V83)))</f>
        <v>261.02564102564082</v>
      </c>
      <c r="O84" s="14">
        <f>N84*VLOOKUP('Données projet'!$B$9,Paramètres!$A$1:$I$89,3,0)*VLOOKUP('Données projet'!$B$9,Paramètres!$A$1:$I$89,5,0)</f>
        <v>272.82399999999984</v>
      </c>
      <c r="P84" s="14">
        <f t="shared" si="87"/>
        <v>65.448229947121135</v>
      </c>
      <c r="Q84" s="22">
        <f t="shared" si="54"/>
        <v>589.15746715790237</v>
      </c>
      <c r="R84" s="62">
        <f t="shared" si="55"/>
        <v>882.49080049123563</v>
      </c>
      <c r="S84" s="62">
        <f ca="1">AVERAGE(OFFSET($R$3,0,0,'Données projet'!$E$9+1,1))-AVERAGE(OFFSET($H$3,0,0,'Données projet'!$E$9+1,1))</f>
        <v>493.70175665335978</v>
      </c>
      <c r="T84" s="62">
        <f t="shared" si="88"/>
        <v>325.12357781685949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9.52371794871795</v>
      </c>
      <c r="AI84" s="14">
        <f>IF('Données projet'!$A$62&gt;35,AI83+AH84-AQ83,IF(A84&lt;'Données projet'!$A$62,$AF$205^A84,IF(A84='Données projet'!$A$62,'Données projet'!$B$62,AI83+AH84-AQ83)))</f>
        <v>340.73589743589696</v>
      </c>
      <c r="AJ84" s="14">
        <f>AI84*VLOOKUP('Données projet'!$B$10,Paramètres!$A$1:$I$89,3,0)*VLOOKUP('Données projet'!$B$10,Paramètres!$A$1:$I$89,5,0)</f>
        <v>159.46439999999978</v>
      </c>
      <c r="AK84" s="14">
        <f t="shared" si="89"/>
        <v>40.721685766303231</v>
      </c>
      <c r="AL84" s="22">
        <f t="shared" si="58"/>
        <v>348.65743270964441</v>
      </c>
      <c r="AM84" s="62">
        <f t="shared" si="59"/>
        <v>641.99076604297773</v>
      </c>
      <c r="AN84" s="62">
        <f ca="1">AVERAGE(OFFSET($AM$3,0,0,'Données projet'!$E$10+1,1))-AVERAGE(OFFSET($H$3,0,0,'Données projet'!$E$10+1,1))</f>
        <v>284.0976902574692</v>
      </c>
      <c r="AO84" s="62">
        <f t="shared" si="90"/>
        <v>190.4880882944471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222.21887999999993</v>
      </c>
      <c r="BF84" s="14">
        <f t="shared" si="91"/>
        <v>54.596866296848852</v>
      </c>
      <c r="BG84" s="22">
        <f t="shared" si="61"/>
        <v>482.12075813367829</v>
      </c>
      <c r="BH84" s="62">
        <f t="shared" si="62"/>
        <v>775.45409146701161</v>
      </c>
      <c r="BI84" s="62">
        <f ca="1">AVERAGE(OFFSET($BH$3,0,0,'Données projet'!$E$11+1,1))-AVERAGE(OFFSET($H$3,0,0,'Données projet'!$E$11+1,1))</f>
        <v>428.8489304403459</v>
      </c>
      <c r="BJ84" s="62">
        <f t="shared" si="92"/>
        <v>247.01165577562966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144.05409916132993</v>
      </c>
      <c r="CE84" s="62">
        <f t="shared" si="94"/>
        <v>409.2784174616832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26.38322832790891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26.38322832790891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6.3550942286383367E-14</v>
      </c>
      <c r="CV84" s="14">
        <f t="shared" si="95"/>
        <v>1.0064464192543978E-12</v>
      </c>
      <c r="CW84" s="22">
        <f t="shared" si="67"/>
        <v>1.8635787380168604E-12</v>
      </c>
      <c r="CX84" s="62">
        <f t="shared" si="68"/>
        <v>293.33333333333519</v>
      </c>
      <c r="CY84" s="62">
        <f ca="1">AVERAGE(OFFSET($CX$3,0,0,'Données projet'!$E$13+1,1))-AVERAGE(OFFSET($H$3,0,0,'Données projet'!$E$13+1,1))</f>
        <v>321.13335003345236</v>
      </c>
      <c r="CZ84" s="62">
        <f t="shared" si="96"/>
        <v>301.26825075712128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5.0136104991810804</v>
      </c>
      <c r="DH84" s="23">
        <f>EXP(-LN(2)/2)*DH83+(1-EXP(-LN(2)/2))/(LN(2)/2)*DB84*DE84*VLOOKUP('Données projet'!$B$13,Paramètres!$A$1:$I$89,3,0)*0.475*44/12</f>
        <v>2.0780886496662411E-7</v>
      </c>
      <c r="DI84" s="24">
        <f t="shared" si="69"/>
        <v>5.0136107069899456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3.9743589743589722</v>
      </c>
      <c r="N85" s="14">
        <f>IF('Données projet'!$A$36&gt;35,N84+M85-V84,IF(A85&lt;'Données projet'!$A$36,$K$205^A85,IF(A85='Données projet'!$A$36,'Données projet'!$B$36,N84+M85-V84)))</f>
        <v>264.99999999999977</v>
      </c>
      <c r="O85" s="14">
        <f>N85*VLOOKUP('Données projet'!$B$9,Paramètres!$A$1:$I$89,3,0)*VLOOKUP('Données projet'!$B$9,Paramètres!$A$1:$I$89,5,0)</f>
        <v>276.97799999999978</v>
      </c>
      <c r="P85" s="14">
        <f t="shared" si="87"/>
        <v>66.327970633211649</v>
      </c>
      <c r="Q85" s="22">
        <f t="shared" si="54"/>
        <v>597.92456551950988</v>
      </c>
      <c r="R85" s="62">
        <f t="shared" si="55"/>
        <v>891.25789885284325</v>
      </c>
      <c r="S85" s="62">
        <f ca="1">AVERAGE(OFFSET($R$3,0,0,'Données projet'!$E$9+1,1))-AVERAGE(OFFSET($H$3,0,0,'Données projet'!$E$9+1,1))</f>
        <v>493.70175665335978</v>
      </c>
      <c r="T85" s="62">
        <f t="shared" si="88"/>
        <v>325.12357781685949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9.52371794871795</v>
      </c>
      <c r="AI85" s="14">
        <f>IF('Données projet'!$A$62&gt;35,AI84+AH85-AQ84,IF(A85&lt;'Données projet'!$A$62,$AF$205^A85,IF(A85='Données projet'!$A$62,'Données projet'!$B$62,AI84+AH85-AQ84)))</f>
        <v>350.2596153846149</v>
      </c>
      <c r="AJ85" s="14">
        <f>AI85*VLOOKUP('Données projet'!$B$10,Paramètres!$A$1:$I$89,3,0)*VLOOKUP('Données projet'!$B$10,Paramètres!$A$1:$I$89,5,0)</f>
        <v>163.92149999999975</v>
      </c>
      <c r="AK85" s="14">
        <f t="shared" si="89"/>
        <v>41.725770339892499</v>
      </c>
      <c r="AL85" s="22">
        <f t="shared" si="58"/>
        <v>358.16899584197898</v>
      </c>
      <c r="AM85" s="62">
        <f t="shared" si="59"/>
        <v>651.5023291753123</v>
      </c>
      <c r="AN85" s="62">
        <f ca="1">AVERAGE(OFFSET($AM$3,0,0,'Données projet'!$E$10+1,1))-AVERAGE(OFFSET($H$3,0,0,'Données projet'!$E$10+1,1))</f>
        <v>284.0976902574692</v>
      </c>
      <c r="AO85" s="62">
        <f t="shared" si="90"/>
        <v>190.4880882944471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227.28575999999993</v>
      </c>
      <c r="BF85" s="14">
        <f t="shared" si="91"/>
        <v>55.695394520076327</v>
      </c>
      <c r="BG85" s="22">
        <f t="shared" si="61"/>
        <v>492.85884412246605</v>
      </c>
      <c r="BH85" s="62">
        <f t="shared" si="62"/>
        <v>786.19217745579931</v>
      </c>
      <c r="BI85" s="62">
        <f ca="1">AVERAGE(OFFSET($BH$3,0,0,'Données projet'!$E$11+1,1))-AVERAGE(OFFSET($H$3,0,0,'Données projet'!$E$11+1,1))</f>
        <v>428.8489304403459</v>
      </c>
      <c r="BJ85" s="62">
        <f t="shared" si="92"/>
        <v>247.01165577562966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144.05409916132993</v>
      </c>
      <c r="CE85" s="62">
        <f t="shared" si="94"/>
        <v>409.2784174616832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25.865869312578926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25.865869312578926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6.3550942286383367E-14</v>
      </c>
      <c r="CV85" s="14">
        <f t="shared" si="95"/>
        <v>1.0064464192543978E-12</v>
      </c>
      <c r="CW85" s="22">
        <f t="shared" si="67"/>
        <v>1.8635787380168604E-12</v>
      </c>
      <c r="CX85" s="62">
        <f t="shared" si="68"/>
        <v>293.33333333333519</v>
      </c>
      <c r="CY85" s="62">
        <f ca="1">AVERAGE(OFFSET($CX$3,0,0,'Données projet'!$E$13+1,1))-AVERAGE(OFFSET($H$3,0,0,'Données projet'!$E$13+1,1))</f>
        <v>321.13335003345236</v>
      </c>
      <c r="CZ85" s="62">
        <f t="shared" si="96"/>
        <v>301.26825075712128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4.8765130564266563</v>
      </c>
      <c r="DH85" s="23">
        <f>EXP(-LN(2)/2)*DH84+(1-EXP(-LN(2)/2))/(LN(2)/2)*DB85*DE85*VLOOKUP('Données projet'!$B$13,Paramètres!$A$1:$I$89,3,0)*0.475*44/12</f>
        <v>1.4694305760857948E-7</v>
      </c>
      <c r="DI85" s="24">
        <f t="shared" si="69"/>
        <v>4.8765132033697141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3.9743589743589722</v>
      </c>
      <c r="N86" s="14">
        <f>IF('Données projet'!$A$36&gt;35,N85+M86-V85,IF(A86&lt;'Données projet'!$A$36,$K$205^A86,IF(A86='Données projet'!$A$36,'Données projet'!$B$36,N85+M86-V85)))</f>
        <v>268.97435897435872</v>
      </c>
      <c r="O86" s="14">
        <f>N86*VLOOKUP('Données projet'!$B$9,Paramètres!$A$1:$I$89,3,0)*VLOOKUP('Données projet'!$B$9,Paramètres!$A$1:$I$89,5,0)</f>
        <v>281.13199999999972</v>
      </c>
      <c r="P86" s="14">
        <f t="shared" si="87"/>
        <v>67.206176818686799</v>
      </c>
      <c r="Q86" s="22">
        <f t="shared" si="54"/>
        <v>606.68899129254567</v>
      </c>
      <c r="R86" s="62">
        <f t="shared" si="55"/>
        <v>900.02232462587904</v>
      </c>
      <c r="S86" s="62">
        <f ca="1">AVERAGE(OFFSET($R$3,0,0,'Données projet'!$E$9+1,1))-AVERAGE(OFFSET($H$3,0,0,'Données projet'!$E$9+1,1))</f>
        <v>493.70175665335978</v>
      </c>
      <c r="T86" s="62">
        <f t="shared" si="88"/>
        <v>325.12357781685949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9.52371794871795</v>
      </c>
      <c r="AI86" s="14">
        <f>IF('Données projet'!$A$62&gt;35,AI85+AH86-AQ85,IF(A86&lt;'Données projet'!$A$62,$AF$205^A86,IF(A86='Données projet'!$A$62,'Données projet'!$B$62,AI85+AH86-AQ85)))</f>
        <v>359.78333333333285</v>
      </c>
      <c r="AJ86" s="14">
        <f>AI86*VLOOKUP('Données projet'!$B$10,Paramètres!$A$1:$I$89,3,0)*VLOOKUP('Données projet'!$B$10,Paramètres!$A$1:$I$89,5,0)</f>
        <v>168.37859999999978</v>
      </c>
      <c r="AK86" s="14">
        <f t="shared" si="89"/>
        <v>42.72668162757283</v>
      </c>
      <c r="AL86" s="22">
        <f t="shared" si="58"/>
        <v>367.6750321680222</v>
      </c>
      <c r="AM86" s="62">
        <f t="shared" si="59"/>
        <v>661.00836550135546</v>
      </c>
      <c r="AN86" s="62">
        <f ca="1">AVERAGE(OFFSET($AM$3,0,0,'Données projet'!$E$10+1,1))-AVERAGE(OFFSET($H$3,0,0,'Données projet'!$E$10+1,1))</f>
        <v>284.0976902574692</v>
      </c>
      <c r="AO86" s="62">
        <f t="shared" si="90"/>
        <v>190.4880882944471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232.35263999999989</v>
      </c>
      <c r="BF86" s="14">
        <f t="shared" si="91"/>
        <v>56.791075613550255</v>
      </c>
      <c r="BG86" s="22">
        <f t="shared" si="61"/>
        <v>503.59197136026643</v>
      </c>
      <c r="BH86" s="62">
        <f t="shared" si="62"/>
        <v>796.92530469359974</v>
      </c>
      <c r="BI86" s="62">
        <f ca="1">AVERAGE(OFFSET($BH$3,0,0,'Données projet'!$E$11+1,1))-AVERAGE(OFFSET($H$3,0,0,'Données projet'!$E$11+1,1))</f>
        <v>428.8489304403459</v>
      </c>
      <c r="BJ86" s="62">
        <f t="shared" si="92"/>
        <v>247.01165577562966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144.05409916132993</v>
      </c>
      <c r="CE86" s="62">
        <f t="shared" si="94"/>
        <v>409.2784174616832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25.358655391981721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25.358655391981721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6.3550942286383367E-14</v>
      </c>
      <c r="CV86" s="14">
        <f t="shared" si="95"/>
        <v>1.0064464192543978E-12</v>
      </c>
      <c r="CW86" s="22">
        <f t="shared" si="67"/>
        <v>1.8635787380168604E-12</v>
      </c>
      <c r="CX86" s="62">
        <f t="shared" si="68"/>
        <v>293.33333333333519</v>
      </c>
      <c r="CY86" s="62">
        <f ca="1">AVERAGE(OFFSET($CX$3,0,0,'Données projet'!$E$13+1,1))-AVERAGE(OFFSET($H$3,0,0,'Données projet'!$E$13+1,1))</f>
        <v>321.13335003345236</v>
      </c>
      <c r="CZ86" s="62">
        <f t="shared" si="96"/>
        <v>301.26825075712128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4.7431645504539928</v>
      </c>
      <c r="DH86" s="23">
        <f>EXP(-LN(2)/2)*DH85+(1-EXP(-LN(2)/2))/(LN(2)/2)*DB86*DE86*VLOOKUP('Données projet'!$B$13,Paramètres!$A$1:$I$89,3,0)*0.475*44/12</f>
        <v>1.0390443248331206E-7</v>
      </c>
      <c r="DI86" s="24">
        <f t="shared" si="69"/>
        <v>4.7431646543584254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3.9743589743589722</v>
      </c>
      <c r="N87" s="14">
        <f>IF('Données projet'!$A$36&gt;35,N86+M87-V86,IF(A87&lt;'Données projet'!$A$36,$K$205^A87,IF(A87='Données projet'!$A$36,'Données projet'!$B$36,N86+M87-V86)))</f>
        <v>272.94871794871767</v>
      </c>
      <c r="O87" s="14">
        <f>N87*VLOOKUP('Données projet'!$B$9,Paramètres!$A$1:$I$89,3,0)*VLOOKUP('Données projet'!$B$9,Paramètres!$A$1:$I$89,5,0)</f>
        <v>285.28599999999972</v>
      </c>
      <c r="P87" s="14">
        <f t="shared" si="87"/>
        <v>68.082873796613967</v>
      </c>
      <c r="Q87" s="22">
        <f t="shared" si="54"/>
        <v>615.45078852910217</v>
      </c>
      <c r="R87" s="62">
        <f t="shared" si="55"/>
        <v>908.78412186243554</v>
      </c>
      <c r="S87" s="62">
        <f ca="1">AVERAGE(OFFSET($R$3,0,0,'Données projet'!$E$9+1,1))-AVERAGE(OFFSET($H$3,0,0,'Données projet'!$E$9+1,1))</f>
        <v>493.70175665335978</v>
      </c>
      <c r="T87" s="62">
        <f t="shared" si="88"/>
        <v>325.12357781685949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9.52371794871795</v>
      </c>
      <c r="AI87" s="14">
        <f>IF('Données projet'!$A$62&gt;35,AI86+AH87-AQ86,IF(A87&lt;'Données projet'!$A$62,$AF$205^A87,IF(A87='Données projet'!$A$62,'Données projet'!$B$62,AI86+AH87-AQ86)))</f>
        <v>369.30705128205079</v>
      </c>
      <c r="AJ87" s="14">
        <f>AI87*VLOOKUP('Données projet'!$B$10,Paramètres!$A$1:$I$89,3,0)*VLOOKUP('Données projet'!$B$10,Paramètres!$A$1:$I$89,5,0)</f>
        <v>172.83569999999978</v>
      </c>
      <c r="AK87" s="14">
        <f t="shared" si="89"/>
        <v>43.724513283769404</v>
      </c>
      <c r="AL87" s="22">
        <f t="shared" si="58"/>
        <v>377.17570480256467</v>
      </c>
      <c r="AM87" s="62">
        <f t="shared" si="59"/>
        <v>670.50903813589798</v>
      </c>
      <c r="AN87" s="62">
        <f ca="1">AVERAGE(OFFSET($AM$3,0,0,'Données projet'!$E$10+1,1))-AVERAGE(OFFSET($H$3,0,0,'Données projet'!$E$10+1,1))</f>
        <v>284.0976902574692</v>
      </c>
      <c r="AO87" s="62">
        <f t="shared" si="90"/>
        <v>190.4880882944471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237.41951999999992</v>
      </c>
      <c r="BF87" s="14">
        <f t="shared" si="91"/>
        <v>57.883978814320919</v>
      </c>
      <c r="BG87" s="22">
        <f t="shared" si="61"/>
        <v>514.32026043494204</v>
      </c>
      <c r="BH87" s="62">
        <f t="shared" si="62"/>
        <v>807.65359376827541</v>
      </c>
      <c r="BI87" s="62">
        <f ca="1">AVERAGE(OFFSET($BH$3,0,0,'Données projet'!$E$11+1,1))-AVERAGE(OFFSET($H$3,0,0,'Données projet'!$E$11+1,1))</f>
        <v>428.8489304403459</v>
      </c>
      <c r="BJ87" s="62">
        <f t="shared" si="92"/>
        <v>247.01165577562966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144.05409916132993</v>
      </c>
      <c r="CE87" s="62">
        <f t="shared" si="94"/>
        <v>409.2784174616832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24.861387626997484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24.861387626997484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6.3550942286383367E-14</v>
      </c>
      <c r="CV87" s="14">
        <f t="shared" si="95"/>
        <v>1.0064464192543978E-12</v>
      </c>
      <c r="CW87" s="22">
        <f t="shared" si="67"/>
        <v>1.8635787380168604E-12</v>
      </c>
      <c r="CX87" s="62">
        <f t="shared" si="68"/>
        <v>293.33333333333519</v>
      </c>
      <c r="CY87" s="62">
        <f ca="1">AVERAGE(OFFSET($CX$3,0,0,'Données projet'!$E$13+1,1))-AVERAGE(OFFSET($H$3,0,0,'Données projet'!$E$13+1,1))</f>
        <v>321.13335003345236</v>
      </c>
      <c r="CZ87" s="62">
        <f t="shared" si="96"/>
        <v>301.26825075712128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4.6134624663896453</v>
      </c>
      <c r="DH87" s="23">
        <f>EXP(-LN(2)/2)*DH86+(1-EXP(-LN(2)/2))/(LN(2)/2)*DB87*DE87*VLOOKUP('Données projet'!$B$13,Paramètres!$A$1:$I$89,3,0)*0.475*44/12</f>
        <v>7.3471528804289739E-8</v>
      </c>
      <c r="DI87" s="24">
        <f t="shared" si="69"/>
        <v>4.6134625398611737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276.92307692307691</v>
      </c>
      <c r="L88" s="13">
        <f>VLOOKUP(A88,'Données projet'!$A$35:$I$55,9,0)</f>
        <v>3.9743589743589722</v>
      </c>
      <c r="M88" s="13">
        <f t="array" ref="M88">INDEX(L:L,MIN(IF(ISNUMBER(L88:L284),ROW(L88:L284),"")))</f>
        <v>3.9743589743589722</v>
      </c>
      <c r="N88" s="14">
        <f>IF('Données projet'!$A$36&gt;35,N87+M88-V87,IF(A88&lt;'Données projet'!$A$36,$K$205^A88,IF(A88='Données projet'!$A$36,'Données projet'!$B$36,N87+M88-V87)))</f>
        <v>276.92307692307662</v>
      </c>
      <c r="O88" s="14">
        <f>N88*VLOOKUP('Données projet'!$B$9,Paramètres!$A$1:$I$89,3,0)*VLOOKUP('Données projet'!$B$9,Paramètres!$A$1:$I$89,5,0)</f>
        <v>289.43999999999971</v>
      </c>
      <c r="P88" s="14">
        <f t="shared" si="87"/>
        <v>68.958086081193898</v>
      </c>
      <c r="Q88" s="22">
        <f t="shared" si="54"/>
        <v>624.20999992474549</v>
      </c>
      <c r="R88" s="62">
        <f t="shared" si="55"/>
        <v>917.54333325807875</v>
      </c>
      <c r="S88" s="62">
        <f ca="1">AVERAGE(OFFSET($R$3,0,0,'Données projet'!$E$9+1,1))-AVERAGE(OFFSET($H$3,0,0,'Données projet'!$E$9+1,1))</f>
        <v>493.70175665335978</v>
      </c>
      <c r="T88" s="62">
        <f t="shared" si="88"/>
        <v>325.12357781685949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378.83076923076925</v>
      </c>
      <c r="AG88" s="13">
        <f>VLOOKUP(A88,'Données projet'!$A$61:$I$81,9,0)</f>
        <v>9.52371794871795</v>
      </c>
      <c r="AH88" s="13">
        <f t="array" ref="AH88">INDEX(AG:AG,MIN(IF(ISNUMBER(AG88:AG284),ROW(AG88:AG284),"")))</f>
        <v>9.52371794871795</v>
      </c>
      <c r="AI88" s="14">
        <f>IF('Données projet'!$A$62&gt;35,AI87+AH88-AQ87,IF(A88&lt;'Données projet'!$A$62,$AF$205^A88,IF(A88='Données projet'!$A$62,'Données projet'!$B$62,AI87+AH88-AQ87)))</f>
        <v>378.83076923076874</v>
      </c>
      <c r="AJ88" s="14">
        <f>AI88*VLOOKUP('Données projet'!$B$10,Paramètres!$A$1:$I$89,3,0)*VLOOKUP('Données projet'!$B$10,Paramètres!$A$1:$I$89,5,0)</f>
        <v>177.29279999999977</v>
      </c>
      <c r="AK88" s="14">
        <f t="shared" si="89"/>
        <v>44.719353857403867</v>
      </c>
      <c r="AL88" s="22">
        <f t="shared" si="58"/>
        <v>386.67116796831129</v>
      </c>
      <c r="AM88" s="62">
        <f t="shared" si="59"/>
        <v>680.00450130164461</v>
      </c>
      <c r="AN88" s="62">
        <f ca="1">AVERAGE(OFFSET($AM$3,0,0,'Données projet'!$E$10+1,1))-AVERAGE(OFFSET($H$3,0,0,'Données projet'!$E$10+1,1))</f>
        <v>284.0976902574692</v>
      </c>
      <c r="AO88" s="62">
        <f t="shared" si="90"/>
        <v>190.4880882944471</v>
      </c>
      <c r="AP88" s="16">
        <f>IF(ISNA(VLOOKUP(A88,'Données projet'!$A$61:$I$81,3,0)),0,VLOOKUP(A88,'Données projet'!$A$61:$I$81,3,0))</f>
        <v>4</v>
      </c>
      <c r="AQ88" s="16">
        <f>IF(ISNA(VLOOKUP(A88,'Données projet'!$A$61:$I$81,4,0)),0,VLOOKUP(A88,'Données projet'!$A$61:$I$81,4,0))</f>
        <v>85.207692307692298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242.48639999999995</v>
      </c>
      <c r="BF88" s="14">
        <f t="shared" si="91"/>
        <v>58.974170235372419</v>
      </c>
      <c r="BG88" s="22">
        <f t="shared" si="61"/>
        <v>525.04382649327351</v>
      </c>
      <c r="BH88" s="62">
        <f t="shared" si="62"/>
        <v>818.37715982660688</v>
      </c>
      <c r="BI88" s="62">
        <f ca="1">AVERAGE(OFFSET($BH$3,0,0,'Données projet'!$E$11+1,1))-AVERAGE(OFFSET($H$3,0,0,'Données projet'!$E$11+1,1))</f>
        <v>428.8489304403459</v>
      </c>
      <c r="BJ88" s="62">
        <f t="shared" si="92"/>
        <v>247.01165577562966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144.05409916132993</v>
      </c>
      <c r="CE88" s="62">
        <f t="shared" si="94"/>
        <v>409.2784174616832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24.373870979581199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24.373870979581199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6.3550942286383367E-14</v>
      </c>
      <c r="CV88" s="14">
        <f t="shared" si="95"/>
        <v>1.0064464192543978E-12</v>
      </c>
      <c r="CW88" s="22">
        <f t="shared" si="67"/>
        <v>1.8635787380168604E-12</v>
      </c>
      <c r="CX88" s="62">
        <f t="shared" si="68"/>
        <v>293.33333333333519</v>
      </c>
      <c r="CY88" s="62">
        <f ca="1">AVERAGE(OFFSET($CX$3,0,0,'Données projet'!$E$13+1,1))-AVERAGE(OFFSET($H$3,0,0,'Données projet'!$E$13+1,1))</f>
        <v>321.13335003345236</v>
      </c>
      <c r="CZ88" s="62">
        <f t="shared" si="96"/>
        <v>301.26825075712128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4.4873070926347731</v>
      </c>
      <c r="DH88" s="23">
        <f>EXP(-LN(2)/2)*DH87+(1-EXP(-LN(2)/2))/(LN(2)/2)*DB88*DE88*VLOOKUP('Données projet'!$B$13,Paramètres!$A$1:$I$89,3,0)*0.475*44/12</f>
        <v>5.1952216241656029E-8</v>
      </c>
      <c r="DI88" s="24">
        <f t="shared" si="69"/>
        <v>4.487307144586989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3.8461538461538454</v>
      </c>
      <c r="N89" s="14">
        <f>IF('Données projet'!$A$36&gt;35,N88+M89-V88,IF(A89&lt;'Données projet'!$A$36,$K$205^A89,IF(A89='Données projet'!$A$36,'Données projet'!$B$36,N88+M89-V88)))</f>
        <v>280.76923076923049</v>
      </c>
      <c r="O89" s="14">
        <f>N89*VLOOKUP('Données projet'!$B$9,Paramètres!$A$1:$I$89,3,0)*VLOOKUP('Données projet'!$B$9,Paramètres!$A$1:$I$89,5,0)</f>
        <v>293.45999999999975</v>
      </c>
      <c r="P89" s="14">
        <f t="shared" si="87"/>
        <v>69.803674480051043</v>
      </c>
      <c r="Q89" s="22">
        <f t="shared" si="54"/>
        <v>632.68423305275508</v>
      </c>
      <c r="R89" s="62">
        <f t="shared" si="55"/>
        <v>926.01756638608845</v>
      </c>
      <c r="S89" s="62">
        <f ca="1">AVERAGE(OFFSET($R$3,0,0,'Données projet'!$E$9+1,1))-AVERAGE(OFFSET($H$3,0,0,'Données projet'!$E$9+1,1))</f>
        <v>493.70175665335978</v>
      </c>
      <c r="T89" s="62">
        <f t="shared" si="88"/>
        <v>325.12357781685949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8.7211538461538449</v>
      </c>
      <c r="AI89" s="14">
        <f>IF('Données projet'!$A$62&gt;35,AI88+AH89-AQ88,IF(A89&lt;'Données projet'!$A$62,$AF$205^A89,IF(A89='Données projet'!$A$62,'Données projet'!$B$62,AI88+AH89-AQ88)))</f>
        <v>302.34423076923031</v>
      </c>
      <c r="AJ89" s="14">
        <f>AI89*VLOOKUP('Données projet'!$B$10,Paramètres!$A$1:$I$89,3,0)*VLOOKUP('Données projet'!$B$10,Paramètres!$A$1:$I$89,5,0)</f>
        <v>141.49709999999979</v>
      </c>
      <c r="AK89" s="14">
        <f t="shared" si="89"/>
        <v>36.639757477223611</v>
      </c>
      <c r="AL89" s="22">
        <f t="shared" si="58"/>
        <v>310.25502677283077</v>
      </c>
      <c r="AM89" s="62">
        <f t="shared" si="59"/>
        <v>603.58836010616415</v>
      </c>
      <c r="AN89" s="62">
        <f ca="1">AVERAGE(OFFSET($AM$3,0,0,'Données projet'!$E$10+1,1))-AVERAGE(OFFSET($H$3,0,0,'Données projet'!$E$10+1,1))</f>
        <v>284.0976902574692</v>
      </c>
      <c r="AO89" s="62">
        <f t="shared" si="90"/>
        <v>190.4880882944471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247.55327999999994</v>
      </c>
      <c r="BF89" s="14">
        <f t="shared" si="91"/>
        <v>60.061713068870255</v>
      </c>
      <c r="BG89" s="22">
        <f t="shared" si="61"/>
        <v>535.76277959494894</v>
      </c>
      <c r="BH89" s="62">
        <f t="shared" si="62"/>
        <v>829.09611292828231</v>
      </c>
      <c r="BI89" s="62">
        <f ca="1">AVERAGE(OFFSET($BH$3,0,0,'Données projet'!$E$11+1,1))-AVERAGE(OFFSET($H$3,0,0,'Données projet'!$E$11+1,1))</f>
        <v>428.8489304403459</v>
      </c>
      <c r="BJ89" s="62">
        <f t="shared" si="92"/>
        <v>247.01165577562966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144.05409916132993</v>
      </c>
      <c r="CE89" s="62">
        <f t="shared" si="94"/>
        <v>409.2784174616832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23.895914236264954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23.895914236264954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6.3550942286383367E-14</v>
      </c>
      <c r="CV89" s="14">
        <f t="shared" si="95"/>
        <v>1.0064464192543978E-12</v>
      </c>
      <c r="CW89" s="22">
        <f t="shared" si="67"/>
        <v>1.8635787380168604E-12</v>
      </c>
      <c r="CX89" s="62">
        <f t="shared" si="68"/>
        <v>293.33333333333519</v>
      </c>
      <c r="CY89" s="62">
        <f ca="1">AVERAGE(OFFSET($CX$3,0,0,'Données projet'!$E$13+1,1))-AVERAGE(OFFSET($H$3,0,0,'Données projet'!$E$13+1,1))</f>
        <v>321.13335003345236</v>
      </c>
      <c r="CZ89" s="62">
        <f t="shared" si="96"/>
        <v>301.26825075712128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4.364601444209451</v>
      </c>
      <c r="DH89" s="23">
        <f>EXP(-LN(2)/2)*DH88+(1-EXP(-LN(2)/2))/(LN(2)/2)*DB89*DE89*VLOOKUP('Données projet'!$B$13,Paramètres!$A$1:$I$89,3,0)*0.475*44/12</f>
        <v>3.6735764402144869E-8</v>
      </c>
      <c r="DI89" s="24">
        <f t="shared" si="69"/>
        <v>4.3646014809452156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3.8461538461538454</v>
      </c>
      <c r="N90" s="14">
        <f>IF('Données projet'!$A$36&gt;35,N89+M90-V89,IF(A90&lt;'Données projet'!$A$36,$K$205^A90,IF(A90='Données projet'!$A$36,'Données projet'!$B$36,N89+M90-V89)))</f>
        <v>284.61538461538436</v>
      </c>
      <c r="O90" s="14">
        <f>N90*VLOOKUP('Données projet'!$B$9,Paramètres!$A$1:$I$89,3,0)*VLOOKUP('Données projet'!$B$9,Paramètres!$A$1:$I$89,5,0)</f>
        <v>297.47999999999979</v>
      </c>
      <c r="P90" s="14">
        <f t="shared" si="87"/>
        <v>70.647915600656845</v>
      </c>
      <c r="Q90" s="22">
        <f t="shared" si="54"/>
        <v>641.15611967114364</v>
      </c>
      <c r="R90" s="62">
        <f t="shared" si="55"/>
        <v>934.4894530044769</v>
      </c>
      <c r="S90" s="62">
        <f ca="1">AVERAGE(OFFSET($R$3,0,0,'Données projet'!$E$9+1,1))-AVERAGE(OFFSET($H$3,0,0,'Données projet'!$E$9+1,1))</f>
        <v>493.70175665335978</v>
      </c>
      <c r="T90" s="62">
        <f t="shared" si="88"/>
        <v>325.12357781685949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8.7211538461538449</v>
      </c>
      <c r="AI90" s="14">
        <f>IF('Données projet'!$A$62&gt;35,AI89+AH90-AQ89,IF(A90&lt;'Données projet'!$A$62,$AF$205^A90,IF(A90='Données projet'!$A$62,'Données projet'!$B$62,AI89+AH90-AQ89)))</f>
        <v>311.06538461538418</v>
      </c>
      <c r="AJ90" s="14">
        <f>AI90*VLOOKUP('Données projet'!$B$10,Paramètres!$A$1:$I$89,3,0)*VLOOKUP('Données projet'!$B$10,Paramètres!$A$1:$I$89,5,0)</f>
        <v>145.5785999999998</v>
      </c>
      <c r="AK90" s="14">
        <f t="shared" si="89"/>
        <v>37.572063695955528</v>
      </c>
      <c r="AL90" s="22">
        <f t="shared" si="58"/>
        <v>318.98740593712216</v>
      </c>
      <c r="AM90" s="62">
        <f t="shared" si="59"/>
        <v>612.32073927045553</v>
      </c>
      <c r="AN90" s="62">
        <f ca="1">AVERAGE(OFFSET($AM$3,0,0,'Données projet'!$E$10+1,1))-AVERAGE(OFFSET($H$3,0,0,'Données projet'!$E$10+1,1))</f>
        <v>284.0976902574692</v>
      </c>
      <c r="AO90" s="62">
        <f t="shared" si="90"/>
        <v>190.4880882944471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252.62015999999997</v>
      </c>
      <c r="BF90" s="14">
        <f t="shared" si="91"/>
        <v>61.14666777229877</v>
      </c>
      <c r="BG90" s="22">
        <f t="shared" si="61"/>
        <v>546.47722503675357</v>
      </c>
      <c r="BH90" s="62">
        <f t="shared" si="62"/>
        <v>839.81055837008694</v>
      </c>
      <c r="BI90" s="62">
        <f ca="1">AVERAGE(OFFSET($BH$3,0,0,'Données projet'!$E$11+1,1))-AVERAGE(OFFSET($H$3,0,0,'Données projet'!$E$11+1,1))</f>
        <v>428.8489304403459</v>
      </c>
      <c r="BJ90" s="62">
        <f t="shared" si="92"/>
        <v>247.01165577562966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144.05409916132993</v>
      </c>
      <c r="CE90" s="62">
        <f t="shared" si="94"/>
        <v>409.2784174616832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23.427329933160312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23.427329933160312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6.3550942286383367E-14</v>
      </c>
      <c r="CV90" s="14">
        <f t="shared" si="95"/>
        <v>1.0064464192543978E-12</v>
      </c>
      <c r="CW90" s="22">
        <f t="shared" si="67"/>
        <v>1.8635787380168604E-12</v>
      </c>
      <c r="CX90" s="62">
        <f t="shared" si="68"/>
        <v>293.33333333333519</v>
      </c>
      <c r="CY90" s="62">
        <f ca="1">AVERAGE(OFFSET($CX$3,0,0,'Données projet'!$E$13+1,1))-AVERAGE(OFFSET($H$3,0,0,'Données projet'!$E$13+1,1))</f>
        <v>321.13335003345236</v>
      </c>
      <c r="CZ90" s="62">
        <f t="shared" si="96"/>
        <v>301.26825075712128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4.2452511881931292</v>
      </c>
      <c r="DH90" s="23">
        <f>EXP(-LN(2)/2)*DH89+(1-EXP(-LN(2)/2))/(LN(2)/2)*DB90*DE90*VLOOKUP('Données projet'!$B$13,Paramètres!$A$1:$I$89,3,0)*0.475*44/12</f>
        <v>2.5976108120828014E-8</v>
      </c>
      <c r="DI90" s="24">
        <f t="shared" si="69"/>
        <v>4.2452512141692376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3.8461538461538454</v>
      </c>
      <c r="N91" s="14">
        <f>IF('Données projet'!$A$36&gt;35,N90+M91-V90,IF(A91&lt;'Données projet'!$A$36,$K$205^A91,IF(A91='Données projet'!$A$36,'Données projet'!$B$36,N90+M91-V90)))</f>
        <v>288.46153846153823</v>
      </c>
      <c r="O91" s="14">
        <f>N91*VLOOKUP('Données projet'!$B$9,Paramètres!$A$1:$I$89,3,0)*VLOOKUP('Données projet'!$B$9,Paramètres!$A$1:$I$89,5,0)</f>
        <v>301.49999999999977</v>
      </c>
      <c r="P91" s="14">
        <f t="shared" si="87"/>
        <v>71.490829753972974</v>
      </c>
      <c r="Q91" s="22">
        <f t="shared" si="54"/>
        <v>649.62569515483597</v>
      </c>
      <c r="R91" s="62">
        <f t="shared" si="55"/>
        <v>942.95902848816922</v>
      </c>
      <c r="S91" s="62">
        <f ca="1">AVERAGE(OFFSET($R$3,0,0,'Données projet'!$E$9+1,1))-AVERAGE(OFFSET($H$3,0,0,'Données projet'!$E$9+1,1))</f>
        <v>493.70175665335978</v>
      </c>
      <c r="T91" s="62">
        <f t="shared" si="88"/>
        <v>325.12357781685949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8.7211538461538449</v>
      </c>
      <c r="AI91" s="14">
        <f>IF('Données projet'!$A$62&gt;35,AI90+AH91-AQ90,IF(A91&lt;'Données projet'!$A$62,$AF$205^A91,IF(A91='Données projet'!$A$62,'Données projet'!$B$62,AI90+AH91-AQ90)))</f>
        <v>319.78653846153804</v>
      </c>
      <c r="AJ91" s="14">
        <f>AI91*VLOOKUP('Données projet'!$B$10,Paramètres!$A$1:$I$89,3,0)*VLOOKUP('Données projet'!$B$10,Paramètres!$A$1:$I$89,5,0)</f>
        <v>149.6600999999998</v>
      </c>
      <c r="AK91" s="14">
        <f t="shared" si="89"/>
        <v>38.501331930603463</v>
      </c>
      <c r="AL91" s="22">
        <f t="shared" si="58"/>
        <v>327.71449394580071</v>
      </c>
      <c r="AM91" s="62">
        <f t="shared" si="59"/>
        <v>621.04782727913403</v>
      </c>
      <c r="AN91" s="62">
        <f ca="1">AVERAGE(OFFSET($AM$3,0,0,'Données projet'!$E$10+1,1))-AVERAGE(OFFSET($H$3,0,0,'Données projet'!$E$10+1,1))</f>
        <v>284.0976902574692</v>
      </c>
      <c r="AO91" s="62">
        <f t="shared" si="90"/>
        <v>190.4880882944471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257.68704000000002</v>
      </c>
      <c r="BF91" s="14">
        <f t="shared" si="91"/>
        <v>62.229092239243343</v>
      </c>
      <c r="BG91" s="22">
        <f t="shared" si="61"/>
        <v>557.18726365001555</v>
      </c>
      <c r="BH91" s="62">
        <f t="shared" si="62"/>
        <v>850.52059698334892</v>
      </c>
      <c r="BI91" s="62">
        <f ca="1">AVERAGE(OFFSET($BH$3,0,0,'Données projet'!$E$11+1,1))-AVERAGE(OFFSET($H$3,0,0,'Données projet'!$E$11+1,1))</f>
        <v>428.8489304403459</v>
      </c>
      <c r="BJ91" s="62">
        <f t="shared" si="92"/>
        <v>247.01165577562966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144.05409916132993</v>
      </c>
      <c r="CE91" s="62">
        <f t="shared" si="94"/>
        <v>409.2784174616832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22.967934282431351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22.967934282431351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6.3550942286383367E-14</v>
      </c>
      <c r="CV91" s="14">
        <f t="shared" si="95"/>
        <v>1.0064464192543978E-12</v>
      </c>
      <c r="CW91" s="22">
        <f t="shared" si="67"/>
        <v>1.8635787380168604E-12</v>
      </c>
      <c r="CX91" s="62">
        <f t="shared" si="68"/>
        <v>293.33333333333519</v>
      </c>
      <c r="CY91" s="62">
        <f ca="1">AVERAGE(OFFSET($CX$3,0,0,'Données projet'!$E$13+1,1))-AVERAGE(OFFSET($H$3,0,0,'Données projet'!$E$13+1,1))</f>
        <v>321.13335003345236</v>
      </c>
      <c r="CZ91" s="62">
        <f t="shared" si="96"/>
        <v>301.26825075712128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4.1291645712039307</v>
      </c>
      <c r="DH91" s="23">
        <f>EXP(-LN(2)/2)*DH90+(1-EXP(-LN(2)/2))/(LN(2)/2)*DB91*DE91*VLOOKUP('Données projet'!$B$13,Paramètres!$A$1:$I$89,3,0)*0.475*44/12</f>
        <v>1.8367882201072435E-8</v>
      </c>
      <c r="DI91" s="24">
        <f t="shared" si="69"/>
        <v>4.129164589571813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3.8461538461538454</v>
      </c>
      <c r="N92" s="14">
        <f>IF('Données projet'!$A$36&gt;35,N91+M92-V91,IF(A92&lt;'Données projet'!$A$36,$K$205^A92,IF(A92='Données projet'!$A$36,'Données projet'!$B$36,N91+M92-V91)))</f>
        <v>292.30769230769209</v>
      </c>
      <c r="O92" s="14">
        <f>N92*VLOOKUP('Données projet'!$B$9,Paramètres!$A$1:$I$89,3,0)*VLOOKUP('Données projet'!$B$9,Paramètres!$A$1:$I$89,5,0)</f>
        <v>305.51999999999981</v>
      </c>
      <c r="P92" s="14">
        <f t="shared" si="87"/>
        <v>72.332436678206648</v>
      </c>
      <c r="Q92" s="22">
        <f t="shared" si="54"/>
        <v>658.09299388120962</v>
      </c>
      <c r="R92" s="62">
        <f t="shared" si="55"/>
        <v>951.42632721454288</v>
      </c>
      <c r="S92" s="62">
        <f ca="1">AVERAGE(OFFSET($R$3,0,0,'Données projet'!$E$9+1,1))-AVERAGE(OFFSET($H$3,0,0,'Données projet'!$E$9+1,1))</f>
        <v>493.70175665335978</v>
      </c>
      <c r="T92" s="62">
        <f t="shared" si="88"/>
        <v>325.12357781685949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8.7211538461538449</v>
      </c>
      <c r="AI92" s="14">
        <f>IF('Données projet'!$A$62&gt;35,AI91+AH92-AQ91,IF(A92&lt;'Données projet'!$A$62,$AF$205^A92,IF(A92='Données projet'!$A$62,'Données projet'!$B$62,AI91+AH92-AQ91)))</f>
        <v>328.50769230769191</v>
      </c>
      <c r="AJ92" s="14">
        <f>AI92*VLOOKUP('Données projet'!$B$10,Paramètres!$A$1:$I$89,3,0)*VLOOKUP('Données projet'!$B$10,Paramètres!$A$1:$I$89,5,0)</f>
        <v>153.74159999999981</v>
      </c>
      <c r="AK92" s="14">
        <f t="shared" si="89"/>
        <v>39.427654552879616</v>
      </c>
      <c r="AL92" s="22">
        <f t="shared" si="58"/>
        <v>336.43645167959829</v>
      </c>
      <c r="AM92" s="62">
        <f t="shared" si="59"/>
        <v>629.76978501293161</v>
      </c>
      <c r="AN92" s="62">
        <f ca="1">AVERAGE(OFFSET($AM$3,0,0,'Données projet'!$E$10+1,1))-AVERAGE(OFFSET($H$3,0,0,'Données projet'!$E$10+1,1))</f>
        <v>284.0976902574692</v>
      </c>
      <c r="AO92" s="62">
        <f t="shared" si="90"/>
        <v>190.4880882944471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262.75392000000005</v>
      </c>
      <c r="BF92" s="14">
        <f t="shared" si="91"/>
        <v>63.309041956360382</v>
      </c>
      <c r="BG92" s="22">
        <f t="shared" si="61"/>
        <v>567.89299207399438</v>
      </c>
      <c r="BH92" s="62">
        <f t="shared" si="62"/>
        <v>861.22632540732775</v>
      </c>
      <c r="BI92" s="62">
        <f ca="1">AVERAGE(OFFSET($BH$3,0,0,'Données projet'!$E$11+1,1))-AVERAGE(OFFSET($H$3,0,0,'Données projet'!$E$11+1,1))</f>
        <v>428.8489304403459</v>
      </c>
      <c r="BJ92" s="62">
        <f t="shared" si="92"/>
        <v>247.01165577562966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144.05409916132993</v>
      </c>
      <c r="CE92" s="62">
        <f t="shared" si="94"/>
        <v>409.2784174616832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22.517547100209505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22.517547100209505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6.3550942286383367E-14</v>
      </c>
      <c r="CV92" s="14">
        <f t="shared" si="95"/>
        <v>1.0064464192543978E-12</v>
      </c>
      <c r="CW92" s="22">
        <f t="shared" si="67"/>
        <v>1.8635787380168604E-12</v>
      </c>
      <c r="CX92" s="62">
        <f t="shared" si="68"/>
        <v>293.33333333333519</v>
      </c>
      <c r="CY92" s="62">
        <f ca="1">AVERAGE(OFFSET($CX$3,0,0,'Données projet'!$E$13+1,1))-AVERAGE(OFFSET($H$3,0,0,'Données projet'!$E$13+1,1))</f>
        <v>321.13335003345236</v>
      </c>
      <c r="CZ92" s="62">
        <f t="shared" si="96"/>
        <v>301.26825075712128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4.0162523488610313</v>
      </c>
      <c r="DH92" s="23">
        <f>EXP(-LN(2)/2)*DH91+(1-EXP(-LN(2)/2))/(LN(2)/2)*DB92*DE92*VLOOKUP('Données projet'!$B$13,Paramètres!$A$1:$I$89,3,0)*0.475*44/12</f>
        <v>1.2988054060414007E-8</v>
      </c>
      <c r="DI92" s="24">
        <f t="shared" si="69"/>
        <v>4.0162523618490855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296.15384615384613</v>
      </c>
      <c r="L93" s="13">
        <f>VLOOKUP(A93,'Données projet'!$A$35:$I$55,9,0)</f>
        <v>3.8461538461538454</v>
      </c>
      <c r="M93" s="13">
        <f t="array" ref="M93">INDEX(L:L,MIN(IF(ISNUMBER(L93:L289),ROW(L93:L289),"")))</f>
        <v>3.8461538461538454</v>
      </c>
      <c r="N93" s="14">
        <f>IF('Données projet'!$A$36&gt;35,N92+M93-V92,IF(A93&lt;'Données projet'!$A$36,$K$205^A93,IF(A93='Données projet'!$A$36,'Données projet'!$B$36,N92+M93-V92)))</f>
        <v>296.15384615384596</v>
      </c>
      <c r="O93" s="14">
        <f>N93*VLOOKUP('Données projet'!$B$9,Paramètres!$A$1:$I$89,3,0)*VLOOKUP('Données projet'!$B$9,Paramètres!$A$1:$I$89,5,0)</f>
        <v>309.53999999999979</v>
      </c>
      <c r="P93" s="14">
        <f t="shared" si="87"/>
        <v>73.172755562281282</v>
      </c>
      <c r="Q93" s="22">
        <f t="shared" si="54"/>
        <v>666.5580492709729</v>
      </c>
      <c r="R93" s="62">
        <f t="shared" si="55"/>
        <v>959.89138260430627</v>
      </c>
      <c r="S93" s="62">
        <f ca="1">AVERAGE(OFFSET($R$3,0,0,'Données projet'!$E$9+1,1))-AVERAGE(OFFSET($H$3,0,0,'Données projet'!$E$9+1,1))</f>
        <v>493.70175665335978</v>
      </c>
      <c r="T93" s="62">
        <f t="shared" si="88"/>
        <v>325.12357781685949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21.153846153846153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8.7211538461538449</v>
      </c>
      <c r="AI93" s="14">
        <f>IF('Données projet'!$A$62&gt;35,AI92+AH93-AQ92,IF(A93&lt;'Données projet'!$A$62,$AF$205^A93,IF(A93='Données projet'!$A$62,'Données projet'!$B$62,AI92+AH93-AQ92)))</f>
        <v>337.22884615384578</v>
      </c>
      <c r="AJ93" s="14">
        <f>AI93*VLOOKUP('Données projet'!$B$10,Paramètres!$A$1:$I$89,3,0)*VLOOKUP('Données projet'!$B$10,Paramètres!$A$1:$I$89,5,0)</f>
        <v>157.82309999999981</v>
      </c>
      <c r="AK93" s="14">
        <f t="shared" si="89"/>
        <v>40.35111875069466</v>
      </c>
      <c r="AL93" s="22">
        <f t="shared" si="58"/>
        <v>345.15343099079291</v>
      </c>
      <c r="AM93" s="62">
        <f t="shared" si="59"/>
        <v>638.48676432412617</v>
      </c>
      <c r="AN93" s="62">
        <f ca="1">AVERAGE(OFFSET($AM$3,0,0,'Données projet'!$E$10+1,1))-AVERAGE(OFFSET($H$3,0,0,'Données projet'!$E$10+1,1))</f>
        <v>284.0976902574692</v>
      </c>
      <c r="AO93" s="62">
        <f t="shared" si="90"/>
        <v>190.4880882944471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428.8489304403459</v>
      </c>
      <c r="BJ93" s="62">
        <f t="shared" si="92"/>
        <v>247.01165577562966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144.05409916132993</v>
      </c>
      <c r="CE93" s="62">
        <f t="shared" si="94"/>
        <v>409.2784174616832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22.075991735921974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22.075991735921974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6.3550942286383367E-14</v>
      </c>
      <c r="CV93" s="14">
        <f t="shared" si="95"/>
        <v>1.0064464192543978E-12</v>
      </c>
      <c r="CW93" s="22">
        <f t="shared" si="67"/>
        <v>1.8635787380168604E-12</v>
      </c>
      <c r="CX93" s="62">
        <f t="shared" si="68"/>
        <v>293.33333333333519</v>
      </c>
      <c r="CY93" s="62">
        <f ca="1">AVERAGE(OFFSET($CX$3,0,0,'Données projet'!$E$13+1,1))-AVERAGE(OFFSET($H$3,0,0,'Données projet'!$E$13+1,1))</f>
        <v>321.13335003345236</v>
      </c>
      <c r="CZ93" s="62">
        <f t="shared" si="96"/>
        <v>301.26825075712128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3.9064277171758945</v>
      </c>
      <c r="DH93" s="23">
        <f>EXP(-LN(2)/2)*DH92+(1-EXP(-LN(2)/2))/(LN(2)/2)*DB93*DE93*VLOOKUP('Données projet'!$B$13,Paramètres!$A$1:$I$89,3,0)*0.475*44/12</f>
        <v>9.1839411005362173E-9</v>
      </c>
      <c r="DI93" s="24">
        <f t="shared" si="69"/>
        <v>3.9064277263598357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3.4615384615384586</v>
      </c>
      <c r="N94" s="14">
        <f>IF('Données projet'!$A$36&gt;35,N93+M94-V93,IF(A94&lt;'Données projet'!$A$36,$K$205^A94,IF(A94='Données projet'!$A$36,'Données projet'!$B$36,N93+M94-V93)))</f>
        <v>278.46153846153828</v>
      </c>
      <c r="O94" s="14">
        <f>N94*VLOOKUP('Données projet'!$B$9,Paramètres!$A$1:$I$89,3,0)*VLOOKUP('Données projet'!$B$9,Paramètres!$A$1:$I$89,5,0)</f>
        <v>291.04799999999983</v>
      </c>
      <c r="P94" s="14">
        <f t="shared" si="87"/>
        <v>69.296484438588436</v>
      </c>
      <c r="Q94" s="22">
        <f t="shared" si="54"/>
        <v>627.59997706387446</v>
      </c>
      <c r="R94" s="62">
        <f t="shared" si="55"/>
        <v>920.93331039720783</v>
      </c>
      <c r="S94" s="62">
        <f ca="1">AVERAGE(OFFSET($R$3,0,0,'Données projet'!$E$9+1,1))-AVERAGE(OFFSET($H$3,0,0,'Données projet'!$E$9+1,1))</f>
        <v>493.70175665335978</v>
      </c>
      <c r="T94" s="62">
        <f t="shared" si="88"/>
        <v>325.12357781685949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8.7211538461538449</v>
      </c>
      <c r="AI94" s="14">
        <f>IF('Données projet'!$A$62&gt;35,AI93+AH94-AQ93,IF(A94&lt;'Données projet'!$A$62,$AF$205^A94,IF(A94='Données projet'!$A$62,'Données projet'!$B$62,AI93+AH94-AQ93)))</f>
        <v>345.94999999999965</v>
      </c>
      <c r="AJ94" s="14">
        <f>AI94*VLOOKUP('Données projet'!$B$10,Paramètres!$A$1:$I$89,3,0)*VLOOKUP('Données projet'!$B$10,Paramètres!$A$1:$I$89,5,0)</f>
        <v>161.90459999999985</v>
      </c>
      <c r="AK94" s="14">
        <f t="shared" si="89"/>
        <v>41.271806945500543</v>
      </c>
      <c r="AL94" s="22">
        <f t="shared" si="58"/>
        <v>353.86557543007984</v>
      </c>
      <c r="AM94" s="62">
        <f t="shared" si="59"/>
        <v>647.1989087634131</v>
      </c>
      <c r="AN94" s="62">
        <f ca="1">AVERAGE(OFFSET($AM$3,0,0,'Données projet'!$E$10+1,1))-AVERAGE(OFFSET($H$3,0,0,'Données projet'!$E$10+1,1))</f>
        <v>284.0976902574692</v>
      </c>
      <c r="AO94" s="62">
        <f t="shared" si="90"/>
        <v>190.4880882944471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234.25272000000001</v>
      </c>
      <c r="BF94" s="14">
        <f t="shared" si="91"/>
        <v>57.201236231171301</v>
      </c>
      <c r="BG94" s="22">
        <f t="shared" si="61"/>
        <v>507.61564043595672</v>
      </c>
      <c r="BH94" s="62">
        <f t="shared" si="62"/>
        <v>800.94897376928998</v>
      </c>
      <c r="BI94" s="62">
        <f ca="1">AVERAGE(OFFSET($BH$3,0,0,'Données projet'!$E$11+1,1))-AVERAGE(OFFSET($H$3,0,0,'Données projet'!$E$11+1,1))</f>
        <v>428.8489304403459</v>
      </c>
      <c r="BJ94" s="62">
        <f t="shared" si="92"/>
        <v>247.01165577562966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144.05409916132993</v>
      </c>
      <c r="CE94" s="62">
        <f t="shared" si="94"/>
        <v>409.2784174616832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21.643095003005943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21.643095003005943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6.3550942286383367E-14</v>
      </c>
      <c r="CV94" s="14">
        <f t="shared" si="95"/>
        <v>1.0064464192543978E-12</v>
      </c>
      <c r="CW94" s="22">
        <f t="shared" si="67"/>
        <v>1.8635787380168604E-12</v>
      </c>
      <c r="CX94" s="62">
        <f t="shared" si="68"/>
        <v>293.33333333333519</v>
      </c>
      <c r="CY94" s="62">
        <f ca="1">AVERAGE(OFFSET($CX$3,0,0,'Données projet'!$E$13+1,1))-AVERAGE(OFFSET($H$3,0,0,'Données projet'!$E$13+1,1))</f>
        <v>321.13335003345236</v>
      </c>
      <c r="CZ94" s="62">
        <f t="shared" si="96"/>
        <v>301.26825075712128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3.7996062458196143</v>
      </c>
      <c r="DH94" s="23">
        <f>EXP(-LN(2)/2)*DH93+(1-EXP(-LN(2)/2))/(LN(2)/2)*DB94*DE94*VLOOKUP('Données projet'!$B$13,Paramètres!$A$1:$I$89,3,0)*0.475*44/12</f>
        <v>6.4940270302070036E-9</v>
      </c>
      <c r="DI94" s="24">
        <f t="shared" si="69"/>
        <v>3.7996062523136414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3.4615384615384586</v>
      </c>
      <c r="N95" s="14">
        <f>IF('Données projet'!$A$36&gt;35,N94+M95-V94,IF(A95&lt;'Données projet'!$A$36,$K$205^A95,IF(A95='Données projet'!$A$36,'Données projet'!$B$36,N94+M95-V94)))</f>
        <v>281.92307692307674</v>
      </c>
      <c r="O95" s="14">
        <f>N95*VLOOKUP('Données projet'!$B$9,Paramètres!$A$1:$I$89,3,0)*VLOOKUP('Données projet'!$B$9,Paramètres!$A$1:$I$89,5,0)</f>
        <v>294.66599999999983</v>
      </c>
      <c r="P95" s="14">
        <f t="shared" si="87"/>
        <v>70.057087344971222</v>
      </c>
      <c r="Q95" s="22">
        <f t="shared" si="54"/>
        <v>635.22604379249128</v>
      </c>
      <c r="R95" s="62">
        <f t="shared" si="55"/>
        <v>928.55937712582454</v>
      </c>
      <c r="S95" s="62">
        <f ca="1">AVERAGE(OFFSET($R$3,0,0,'Données projet'!$E$9+1,1))-AVERAGE(OFFSET($H$3,0,0,'Données projet'!$E$9+1,1))</f>
        <v>493.70175665335978</v>
      </c>
      <c r="T95" s="62">
        <f t="shared" si="88"/>
        <v>325.12357781685949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8.7211538461538449</v>
      </c>
      <c r="AI95" s="14">
        <f>IF('Données projet'!$A$62&gt;35,AI94+AH95-AQ94,IF(A95&lt;'Données projet'!$A$62,$AF$205^A95,IF(A95='Données projet'!$A$62,'Données projet'!$B$62,AI94+AH95-AQ94)))</f>
        <v>354.67115384615352</v>
      </c>
      <c r="AJ95" s="14">
        <f>AI95*VLOOKUP('Données projet'!$B$10,Paramètres!$A$1:$I$89,3,0)*VLOOKUP('Données projet'!$B$10,Paramètres!$A$1:$I$89,5,0)</f>
        <v>165.98609999999985</v>
      </c>
      <c r="AK95" s="14">
        <f t="shared" si="89"/>
        <v>42.18979716636489</v>
      </c>
      <c r="AL95" s="22">
        <f t="shared" si="58"/>
        <v>362.57302089808519</v>
      </c>
      <c r="AM95" s="62">
        <f t="shared" si="59"/>
        <v>655.9063542314185</v>
      </c>
      <c r="AN95" s="62">
        <f ca="1">AVERAGE(OFFSET($AM$3,0,0,'Données projet'!$E$10+1,1))-AVERAGE(OFFSET($H$3,0,0,'Données projet'!$E$10+1,1))</f>
        <v>284.0976902574692</v>
      </c>
      <c r="AO95" s="62">
        <f t="shared" si="90"/>
        <v>190.4880882944471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238.68624</v>
      </c>
      <c r="BF95" s="14">
        <f t="shared" si="91"/>
        <v>58.156778382060871</v>
      </c>
      <c r="BG95" s="22">
        <f t="shared" si="61"/>
        <v>517.00159034875594</v>
      </c>
      <c r="BH95" s="62">
        <f t="shared" si="62"/>
        <v>810.33492368208931</v>
      </c>
      <c r="BI95" s="62">
        <f ca="1">AVERAGE(OFFSET($BH$3,0,0,'Données projet'!$E$11+1,1))-AVERAGE(OFFSET($H$3,0,0,'Données projet'!$E$11+1,1))</f>
        <v>428.8489304403459</v>
      </c>
      <c r="BJ95" s="62">
        <f t="shared" si="92"/>
        <v>247.01165577562966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144.05409916132993</v>
      </c>
      <c r="CE95" s="62">
        <f t="shared" si="94"/>
        <v>409.2784174616832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21.21868711098146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21.21868711098146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6.3550942286383367E-14</v>
      </c>
      <c r="CV95" s="14">
        <f t="shared" si="95"/>
        <v>1.0064464192543978E-12</v>
      </c>
      <c r="CW95" s="22">
        <f t="shared" si="67"/>
        <v>1.8635787380168604E-12</v>
      </c>
      <c r="CX95" s="62">
        <f t="shared" si="68"/>
        <v>293.33333333333519</v>
      </c>
      <c r="CY95" s="62">
        <f ca="1">AVERAGE(OFFSET($CX$3,0,0,'Données projet'!$E$13+1,1))-AVERAGE(OFFSET($H$3,0,0,'Données projet'!$E$13+1,1))</f>
        <v>321.13335003345236</v>
      </c>
      <c r="CZ95" s="62">
        <f t="shared" si="96"/>
        <v>301.26825075712128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3.6957058132150684</v>
      </c>
      <c r="DH95" s="23">
        <f>EXP(-LN(2)/2)*DH94+(1-EXP(-LN(2)/2))/(LN(2)/2)*DB95*DE95*VLOOKUP('Données projet'!$B$13,Paramètres!$A$1:$I$89,3,0)*0.475*44/12</f>
        <v>4.5919705502681087E-9</v>
      </c>
      <c r="DI95" s="24">
        <f t="shared" si="69"/>
        <v>3.6957058178070388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3.4615384615384586</v>
      </c>
      <c r="N96" s="14">
        <f>IF('Données projet'!$A$36&gt;35,N95+M96-V95,IF(A96&lt;'Données projet'!$A$36,$K$205^A96,IF(A96='Données projet'!$A$36,'Données projet'!$B$36,N95+M96-V95)))</f>
        <v>285.38461538461519</v>
      </c>
      <c r="O96" s="14">
        <f>N96*VLOOKUP('Données projet'!$B$9,Paramètres!$A$1:$I$89,3,0)*VLOOKUP('Données projet'!$B$9,Paramètres!$A$1:$I$89,5,0)</f>
        <v>298.28399999999982</v>
      </c>
      <c r="P96" s="14">
        <f t="shared" si="87"/>
        <v>70.816603948985517</v>
      </c>
      <c r="Q96" s="22">
        <f t="shared" si="54"/>
        <v>642.8502185444828</v>
      </c>
      <c r="R96" s="62">
        <f t="shared" si="55"/>
        <v>936.18355187781617</v>
      </c>
      <c r="S96" s="62">
        <f ca="1">AVERAGE(OFFSET($R$3,0,0,'Données projet'!$E$9+1,1))-AVERAGE(OFFSET($H$3,0,0,'Données projet'!$E$9+1,1))</f>
        <v>493.70175665335978</v>
      </c>
      <c r="T96" s="62">
        <f t="shared" si="88"/>
        <v>325.12357781685949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8.7211538461538449</v>
      </c>
      <c r="AI96" s="14">
        <f>IF('Données projet'!$A$62&gt;35,AI95+AH96-AQ95,IF(A96&lt;'Données projet'!$A$62,$AF$205^A96,IF(A96='Données projet'!$A$62,'Données projet'!$B$62,AI95+AH96-AQ95)))</f>
        <v>363.39230769230738</v>
      </c>
      <c r="AJ96" s="14">
        <f>AI96*VLOOKUP('Données projet'!$B$10,Paramètres!$A$1:$I$89,3,0)*VLOOKUP('Données projet'!$B$10,Paramètres!$A$1:$I$89,5,0)</f>
        <v>170.06759999999986</v>
      </c>
      <c r="AK96" s="14">
        <f t="shared" si="89"/>
        <v>43.105163386216752</v>
      </c>
      <c r="AL96" s="22">
        <f t="shared" si="58"/>
        <v>371.27589623099385</v>
      </c>
      <c r="AM96" s="62">
        <f t="shared" si="59"/>
        <v>664.60922956432717</v>
      </c>
      <c r="AN96" s="62">
        <f ca="1">AVERAGE(OFFSET($AM$3,0,0,'Données projet'!$E$10+1,1))-AVERAGE(OFFSET($H$3,0,0,'Données projet'!$E$10+1,1))</f>
        <v>284.0976902574692</v>
      </c>
      <c r="AO96" s="62">
        <f t="shared" si="90"/>
        <v>190.4880882944471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243.11975999999996</v>
      </c>
      <c r="BF96" s="14">
        <f t="shared" si="91"/>
        <v>59.110256668778533</v>
      </c>
      <c r="BG96" s="22">
        <f t="shared" si="61"/>
        <v>526.3839456981226</v>
      </c>
      <c r="BH96" s="62">
        <f t="shared" si="62"/>
        <v>819.71727903145597</v>
      </c>
      <c r="BI96" s="62">
        <f ca="1">AVERAGE(OFFSET($BH$3,0,0,'Données projet'!$E$11+1,1))-AVERAGE(OFFSET($H$3,0,0,'Données projet'!$E$11+1,1))</f>
        <v>428.8489304403459</v>
      </c>
      <c r="BJ96" s="62">
        <f t="shared" si="92"/>
        <v>247.01165577562966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144.05409916132993</v>
      </c>
      <c r="CE96" s="62">
        <f t="shared" si="94"/>
        <v>409.2784174616832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20.802601598856324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20.802601598856324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6.3550942286383367E-14</v>
      </c>
      <c r="CV96" s="14">
        <f t="shared" si="95"/>
        <v>1.0064464192543978E-12</v>
      </c>
      <c r="CW96" s="22">
        <f t="shared" si="67"/>
        <v>1.8635787380168604E-12</v>
      </c>
      <c r="CX96" s="62">
        <f t="shared" si="68"/>
        <v>293.33333333333519</v>
      </c>
      <c r="CY96" s="62">
        <f ca="1">AVERAGE(OFFSET($CX$3,0,0,'Données projet'!$E$13+1,1))-AVERAGE(OFFSET($H$3,0,0,'Données projet'!$E$13+1,1))</f>
        <v>321.13335003345236</v>
      </c>
      <c r="CZ96" s="62">
        <f t="shared" si="96"/>
        <v>301.26825075712128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3.5946465434039805</v>
      </c>
      <c r="DH96" s="23">
        <f>EXP(-LN(2)/2)*DH95+(1-EXP(-LN(2)/2))/(LN(2)/2)*DB96*DE96*VLOOKUP('Données projet'!$B$13,Paramètres!$A$1:$I$89,3,0)*0.475*44/12</f>
        <v>3.2470135151035018E-9</v>
      </c>
      <c r="DI96" s="24">
        <f t="shared" si="69"/>
        <v>3.5946465466509938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3.4615384615384586</v>
      </c>
      <c r="N97" s="14">
        <f>IF('Données projet'!$A$36&gt;35,N96+M97-V96,IF(A97&lt;'Données projet'!$A$36,$K$205^A97,IF(A97='Données projet'!$A$36,'Données projet'!$B$36,N96+M97-V96)))</f>
        <v>288.84615384615364</v>
      </c>
      <c r="O97" s="14">
        <f>N97*VLOOKUP('Données projet'!$B$9,Paramètres!$A$1:$I$89,3,0)*VLOOKUP('Données projet'!$B$9,Paramètres!$A$1:$I$89,5,0)</f>
        <v>301.90199999999982</v>
      </c>
      <c r="P97" s="14">
        <f t="shared" si="87"/>
        <v>71.575048950857877</v>
      </c>
      <c r="Q97" s="22">
        <f t="shared" si="54"/>
        <v>650.47252692274378</v>
      </c>
      <c r="R97" s="62">
        <f t="shared" si="55"/>
        <v>943.80586025607704</v>
      </c>
      <c r="S97" s="62">
        <f ca="1">AVERAGE(OFFSET($R$3,0,0,'Données projet'!$E$9+1,1))-AVERAGE(OFFSET($H$3,0,0,'Données projet'!$E$9+1,1))</f>
        <v>493.70175665335978</v>
      </c>
      <c r="T97" s="62">
        <f t="shared" si="88"/>
        <v>325.12357781685949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8.7211538461538449</v>
      </c>
      <c r="AI97" s="14">
        <f>IF('Données projet'!$A$62&gt;35,AI96+AH97-AQ96,IF(A97&lt;'Données projet'!$A$62,$AF$205^A97,IF(A97='Données projet'!$A$62,'Données projet'!$B$62,AI96+AH97-AQ96)))</f>
        <v>372.11346153846125</v>
      </c>
      <c r="AJ97" s="14">
        <f>AI97*VLOOKUP('Données projet'!$B$10,Paramètres!$A$1:$I$89,3,0)*VLOOKUP('Données projet'!$B$10,Paramètres!$A$1:$I$89,5,0)</f>
        <v>174.14909999999986</v>
      </c>
      <c r="AK97" s="14">
        <f t="shared" si="89"/>
        <v>44.017975824904781</v>
      </c>
      <c r="AL97" s="22">
        <f t="shared" si="58"/>
        <v>379.97432372837557</v>
      </c>
      <c r="AM97" s="62">
        <f t="shared" si="59"/>
        <v>673.30765706170882</v>
      </c>
      <c r="AN97" s="62">
        <f ca="1">AVERAGE(OFFSET($AM$3,0,0,'Données projet'!$E$10+1,1))-AVERAGE(OFFSET($H$3,0,0,'Données projet'!$E$10+1,1))</f>
        <v>284.0976902574692</v>
      </c>
      <c r="AO97" s="62">
        <f t="shared" si="90"/>
        <v>190.4880882944471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247.55327999999994</v>
      </c>
      <c r="BF97" s="14">
        <f t="shared" si="91"/>
        <v>60.061713068870255</v>
      </c>
      <c r="BG97" s="22">
        <f t="shared" si="61"/>
        <v>535.76277959494894</v>
      </c>
      <c r="BH97" s="62">
        <f t="shared" si="62"/>
        <v>829.09611292828231</v>
      </c>
      <c r="BI97" s="62">
        <f ca="1">AVERAGE(OFFSET($BH$3,0,0,'Données projet'!$E$11+1,1))-AVERAGE(OFFSET($H$3,0,0,'Données projet'!$E$11+1,1))</f>
        <v>428.8489304403459</v>
      </c>
      <c r="BJ97" s="62">
        <f t="shared" si="92"/>
        <v>247.01165577562966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144.05409916132993</v>
      </c>
      <c r="CE97" s="62">
        <f t="shared" si="94"/>
        <v>409.2784174616832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20.394675269836856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20.394675269836856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6.3550942286383367E-14</v>
      </c>
      <c r="CV97" s="14">
        <f t="shared" si="95"/>
        <v>1.0064464192543978E-12</v>
      </c>
      <c r="CW97" s="22">
        <f t="shared" si="67"/>
        <v>1.8635787380168604E-12</v>
      </c>
      <c r="CX97" s="62">
        <f t="shared" si="68"/>
        <v>293.33333333333519</v>
      </c>
      <c r="CY97" s="62">
        <f ca="1">AVERAGE(OFFSET($CX$3,0,0,'Données projet'!$E$13+1,1))-AVERAGE(OFFSET($H$3,0,0,'Données projet'!$E$13+1,1))</f>
        <v>321.13335003345236</v>
      </c>
      <c r="CZ97" s="62">
        <f t="shared" si="96"/>
        <v>301.26825075712128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3.4963507446403526</v>
      </c>
      <c r="DH97" s="23">
        <f>EXP(-LN(2)/2)*DH96+(1-EXP(-LN(2)/2))/(LN(2)/2)*DB97*DE97*VLOOKUP('Données projet'!$B$13,Paramètres!$A$1:$I$89,3,0)*0.475*44/12</f>
        <v>2.2959852751340543E-9</v>
      </c>
      <c r="DI97" s="24">
        <f t="shared" si="69"/>
        <v>3.4963507469363377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3.4615384615384586</v>
      </c>
      <c r="N98" s="14">
        <f>IF('Données projet'!$A$36&gt;35,N97+M98-V97,IF(A98&lt;'Données projet'!$A$36,$K$205^A98,IF(A98='Données projet'!$A$36,'Données projet'!$B$36,N97+M98-V97)))</f>
        <v>292.30769230769209</v>
      </c>
      <c r="O98" s="14">
        <f>N98*VLOOKUP('Données projet'!$B$9,Paramètres!$A$1:$I$89,3,0)*VLOOKUP('Données projet'!$B$9,Paramètres!$A$1:$I$89,5,0)</f>
        <v>305.51999999999981</v>
      </c>
      <c r="P98" s="14">
        <f t="shared" si="87"/>
        <v>72.332436678206648</v>
      </c>
      <c r="Q98" s="22">
        <f t="shared" si="54"/>
        <v>658.09299388120962</v>
      </c>
      <c r="R98" s="62">
        <f t="shared" si="55"/>
        <v>951.42632721454288</v>
      </c>
      <c r="S98" s="62">
        <f ca="1">AVERAGE(OFFSET($R$3,0,0,'Données projet'!$E$9+1,1))-AVERAGE(OFFSET($H$3,0,0,'Données projet'!$E$9+1,1))</f>
        <v>493.70175665335978</v>
      </c>
      <c r="T98" s="62">
        <f t="shared" si="88"/>
        <v>325.12357781685949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8.7211538461538449</v>
      </c>
      <c r="AI98" s="14">
        <f>IF('Données projet'!$A$62&gt;35,AI97+AH98-AQ97,IF(A98&lt;'Données projet'!$A$62,$AF$205^A98,IF(A98='Données projet'!$A$62,'Données projet'!$B$62,AI97+AH98-AQ97)))</f>
        <v>380.83461538461512</v>
      </c>
      <c r="AJ98" s="14">
        <f>AI98*VLOOKUP('Données projet'!$B$10,Paramètres!$A$1:$I$89,3,0)*VLOOKUP('Données projet'!$B$10,Paramètres!$A$1:$I$89,5,0)</f>
        <v>178.2305999999999</v>
      </c>
      <c r="AK98" s="14">
        <f t="shared" si="89"/>
        <v>44.928301223043277</v>
      </c>
      <c r="AL98" s="22">
        <f t="shared" si="58"/>
        <v>388.66841963013354</v>
      </c>
      <c r="AM98" s="62">
        <f t="shared" si="59"/>
        <v>682.00175296346686</v>
      </c>
      <c r="AN98" s="62">
        <f ca="1">AVERAGE(OFFSET($AM$3,0,0,'Données projet'!$E$10+1,1))-AVERAGE(OFFSET($H$3,0,0,'Données projet'!$E$10+1,1))</f>
        <v>284.0976902574692</v>
      </c>
      <c r="AO98" s="62">
        <f t="shared" si="90"/>
        <v>190.4880882944471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251.98679999999993</v>
      </c>
      <c r="BF98" s="14">
        <f t="shared" si="91"/>
        <v>61.011187970195053</v>
      </c>
      <c r="BG98" s="22">
        <f t="shared" si="61"/>
        <v>545.13816238142283</v>
      </c>
      <c r="BH98" s="62">
        <f t="shared" si="62"/>
        <v>838.4714957147562</v>
      </c>
      <c r="BI98" s="62">
        <f ca="1">AVERAGE(OFFSET($BH$3,0,0,'Données projet'!$E$11+1,1))-AVERAGE(OFFSET($H$3,0,0,'Données projet'!$E$11+1,1))</f>
        <v>428.8489304403459</v>
      </c>
      <c r="BJ98" s="62">
        <f t="shared" si="92"/>
        <v>247.01165577562966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144.05409916132993</v>
      </c>
      <c r="CE98" s="62">
        <f t="shared" si="94"/>
        <v>409.2784174616832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19.994748127318971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19.994748127318971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6.3550942286383367E-14</v>
      </c>
      <c r="CV98" s="14">
        <f t="shared" si="95"/>
        <v>1.0064464192543978E-12</v>
      </c>
      <c r="CW98" s="22">
        <f t="shared" si="67"/>
        <v>1.8635787380168604E-12</v>
      </c>
      <c r="CX98" s="62">
        <f t="shared" si="68"/>
        <v>293.33333333333519</v>
      </c>
      <c r="CY98" s="62">
        <f ca="1">AVERAGE(OFFSET($CX$3,0,0,'Données projet'!$E$13+1,1))-AVERAGE(OFFSET($H$3,0,0,'Données projet'!$E$13+1,1))</f>
        <v>321.13335003345236</v>
      </c>
      <c r="CZ98" s="62">
        <f t="shared" si="96"/>
        <v>301.26825075712128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3.4007428496630676</v>
      </c>
      <c r="DH98" s="23">
        <f>EXP(-LN(2)/2)*DH97+(1-EXP(-LN(2)/2))/(LN(2)/2)*DB98*DE98*VLOOKUP('Données projet'!$B$13,Paramètres!$A$1:$I$89,3,0)*0.475*44/12</f>
        <v>1.6235067575517509E-9</v>
      </c>
      <c r="DI98" s="24">
        <f t="shared" si="69"/>
        <v>3.4007428512865743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3.4615384615384586</v>
      </c>
      <c r="N99" s="14">
        <f>IF('Données projet'!$A$36&gt;35,N98+M99-V98,IF(A99&lt;'Données projet'!$A$36,$K$205^A99,IF(A99='Données projet'!$A$36,'Données projet'!$B$36,N98+M99-V98)))</f>
        <v>295.76923076923055</v>
      </c>
      <c r="O99" s="14">
        <f>N99*VLOOKUP('Données projet'!$B$9,Paramètres!$A$1:$I$89,3,0)*VLOOKUP('Données projet'!$B$9,Paramètres!$A$1:$I$89,5,0)</f>
        <v>309.13799999999981</v>
      </c>
      <c r="P99" s="14">
        <f t="shared" si="87"/>
        <v>73.088781099784711</v>
      </c>
      <c r="Q99" s="22">
        <f t="shared" ref="Q99:Q130" si="107">(O99+P99)*0.475*44/12</f>
        <v>665.71164374879129</v>
      </c>
      <c r="R99" s="62">
        <f t="shared" si="55"/>
        <v>959.04497708212466</v>
      </c>
      <c r="S99" s="62">
        <f ca="1">AVERAGE(OFFSET($R$3,0,0,'Données projet'!$E$9+1,1))-AVERAGE(OFFSET($H$3,0,0,'Données projet'!$E$9+1,1))</f>
        <v>493.70175665335978</v>
      </c>
      <c r="T99" s="62">
        <f t="shared" si="88"/>
        <v>325.12357781685949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8.7211538461538449</v>
      </c>
      <c r="AI99" s="14">
        <f>IF('Données projet'!$A$62&gt;35,AI98+AH99-AQ98,IF(A99&lt;'Données projet'!$A$62,$AF$205^A99,IF(A99='Données projet'!$A$62,'Données projet'!$B$62,AI98+AH99-AQ98)))</f>
        <v>389.55576923076899</v>
      </c>
      <c r="AJ99" s="14">
        <f>AI99*VLOOKUP('Données projet'!$B$10,Paramètres!$A$1:$I$89,3,0)*VLOOKUP('Données projet'!$B$10,Paramètres!$A$1:$I$89,5,0)</f>
        <v>182.31209999999987</v>
      </c>
      <c r="AK99" s="14">
        <f t="shared" si="89"/>
        <v>45.83620309006804</v>
      </c>
      <c r="AL99" s="22">
        <f t="shared" si="58"/>
        <v>397.35829454853496</v>
      </c>
      <c r="AM99" s="62">
        <f t="shared" si="59"/>
        <v>690.69162788186827</v>
      </c>
      <c r="AN99" s="62">
        <f ca="1">AVERAGE(OFFSET($AM$3,0,0,'Données projet'!$E$10+1,1))-AVERAGE(OFFSET($H$3,0,0,'Données projet'!$E$10+1,1))</f>
        <v>284.0976902574692</v>
      </c>
      <c r="AO99" s="62">
        <f t="shared" si="90"/>
        <v>190.4880882944471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256.42031999999989</v>
      </c>
      <c r="BF99" s="14">
        <f t="shared" si="91"/>
        <v>61.958720258016918</v>
      </c>
      <c r="BG99" s="22">
        <f t="shared" si="61"/>
        <v>554.51016178271254</v>
      </c>
      <c r="BH99" s="62">
        <f t="shared" si="62"/>
        <v>847.84349511604591</v>
      </c>
      <c r="BI99" s="62">
        <f ca="1">AVERAGE(OFFSET($BH$3,0,0,'Données projet'!$E$11+1,1))-AVERAGE(OFFSET($H$3,0,0,'Données projet'!$E$11+1,1))</f>
        <v>428.8489304403459</v>
      </c>
      <c r="BJ99" s="62">
        <f t="shared" si="92"/>
        <v>247.01165577562966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144.05409916132993</v>
      </c>
      <c r="CE99" s="62">
        <f t="shared" si="94"/>
        <v>409.2784174616832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19.602663312134389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19.602663312134389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6.3550942286383367E-14</v>
      </c>
      <c r="CV99" s="14">
        <f t="shared" si="95"/>
        <v>1.0064464192543978E-12</v>
      </c>
      <c r="CW99" s="22">
        <f t="shared" si="67"/>
        <v>1.8635787380168604E-12</v>
      </c>
      <c r="CX99" s="62">
        <f t="shared" si="68"/>
        <v>293.33333333333519</v>
      </c>
      <c r="CY99" s="62">
        <f ca="1">AVERAGE(OFFSET($CX$3,0,0,'Données projet'!$E$13+1,1))-AVERAGE(OFFSET($H$3,0,0,'Données projet'!$E$13+1,1))</f>
        <v>321.13335003345236</v>
      </c>
      <c r="CZ99" s="62">
        <f t="shared" si="96"/>
        <v>301.26825075712128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3.3077493576017369</v>
      </c>
      <c r="DH99" s="23">
        <f>EXP(-LN(2)/2)*DH98+(1-EXP(-LN(2)/2))/(LN(2)/2)*DB99*DE99*VLOOKUP('Données projet'!$B$13,Paramètres!$A$1:$I$89,3,0)*0.475*44/12</f>
        <v>1.1479926375670272E-9</v>
      </c>
      <c r="DI99" s="24">
        <f t="shared" si="69"/>
        <v>3.3077493587497298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3.4615384615384586</v>
      </c>
      <c r="N100" s="14">
        <f>IF('Données projet'!$A$36&gt;35,N99+M100-V99,IF(A100&lt;'Données projet'!$A$36,$K$205^A100,IF(A100='Données projet'!$A$36,'Données projet'!$B$36,N99+M100-V99)))</f>
        <v>299.230769230769</v>
      </c>
      <c r="O100" s="14">
        <f>N100*VLOOKUP('Données projet'!$B$9,Paramètres!$A$1:$I$89,3,0)*VLOOKUP('Données projet'!$B$9,Paramètres!$A$1:$I$89,5,0)</f>
        <v>312.7559999999998</v>
      </c>
      <c r="P100" s="14">
        <f t="shared" si="87"/>
        <v>73.844095838560634</v>
      </c>
      <c r="Q100" s="22">
        <f t="shared" si="107"/>
        <v>673.32850025215942</v>
      </c>
      <c r="R100" s="62">
        <f t="shared" si="55"/>
        <v>966.66183358549279</v>
      </c>
      <c r="S100" s="62">
        <f ca="1">AVERAGE(OFFSET($R$3,0,0,'Données projet'!$E$9+1,1))-AVERAGE(OFFSET($H$3,0,0,'Données projet'!$E$9+1,1))</f>
        <v>493.70175665335978</v>
      </c>
      <c r="T100" s="62">
        <f t="shared" si="88"/>
        <v>325.12357781685949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>
        <f>VLOOKUP(A100,'Données projet'!$A$61:$I$81,2,0)</f>
        <v>398.27692307692308</v>
      </c>
      <c r="AG100" s="13">
        <f>VLOOKUP(A100,'Données projet'!$A$61:$I$81,9,0)</f>
        <v>8.7211538461538449</v>
      </c>
      <c r="AH100" s="13">
        <f t="array" ref="AH100">INDEX(AG:AG,MIN(IF(ISNUMBER(AG100:AG296),ROW(AG100:AG296),"")))</f>
        <v>8.7211538461538449</v>
      </c>
      <c r="AI100" s="14">
        <f>IF('Données projet'!$A$62&gt;35,AI99+AH100-AQ99,IF(A100&lt;'Données projet'!$A$62,$AF$205^A100,IF(A100='Données projet'!$A$62,'Données projet'!$B$62,AI99+AH100-AQ99)))</f>
        <v>398.27692307692286</v>
      </c>
      <c r="AJ100" s="14">
        <f>AI100*VLOOKUP('Données projet'!$B$10,Paramètres!$A$1:$I$89,3,0)*VLOOKUP('Données projet'!$B$10,Paramètres!$A$1:$I$89,5,0)</f>
        <v>186.39359999999988</v>
      </c>
      <c r="AK100" s="14">
        <f t="shared" si="89"/>
        <v>46.741741929451315</v>
      </c>
      <c r="AL100" s="22">
        <f t="shared" si="58"/>
        <v>406.04405386046079</v>
      </c>
      <c r="AM100" s="62">
        <f t="shared" si="59"/>
        <v>699.37738719379411</v>
      </c>
      <c r="AN100" s="62">
        <f ca="1">AVERAGE(OFFSET($AM$3,0,0,'Données projet'!$E$10+1,1))-AVERAGE(OFFSET($H$3,0,0,'Données projet'!$E$10+1,1))</f>
        <v>284.0976902574692</v>
      </c>
      <c r="AO100" s="62">
        <f t="shared" si="90"/>
        <v>190.4880882944471</v>
      </c>
      <c r="AP100" s="16">
        <f>IF(ISNA(VLOOKUP(A100,'Données projet'!$A$61:$I$81,3,0)),0,VLOOKUP(A100,'Données projet'!$A$61:$I$81,3,0))</f>
        <v>5</v>
      </c>
      <c r="AQ100" s="16">
        <f>IF(ISNA(VLOOKUP(A100,'Données projet'!$A$61:$I$81,4,0)),0,VLOOKUP(A100,'Données projet'!$A$61:$I$81,4,0))</f>
        <v>79.669230769230765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260.85383999999993</v>
      </c>
      <c r="BF100" s="14">
        <f t="shared" si="91"/>
        <v>62.904347395903763</v>
      </c>
      <c r="BG100" s="22">
        <f t="shared" si="61"/>
        <v>563.87884304786564</v>
      </c>
      <c r="BH100" s="62">
        <f t="shared" si="62"/>
        <v>857.21217638119901</v>
      </c>
      <c r="BI100" s="62">
        <f ca="1">AVERAGE(OFFSET($BH$3,0,0,'Données projet'!$E$11+1,1))-AVERAGE(OFFSET($H$3,0,0,'Données projet'!$E$11+1,1))</f>
        <v>428.8489304403459</v>
      </c>
      <c r="BJ100" s="62">
        <f t="shared" si="92"/>
        <v>247.01165577562966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144.05409916132993</v>
      </c>
      <c r="CE100" s="62">
        <f t="shared" si="94"/>
        <v>409.2784174616832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19.218267041027453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19.218267041027453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6.3550942286383367E-14</v>
      </c>
      <c r="CV100" s="14">
        <f t="shared" si="95"/>
        <v>1.0064464192543978E-12</v>
      </c>
      <c r="CW100" s="22">
        <f t="shared" si="67"/>
        <v>1.8635787380168604E-12</v>
      </c>
      <c r="CX100" s="62">
        <f t="shared" si="68"/>
        <v>293.33333333333519</v>
      </c>
      <c r="CY100" s="62">
        <f ca="1">AVERAGE(OFFSET($CX$3,0,0,'Données projet'!$E$13+1,1))-AVERAGE(OFFSET($H$3,0,0,'Données projet'!$E$13+1,1))</f>
        <v>321.13335003345236</v>
      </c>
      <c r="CZ100" s="62">
        <f t="shared" si="96"/>
        <v>301.26825075712128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3.2172987774711386</v>
      </c>
      <c r="DH100" s="23">
        <f>EXP(-LN(2)/2)*DH99+(1-EXP(-LN(2)/2))/(LN(2)/2)*DB100*DE100*VLOOKUP('Données projet'!$B$13,Paramètres!$A$1:$I$89,3,0)*0.475*44/12</f>
        <v>8.1175337877587545E-10</v>
      </c>
      <c r="DI100" s="24">
        <f t="shared" si="69"/>
        <v>3.2172987782828919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3.4615384615384586</v>
      </c>
      <c r="N101" s="14">
        <f>IF('Données projet'!$A$36&gt;35,N100+M101-V100,IF(A101&lt;'Données projet'!$A$36,$K$205^A101,IF(A101='Données projet'!$A$36,'Données projet'!$B$36,N100+M101-V100)))</f>
        <v>302.69230769230745</v>
      </c>
      <c r="O101" s="14">
        <f>N101*VLOOKUP('Données projet'!$B$9,Paramètres!$A$1:$I$89,3,0)*VLOOKUP('Données projet'!$B$9,Paramètres!$A$1:$I$89,5,0)</f>
        <v>316.37399999999974</v>
      </c>
      <c r="P101" s="14">
        <f t="shared" si="87"/>
        <v>74.598394184177479</v>
      </c>
      <c r="Q101" s="22">
        <f t="shared" si="107"/>
        <v>680.943586537442</v>
      </c>
      <c r="R101" s="62">
        <f t="shared" si="55"/>
        <v>974.27691987077537</v>
      </c>
      <c r="S101" s="62">
        <f ca="1">AVERAGE(OFFSET($R$3,0,0,'Données projet'!$E$9+1,1))-AVERAGE(OFFSET($H$3,0,0,'Données projet'!$E$9+1,1))</f>
        <v>493.70175665335978</v>
      </c>
      <c r="T101" s="62">
        <f t="shared" si="88"/>
        <v>325.12357781685949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7.882692307692305</v>
      </c>
      <c r="AI101" s="14">
        <f>IF('Données projet'!$A$62&gt;35,AI100+AH101-AQ100,IF(A101&lt;'Données projet'!$A$62,$AF$205^A101,IF(A101='Données projet'!$A$62,'Données projet'!$B$62,AI100+AH101-AQ100)))</f>
        <v>326.49038461538441</v>
      </c>
      <c r="AJ101" s="14">
        <f>AI101*VLOOKUP('Données projet'!$B$10,Paramètres!$A$1:$I$89,3,0)*VLOOKUP('Données projet'!$B$10,Paramètres!$A$1:$I$89,5,0)</f>
        <v>152.7974999999999</v>
      </c>
      <c r="AK101" s="14">
        <f t="shared" si="89"/>
        <v>39.213642223408868</v>
      </c>
      <c r="AL101" s="22">
        <f t="shared" si="58"/>
        <v>334.41940603910359</v>
      </c>
      <c r="AM101" s="62">
        <f t="shared" si="59"/>
        <v>627.75273937243696</v>
      </c>
      <c r="AN101" s="62">
        <f ca="1">AVERAGE(OFFSET($AM$3,0,0,'Données projet'!$E$10+1,1))-AVERAGE(OFFSET($H$3,0,0,'Données projet'!$E$10+1,1))</f>
        <v>284.0976902574692</v>
      </c>
      <c r="AO101" s="62">
        <f t="shared" si="90"/>
        <v>190.4880882944471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265.28735999999992</v>
      </c>
      <c r="BF101" s="14">
        <f t="shared" si="91"/>
        <v>63.84810550096995</v>
      </c>
      <c r="BG101" s="22">
        <f t="shared" si="61"/>
        <v>573.24426908085582</v>
      </c>
      <c r="BH101" s="62">
        <f t="shared" si="62"/>
        <v>866.57760241418919</v>
      </c>
      <c r="BI101" s="62">
        <f ca="1">AVERAGE(OFFSET($BH$3,0,0,'Données projet'!$E$11+1,1))-AVERAGE(OFFSET($H$3,0,0,'Données projet'!$E$11+1,1))</f>
        <v>428.8489304403459</v>
      </c>
      <c r="BJ101" s="62">
        <f t="shared" si="92"/>
        <v>247.01165577562966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144.05409916132993</v>
      </c>
      <c r="CE101" s="62">
        <f t="shared" si="94"/>
        <v>409.2784174616832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18.84140854633835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18.84140854633835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6.3550942286383367E-14</v>
      </c>
      <c r="CV101" s="14">
        <f t="shared" si="95"/>
        <v>1.0064464192543978E-12</v>
      </c>
      <c r="CW101" s="22">
        <f t="shared" si="67"/>
        <v>1.8635787380168604E-12</v>
      </c>
      <c r="CX101" s="62">
        <f t="shared" si="68"/>
        <v>293.33333333333519</v>
      </c>
      <c r="CY101" s="62">
        <f ca="1">AVERAGE(OFFSET($CX$3,0,0,'Données projet'!$E$13+1,1))-AVERAGE(OFFSET($H$3,0,0,'Données projet'!$E$13+1,1))</f>
        <v>321.13335003345236</v>
      </c>
      <c r="CZ101" s="62">
        <f t="shared" si="96"/>
        <v>301.26825075712128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3.1293215732108006</v>
      </c>
      <c r="DH101" s="23">
        <f>EXP(-LN(2)/2)*DH100+(1-EXP(-LN(2)/2))/(LN(2)/2)*DB101*DE101*VLOOKUP('Données projet'!$B$13,Paramètres!$A$1:$I$89,3,0)*0.475*44/12</f>
        <v>5.7399631878351358E-10</v>
      </c>
      <c r="DI101" s="24">
        <f t="shared" si="69"/>
        <v>3.129321573784797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3.4615384615384586</v>
      </c>
      <c r="N102" s="14">
        <f>IF('Données projet'!$A$36&gt;35,N101+M102-V101,IF(A102&lt;'Données projet'!$A$36,$K$205^A102,IF(A102='Données projet'!$A$36,'Données projet'!$B$36,N101+M102-V101)))</f>
        <v>306.1538461538459</v>
      </c>
      <c r="O102" s="14">
        <f>N102*VLOOKUP('Données projet'!$B$9,Paramètres!$A$1:$I$89,3,0)*VLOOKUP('Données projet'!$B$9,Paramètres!$A$1:$I$89,5,0)</f>
        <v>319.99199999999979</v>
      </c>
      <c r="P102" s="14">
        <f t="shared" si="87"/>
        <v>75.351689104824757</v>
      </c>
      <c r="Q102" s="22">
        <f t="shared" si="107"/>
        <v>688.55692519090269</v>
      </c>
      <c r="R102" s="62">
        <f t="shared" si="55"/>
        <v>981.89025852423606</v>
      </c>
      <c r="S102" s="62">
        <f ca="1">AVERAGE(OFFSET($R$3,0,0,'Données projet'!$E$9+1,1))-AVERAGE(OFFSET($H$3,0,0,'Données projet'!$E$9+1,1))</f>
        <v>493.70175665335978</v>
      </c>
      <c r="T102" s="62">
        <f t="shared" si="88"/>
        <v>325.12357781685949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7.882692307692305</v>
      </c>
      <c r="AI102" s="14">
        <f>IF('Données projet'!$A$62&gt;35,AI101+AH102-AQ101,IF(A102&lt;'Données projet'!$A$62,$AF$205^A102,IF(A102='Données projet'!$A$62,'Données projet'!$B$62,AI101+AH102-AQ101)))</f>
        <v>334.37307692307672</v>
      </c>
      <c r="AJ102" s="14">
        <f>AI102*VLOOKUP('Données projet'!$B$10,Paramètres!$A$1:$I$89,3,0)*VLOOKUP('Données projet'!$B$10,Paramètres!$A$1:$I$89,5,0)</f>
        <v>156.4865999999999</v>
      </c>
      <c r="AK102" s="14">
        <f t="shared" si="89"/>
        <v>40.049037096609155</v>
      </c>
      <c r="AL102" s="22">
        <f t="shared" si="58"/>
        <v>342.29956794326068</v>
      </c>
      <c r="AM102" s="62">
        <f t="shared" si="59"/>
        <v>635.632901276594</v>
      </c>
      <c r="AN102" s="62">
        <f ca="1">AVERAGE(OFFSET($AM$3,0,0,'Données projet'!$E$10+1,1))-AVERAGE(OFFSET($H$3,0,0,'Données projet'!$E$10+1,1))</f>
        <v>284.0976902574692</v>
      </c>
      <c r="AO102" s="62">
        <f t="shared" si="90"/>
        <v>190.4880882944471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269.72087999999985</v>
      </c>
      <c r="BF102" s="14">
        <f t="shared" si="91"/>
        <v>64.790029413946939</v>
      </c>
      <c r="BG102" s="22">
        <f t="shared" si="61"/>
        <v>582.60650056262409</v>
      </c>
      <c r="BH102" s="62">
        <f t="shared" si="62"/>
        <v>875.93983389595746</v>
      </c>
      <c r="BI102" s="62">
        <f ca="1">AVERAGE(OFFSET($BH$3,0,0,'Données projet'!$E$11+1,1))-AVERAGE(OFFSET($H$3,0,0,'Données projet'!$E$11+1,1))</f>
        <v>428.8489304403459</v>
      </c>
      <c r="BJ102" s="62">
        <f t="shared" si="92"/>
        <v>247.01165577562966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144.05409916132993</v>
      </c>
      <c r="CE102" s="62">
        <f t="shared" si="94"/>
        <v>409.2784174616832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18.471940016869116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18.471940016869116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6.3550942286383367E-14</v>
      </c>
      <c r="CV102" s="14">
        <f t="shared" si="95"/>
        <v>1.0064464192543978E-12</v>
      </c>
      <c r="CW102" s="22">
        <f t="shared" si="67"/>
        <v>1.8635787380168604E-12</v>
      </c>
      <c r="CX102" s="62">
        <f t="shared" si="68"/>
        <v>293.33333333333519</v>
      </c>
      <c r="CY102" s="62">
        <f ca="1">AVERAGE(OFFSET($CX$3,0,0,'Données projet'!$E$13+1,1))-AVERAGE(OFFSET($H$3,0,0,'Données projet'!$E$13+1,1))</f>
        <v>321.13335003345236</v>
      </c>
      <c r="CZ102" s="62">
        <f t="shared" si="96"/>
        <v>301.26825075712128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3.043750110227482</v>
      </c>
      <c r="DH102" s="23">
        <f>EXP(-LN(2)/2)*DH101+(1-EXP(-LN(2)/2))/(LN(2)/2)*DB102*DE102*VLOOKUP('Données projet'!$B$13,Paramètres!$A$1:$I$89,3,0)*0.475*44/12</f>
        <v>4.0587668938793772E-10</v>
      </c>
      <c r="DI102" s="24">
        <f t="shared" si="69"/>
        <v>3.0437501106333587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309.61538461538458</v>
      </c>
      <c r="L103" s="13">
        <f>VLOOKUP(A103,'Données projet'!$A$35:$I$55,9,0)</f>
        <v>3.4615384615384586</v>
      </c>
      <c r="M103" s="13">
        <f t="array" ref="M103">INDEX(L:L,MIN(IF(ISNUMBER(L103:L299),ROW(L103:L299),"")))</f>
        <v>3.4615384615384586</v>
      </c>
      <c r="N103" s="14">
        <f>IF('Données projet'!$A$36&gt;35,N102+M103-V102,IF(A103&lt;'Données projet'!$A$36,$K$205^A103,IF(A103='Données projet'!$A$36,'Données projet'!$B$36,N102+M103-V102)))</f>
        <v>309.61538461538436</v>
      </c>
      <c r="O103" s="14">
        <f>N103*VLOOKUP('Données projet'!$B$9,Paramètres!$A$1:$I$89,3,0)*VLOOKUP('Données projet'!$B$9,Paramètres!$A$1:$I$89,5,0)</f>
        <v>323.60999999999979</v>
      </c>
      <c r="P103" s="14">
        <f t="shared" si="87"/>
        <v>76.103993258558603</v>
      </c>
      <c r="Q103" s="22">
        <f t="shared" si="107"/>
        <v>696.16853825865599</v>
      </c>
      <c r="R103" s="62">
        <f t="shared" si="55"/>
        <v>989.50187159198936</v>
      </c>
      <c r="S103" s="62">
        <f ca="1">AVERAGE(OFFSET($R$3,0,0,'Données projet'!$E$9+1,1))-AVERAGE(OFFSET($H$3,0,0,'Données projet'!$E$9+1,1))</f>
        <v>493.70175665335978</v>
      </c>
      <c r="T103" s="62">
        <f t="shared" si="88"/>
        <v>325.12357781685949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20.512820512820511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7.882692307692305</v>
      </c>
      <c r="AI103" s="14">
        <f>IF('Données projet'!$A$62&gt;35,AI102+AH103-AQ102,IF(A103&lt;'Données projet'!$A$62,$AF$205^A103,IF(A103='Données projet'!$A$62,'Données projet'!$B$62,AI102+AH103-AQ102)))</f>
        <v>342.25576923076903</v>
      </c>
      <c r="AJ103" s="14">
        <f>AI103*VLOOKUP('Données projet'!$B$10,Paramètres!$A$1:$I$89,3,0)*VLOOKUP('Données projet'!$B$10,Paramètres!$A$1:$I$89,5,0)</f>
        <v>160.17569999999992</v>
      </c>
      <c r="AK103" s="14">
        <f t="shared" si="89"/>
        <v>40.882142500403468</v>
      </c>
      <c r="AL103" s="22">
        <f t="shared" si="58"/>
        <v>350.17574235486921</v>
      </c>
      <c r="AM103" s="62">
        <f t="shared" si="59"/>
        <v>643.50907568820253</v>
      </c>
      <c r="AN103" s="62">
        <f ca="1">AVERAGE(OFFSET($AM$3,0,0,'Données projet'!$E$10+1,1))-AVERAGE(OFFSET($H$3,0,0,'Données projet'!$E$10+1,1))</f>
        <v>284.0976902574692</v>
      </c>
      <c r="AO103" s="62">
        <f t="shared" si="90"/>
        <v>190.4880882944471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274.15439999999984</v>
      </c>
      <c r="BF103" s="14">
        <f t="shared" si="91"/>
        <v>65.730152764515779</v>
      </c>
      <c r="BG103" s="22">
        <f t="shared" si="61"/>
        <v>591.9655960648646</v>
      </c>
      <c r="BH103" s="62">
        <f t="shared" si="62"/>
        <v>885.29892939819797</v>
      </c>
      <c r="BI103" s="62">
        <f ca="1">AVERAGE(OFFSET($BH$3,0,0,'Données projet'!$E$11+1,1))-AVERAGE(OFFSET($H$3,0,0,'Données projet'!$E$11+1,1))</f>
        <v>428.8489304403459</v>
      </c>
      <c r="BJ103" s="62">
        <f t="shared" si="92"/>
        <v>247.01165577562966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144.05409916132993</v>
      </c>
      <c r="CE103" s="62">
        <f t="shared" si="94"/>
        <v>409.2784174616832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18.109716539909222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18.109716539909222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6.3550942286383367E-14</v>
      </c>
      <c r="CV103" s="14">
        <f t="shared" si="95"/>
        <v>1.0064464192543978E-12</v>
      </c>
      <c r="CW103" s="22">
        <f t="shared" si="67"/>
        <v>1.8635787380168604E-12</v>
      </c>
      <c r="CX103" s="62">
        <f t="shared" si="68"/>
        <v>293.33333333333519</v>
      </c>
      <c r="CY103" s="62">
        <f ca="1">AVERAGE(OFFSET($CX$3,0,0,'Données projet'!$E$13+1,1))-AVERAGE(OFFSET($H$3,0,0,'Données projet'!$E$13+1,1))</f>
        <v>321.13335003345236</v>
      </c>
      <c r="CZ103" s="62">
        <f t="shared" si="96"/>
        <v>301.26825075712128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2.9605186033994499</v>
      </c>
      <c r="DH103" s="23">
        <f>EXP(-LN(2)/2)*DH102+(1-EXP(-LN(2)/2))/(LN(2)/2)*DB103*DE103*VLOOKUP('Données projet'!$B$13,Paramètres!$A$1:$I$89,3,0)*0.475*44/12</f>
        <v>2.8699815939175679E-10</v>
      </c>
      <c r="DI103" s="24">
        <f t="shared" si="69"/>
        <v>2.9605186036864479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3.2051282051282044</v>
      </c>
      <c r="N104" s="14">
        <f>IF('Données projet'!$A$36&gt;35,N103+M104-V103,IF(A104&lt;'Données projet'!$A$36,$K$205^A104,IF(A104='Données projet'!$A$36,'Données projet'!$B$36,N103+M104-V103)))</f>
        <v>292.30769230769209</v>
      </c>
      <c r="O104" s="14">
        <f>N104*VLOOKUP('Données projet'!$B$9,Paramètres!$A$1:$I$89,3,0)*VLOOKUP('Données projet'!$B$9,Paramètres!$A$1:$I$89,5,0)</f>
        <v>305.51999999999981</v>
      </c>
      <c r="P104" s="14">
        <f t="shared" si="87"/>
        <v>72.332436678206648</v>
      </c>
      <c r="Q104" s="22">
        <f t="shared" si="107"/>
        <v>658.09299388120962</v>
      </c>
      <c r="R104" s="62">
        <f t="shared" si="55"/>
        <v>951.42632721454288</v>
      </c>
      <c r="S104" s="62">
        <f ca="1">AVERAGE(OFFSET($R$3,0,0,'Données projet'!$E$9+1,1))-AVERAGE(OFFSET($H$3,0,0,'Données projet'!$E$9+1,1))</f>
        <v>493.70175665335978</v>
      </c>
      <c r="T104" s="62">
        <f t="shared" si="88"/>
        <v>325.12357781685949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7.882692307692305</v>
      </c>
      <c r="AI104" s="14">
        <f>IF('Données projet'!$A$62&gt;35,AI103+AH104-AQ103,IF(A104&lt;'Données projet'!$A$62,$AF$205^A104,IF(A104='Données projet'!$A$62,'Données projet'!$B$62,AI103+AH104-AQ103)))</f>
        <v>350.13846153846134</v>
      </c>
      <c r="AJ104" s="14">
        <f>AI104*VLOOKUP('Données projet'!$B$10,Paramètres!$A$1:$I$89,3,0)*VLOOKUP('Données projet'!$B$10,Paramètres!$A$1:$I$89,5,0)</f>
        <v>163.86479999999992</v>
      </c>
      <c r="AK104" s="14">
        <f t="shared" si="89"/>
        <v>41.713017234350126</v>
      </c>
      <c r="AL104" s="22">
        <f t="shared" si="58"/>
        <v>358.04803168315965</v>
      </c>
      <c r="AM104" s="62">
        <f t="shared" si="59"/>
        <v>651.38136501649296</v>
      </c>
      <c r="AN104" s="62">
        <f ca="1">AVERAGE(OFFSET($AM$3,0,0,'Données projet'!$E$10+1,1))-AVERAGE(OFFSET($H$3,0,0,'Données projet'!$E$10+1,1))</f>
        <v>284.0976902574692</v>
      </c>
      <c r="AO104" s="62">
        <f t="shared" si="90"/>
        <v>190.4880882944471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240.13391999999982</v>
      </c>
      <c r="BF104" s="14">
        <f t="shared" si="91"/>
        <v>58.468343087048559</v>
      </c>
      <c r="BG104" s="22">
        <f t="shared" si="61"/>
        <v>520.06560820994252</v>
      </c>
      <c r="BH104" s="62">
        <f t="shared" si="62"/>
        <v>813.3989415432759</v>
      </c>
      <c r="BI104" s="62">
        <f ca="1">AVERAGE(OFFSET($BH$3,0,0,'Données projet'!$E$11+1,1))-AVERAGE(OFFSET($H$3,0,0,'Données projet'!$E$11+1,1))</f>
        <v>428.8489304403459</v>
      </c>
      <c r="BJ104" s="62">
        <f t="shared" si="92"/>
        <v>247.01165577562966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144.05409916132993</v>
      </c>
      <c r="CE104" s="62">
        <f t="shared" si="94"/>
        <v>409.2784174616832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17.754596044398006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17.754596044398006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6.3550942286383367E-14</v>
      </c>
      <c r="CV104" s="14">
        <f t="shared" si="95"/>
        <v>1.0064464192543978E-12</v>
      </c>
      <c r="CW104" s="22">
        <f t="shared" si="67"/>
        <v>1.8635787380168604E-12</v>
      </c>
      <c r="CX104" s="62">
        <f t="shared" si="68"/>
        <v>293.33333333333519</v>
      </c>
      <c r="CY104" s="62">
        <f ca="1">AVERAGE(OFFSET($CX$3,0,0,'Données projet'!$E$13+1,1))-AVERAGE(OFFSET($H$3,0,0,'Données projet'!$E$13+1,1))</f>
        <v>321.13335003345236</v>
      </c>
      <c r="CZ104" s="62">
        <f t="shared" si="96"/>
        <v>301.26825075712128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2.8795630665025849</v>
      </c>
      <c r="DH104" s="23">
        <f>EXP(-LN(2)/2)*DH103+(1-EXP(-LN(2)/2))/(LN(2)/2)*DB104*DE104*VLOOKUP('Données projet'!$B$13,Paramètres!$A$1:$I$89,3,0)*0.475*44/12</f>
        <v>2.0293834469396886E-10</v>
      </c>
      <c r="DI104" s="24">
        <f t="shared" si="69"/>
        <v>2.8795630667055234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3.2051282051282044</v>
      </c>
      <c r="N105" s="14">
        <f>IF('Données projet'!$A$36&gt;35,N104+M105-V104,IF(A105&lt;'Données projet'!$A$36,$K$205^A105,IF(A105='Données projet'!$A$36,'Données projet'!$B$36,N104+M105-V104)))</f>
        <v>295.51282051282033</v>
      </c>
      <c r="O105" s="14">
        <f>N105*VLOOKUP('Données projet'!$B$9,Paramètres!$A$1:$I$89,3,0)*VLOOKUP('Données projet'!$B$9,Paramètres!$A$1:$I$89,5,0)</f>
        <v>308.86999999999983</v>
      </c>
      <c r="P105" s="14">
        <f t="shared" si="87"/>
        <v>73.032791063818379</v>
      </c>
      <c r="Q105" s="22">
        <f t="shared" si="107"/>
        <v>665.14736110281672</v>
      </c>
      <c r="R105" s="62">
        <f t="shared" si="55"/>
        <v>958.48069443615009</v>
      </c>
      <c r="S105" s="62">
        <f ca="1">AVERAGE(OFFSET($R$3,0,0,'Données projet'!$E$9+1,1))-AVERAGE(OFFSET($H$3,0,0,'Données projet'!$E$9+1,1))</f>
        <v>493.70175665335978</v>
      </c>
      <c r="T105" s="62">
        <f t="shared" si="88"/>
        <v>325.12357781685949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7.882692307692305</v>
      </c>
      <c r="AI105" s="14">
        <f>IF('Données projet'!$A$62&gt;35,AI104+AH105-AQ104,IF(A105&lt;'Données projet'!$A$62,$AF$205^A105,IF(A105='Données projet'!$A$62,'Données projet'!$B$62,AI104+AH105-AQ104)))</f>
        <v>358.02115384615365</v>
      </c>
      <c r="AJ105" s="14">
        <f>AI105*VLOOKUP('Données projet'!$B$10,Paramètres!$A$1:$I$89,3,0)*VLOOKUP('Données projet'!$B$10,Paramètres!$A$1:$I$89,5,0)</f>
        <v>167.55389999999991</v>
      </c>
      <c r="AK105" s="14">
        <f t="shared" si="89"/>
        <v>42.541717299361231</v>
      </c>
      <c r="AL105" s="22">
        <f t="shared" si="58"/>
        <v>365.91653346305401</v>
      </c>
      <c r="AM105" s="62">
        <f t="shared" si="59"/>
        <v>659.24986679638732</v>
      </c>
      <c r="AN105" s="62">
        <f ca="1">AVERAGE(OFFSET($AM$3,0,0,'Données projet'!$E$10+1,1))-AVERAGE(OFFSET($H$3,0,0,'Données projet'!$E$10+1,1))</f>
        <v>284.0976902574692</v>
      </c>
      <c r="AO105" s="62">
        <f t="shared" si="90"/>
        <v>190.4880882944471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244.11503999999979</v>
      </c>
      <c r="BF105" s="14">
        <f t="shared" si="91"/>
        <v>59.324023461759012</v>
      </c>
      <c r="BG105" s="22">
        <f t="shared" si="61"/>
        <v>528.48970219589648</v>
      </c>
      <c r="BH105" s="62">
        <f t="shared" si="62"/>
        <v>821.82303552922986</v>
      </c>
      <c r="BI105" s="62">
        <f ca="1">AVERAGE(OFFSET($BH$3,0,0,'Données projet'!$E$11+1,1))-AVERAGE(OFFSET($H$3,0,0,'Données projet'!$E$11+1,1))</f>
        <v>428.8489304403459</v>
      </c>
      <c r="BJ105" s="62">
        <f t="shared" si="92"/>
        <v>247.01165577562966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144.05409916132993</v>
      </c>
      <c r="CE105" s="62">
        <f t="shared" si="94"/>
        <v>409.2784174616832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17.40643924520165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17.40643924520165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6.3550942286383367E-14</v>
      </c>
      <c r="CV105" s="14">
        <f t="shared" si="95"/>
        <v>1.0064464192543978E-12</v>
      </c>
      <c r="CW105" s="22">
        <f t="shared" si="67"/>
        <v>1.8635787380168604E-12</v>
      </c>
      <c r="CX105" s="62">
        <f t="shared" si="68"/>
        <v>293.33333333333519</v>
      </c>
      <c r="CY105" s="62">
        <f ca="1">AVERAGE(OFFSET($CX$3,0,0,'Données projet'!$E$13+1,1))-AVERAGE(OFFSET($H$3,0,0,'Données projet'!$E$13+1,1))</f>
        <v>321.13335003345236</v>
      </c>
      <c r="CZ105" s="62">
        <f t="shared" si="96"/>
        <v>301.26825075712128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2.8008212630194311</v>
      </c>
      <c r="DH105" s="23">
        <f>EXP(-LN(2)/2)*DH104+(1-EXP(-LN(2)/2))/(LN(2)/2)*DB105*DE105*VLOOKUP('Données projet'!$B$13,Paramètres!$A$1:$I$89,3,0)*0.475*44/12</f>
        <v>1.434990796958784E-10</v>
      </c>
      <c r="DI105" s="24">
        <f t="shared" si="69"/>
        <v>2.8008212631629301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3.2051282051282044</v>
      </c>
      <c r="N106" s="14">
        <f>IF('Données projet'!$A$36&gt;35,N105+M106-V105,IF(A106&lt;'Données projet'!$A$36,$K$205^A106,IF(A106='Données projet'!$A$36,'Données projet'!$B$36,N105+M106-V105)))</f>
        <v>298.7179487179485</v>
      </c>
      <c r="O106" s="14">
        <f>N106*VLOOKUP('Données projet'!$B$9,Paramètres!$A$1:$I$89,3,0)*VLOOKUP('Données projet'!$B$9,Paramètres!$A$1:$I$89,5,0)</f>
        <v>312.2199999999998</v>
      </c>
      <c r="P106" s="14">
        <f t="shared" si="87"/>
        <v>73.732261810577455</v>
      </c>
      <c r="Q106" s="22">
        <f t="shared" si="107"/>
        <v>672.20018932008873</v>
      </c>
      <c r="R106" s="62">
        <f t="shared" si="55"/>
        <v>965.5335226534221</v>
      </c>
      <c r="S106" s="62">
        <f ca="1">AVERAGE(OFFSET($R$3,0,0,'Données projet'!$E$9+1,1))-AVERAGE(OFFSET($H$3,0,0,'Données projet'!$E$9+1,1))</f>
        <v>493.70175665335978</v>
      </c>
      <c r="T106" s="62">
        <f t="shared" si="88"/>
        <v>325.12357781685949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7.882692307692305</v>
      </c>
      <c r="AI106" s="14">
        <f>IF('Données projet'!$A$62&gt;35,AI105+AH106-AQ105,IF(A106&lt;'Données projet'!$A$62,$AF$205^A106,IF(A106='Données projet'!$A$62,'Données projet'!$B$62,AI105+AH106-AQ105)))</f>
        <v>365.90384615384596</v>
      </c>
      <c r="AJ106" s="14">
        <f>AI106*VLOOKUP('Données projet'!$B$10,Paramètres!$A$1:$I$89,3,0)*VLOOKUP('Données projet'!$B$10,Paramètres!$A$1:$I$89,5,0)</f>
        <v>171.24299999999991</v>
      </c>
      <c r="AK106" s="14">
        <f t="shared" si="89"/>
        <v>43.368296089548437</v>
      </c>
      <c r="AL106" s="22">
        <f t="shared" si="58"/>
        <v>373.78134068929666</v>
      </c>
      <c r="AM106" s="62">
        <f t="shared" si="59"/>
        <v>667.11467402262997</v>
      </c>
      <c r="AN106" s="62">
        <f ca="1">AVERAGE(OFFSET($AM$3,0,0,'Données projet'!$E$10+1,1))-AVERAGE(OFFSET($H$3,0,0,'Données projet'!$E$10+1,1))</f>
        <v>284.0976902574692</v>
      </c>
      <c r="AO106" s="62">
        <f t="shared" si="90"/>
        <v>190.4880882944471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248.0961599999998</v>
      </c>
      <c r="BF106" s="14">
        <f t="shared" si="91"/>
        <v>60.178080967364686</v>
      </c>
      <c r="BG106" s="22">
        <f t="shared" si="61"/>
        <v>536.91096968482657</v>
      </c>
      <c r="BH106" s="62">
        <f t="shared" si="62"/>
        <v>830.24430301815983</v>
      </c>
      <c r="BI106" s="62">
        <f ca="1">AVERAGE(OFFSET($BH$3,0,0,'Données projet'!$E$11+1,1))-AVERAGE(OFFSET($H$3,0,0,'Données projet'!$E$11+1,1))</f>
        <v>428.8489304403459</v>
      </c>
      <c r="BJ106" s="62">
        <f t="shared" si="92"/>
        <v>247.01165577562966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144.05409916132993</v>
      </c>
      <c r="CE106" s="62">
        <f t="shared" si="94"/>
        <v>409.2784174616832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17.065109588482855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17.065109588482855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6.3550942286383367E-14</v>
      </c>
      <c r="CV106" s="14">
        <f t="shared" si="95"/>
        <v>1.0064464192543978E-12</v>
      </c>
      <c r="CW106" s="22">
        <f t="shared" si="67"/>
        <v>1.8635787380168604E-12</v>
      </c>
      <c r="CX106" s="62">
        <f t="shared" si="68"/>
        <v>293.33333333333519</v>
      </c>
      <c r="CY106" s="62">
        <f ca="1">AVERAGE(OFFSET($CX$3,0,0,'Données projet'!$E$13+1,1))-AVERAGE(OFFSET($H$3,0,0,'Données projet'!$E$13+1,1))</f>
        <v>321.13335003345236</v>
      </c>
      <c r="CZ106" s="62">
        <f t="shared" si="96"/>
        <v>301.26825075712128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2.724232658293376</v>
      </c>
      <c r="DH106" s="23">
        <f>EXP(-LN(2)/2)*DH105+(1-EXP(-LN(2)/2))/(LN(2)/2)*DB106*DE106*VLOOKUP('Données projet'!$B$13,Paramètres!$A$1:$I$89,3,0)*0.475*44/12</f>
        <v>1.0146917234698443E-10</v>
      </c>
      <c r="DI106" s="24">
        <f t="shared" si="69"/>
        <v>2.7242326583948451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3.2051282051282044</v>
      </c>
      <c r="N107" s="14">
        <f>IF('Données projet'!$A$36&gt;35,N106+M107-V106,IF(A107&lt;'Données projet'!$A$36,$K$205^A107,IF(A107='Données projet'!$A$36,'Données projet'!$B$36,N106+M107-V106)))</f>
        <v>301.92307692307668</v>
      </c>
      <c r="O107" s="14">
        <f>N107*VLOOKUP('Données projet'!$B$9,Paramètres!$A$1:$I$89,3,0)*VLOOKUP('Données projet'!$B$9,Paramètres!$A$1:$I$89,5,0)</f>
        <v>315.56999999999977</v>
      </c>
      <c r="P107" s="14">
        <f t="shared" si="87"/>
        <v>74.430859496988774</v>
      </c>
      <c r="Q107" s="22">
        <f t="shared" si="107"/>
        <v>679.25149695725497</v>
      </c>
      <c r="R107" s="62">
        <f t="shared" si="55"/>
        <v>972.58483029058834</v>
      </c>
      <c r="S107" s="62">
        <f ca="1">AVERAGE(OFFSET($R$3,0,0,'Données projet'!$E$9+1,1))-AVERAGE(OFFSET($H$3,0,0,'Données projet'!$E$9+1,1))</f>
        <v>493.70175665335978</v>
      </c>
      <c r="T107" s="62">
        <f t="shared" si="88"/>
        <v>325.12357781685949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7.882692307692305</v>
      </c>
      <c r="AI107" s="14">
        <f>IF('Données projet'!$A$62&gt;35,AI106+AH107-AQ106,IF(A107&lt;'Données projet'!$A$62,$AF$205^A107,IF(A107='Données projet'!$A$62,'Données projet'!$B$62,AI106+AH107-AQ106)))</f>
        <v>373.78653846153827</v>
      </c>
      <c r="AJ107" s="14">
        <f>AI107*VLOOKUP('Données projet'!$B$10,Paramètres!$A$1:$I$89,3,0)*VLOOKUP('Données projet'!$B$10,Paramètres!$A$1:$I$89,5,0)</f>
        <v>174.93209999999991</v>
      </c>
      <c r="AK107" s="14">
        <f t="shared" si="89"/>
        <v>44.192804567069821</v>
      </c>
      <c r="AL107" s="22">
        <f t="shared" si="58"/>
        <v>381.64254212097973</v>
      </c>
      <c r="AM107" s="62">
        <f t="shared" si="59"/>
        <v>674.97587545431304</v>
      </c>
      <c r="AN107" s="62">
        <f ca="1">AVERAGE(OFFSET($AM$3,0,0,'Données projet'!$E$10+1,1))-AVERAGE(OFFSET($H$3,0,0,'Données projet'!$E$10+1,1))</f>
        <v>284.0976902574692</v>
      </c>
      <c r="AO107" s="62">
        <f t="shared" si="90"/>
        <v>190.4880882944471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252.07727999999975</v>
      </c>
      <c r="BF107" s="14">
        <f t="shared" si="91"/>
        <v>61.03054465215493</v>
      </c>
      <c r="BG107" s="22">
        <f t="shared" si="61"/>
        <v>545.32946126916943</v>
      </c>
      <c r="BH107" s="62">
        <f t="shared" si="62"/>
        <v>838.6627946025028</v>
      </c>
      <c r="BI107" s="62">
        <f ca="1">AVERAGE(OFFSET($BH$3,0,0,'Données projet'!$E$11+1,1))-AVERAGE(OFFSET($H$3,0,0,'Données projet'!$E$11+1,1))</f>
        <v>428.8489304403459</v>
      </c>
      <c r="BJ107" s="62">
        <f t="shared" si="92"/>
        <v>247.01165577562966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144.05409916132993</v>
      </c>
      <c r="CE107" s="62">
        <f t="shared" si="94"/>
        <v>409.2784174616832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16.730473198141784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16.730473198141784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6.3550942286383367E-14</v>
      </c>
      <c r="CV107" s="14">
        <f t="shared" si="95"/>
        <v>1.0064464192543978E-12</v>
      </c>
      <c r="CW107" s="22">
        <f t="shared" si="67"/>
        <v>1.8635787380168604E-12</v>
      </c>
      <c r="CX107" s="62">
        <f t="shared" si="68"/>
        <v>293.33333333333519</v>
      </c>
      <c r="CY107" s="62">
        <f ca="1">AVERAGE(OFFSET($CX$3,0,0,'Données projet'!$E$13+1,1))-AVERAGE(OFFSET($H$3,0,0,'Données projet'!$E$13+1,1))</f>
        <v>321.13335003345236</v>
      </c>
      <c r="CZ107" s="62">
        <f t="shared" si="96"/>
        <v>301.26825075712128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2.6497383729911745</v>
      </c>
      <c r="DH107" s="23">
        <f>EXP(-LN(2)/2)*DH106+(1-EXP(-LN(2)/2))/(LN(2)/2)*DB107*DE107*VLOOKUP('Données projet'!$B$13,Paramètres!$A$1:$I$89,3,0)*0.475*44/12</f>
        <v>7.1749539847939198E-11</v>
      </c>
      <c r="DI107" s="24">
        <f t="shared" si="69"/>
        <v>2.6497383730629243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3.2051282051282044</v>
      </c>
      <c r="N108" s="14">
        <f>IF('Données projet'!$A$36&gt;35,N107+M108-V107,IF(A108&lt;'Données projet'!$A$36,$K$205^A108,IF(A108='Données projet'!$A$36,'Données projet'!$B$36,N107+M108-V107)))</f>
        <v>305.12820512820485</v>
      </c>
      <c r="O108" s="14">
        <f>N108*VLOOKUP('Données projet'!$B$9,Paramètres!$A$1:$I$89,3,0)*VLOOKUP('Données projet'!$B$9,Paramètres!$A$1:$I$89,5,0)</f>
        <v>318.91999999999973</v>
      </c>
      <c r="P108" s="14">
        <f t="shared" si="87"/>
        <v>75.128594464022456</v>
      </c>
      <c r="Q108" s="22">
        <f t="shared" si="107"/>
        <v>686.30130202483861</v>
      </c>
      <c r="R108" s="62">
        <f t="shared" si="55"/>
        <v>979.63463535817186</v>
      </c>
      <c r="S108" s="62">
        <f ca="1">AVERAGE(OFFSET($R$3,0,0,'Données projet'!$E$9+1,1))-AVERAGE(OFFSET($H$3,0,0,'Données projet'!$E$9+1,1))</f>
        <v>493.70175665335978</v>
      </c>
      <c r="T108" s="62">
        <f t="shared" si="88"/>
        <v>325.12357781685949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7.882692307692305</v>
      </c>
      <c r="AI108" s="14">
        <f>IF('Données projet'!$A$62&gt;35,AI107+AH108-AQ107,IF(A108&lt;'Données projet'!$A$62,$AF$205^A108,IF(A108='Données projet'!$A$62,'Données projet'!$B$62,AI107+AH108-AQ107)))</f>
        <v>381.66923076923058</v>
      </c>
      <c r="AJ108" s="14">
        <f>AI108*VLOOKUP('Données projet'!$B$10,Paramètres!$A$1:$I$89,3,0)*VLOOKUP('Données projet'!$B$10,Paramètres!$A$1:$I$89,5,0)</f>
        <v>178.6211999999999</v>
      </c>
      <c r="AK108" s="14">
        <f t="shared" si="89"/>
        <v>45.015291421812009</v>
      </c>
      <c r="AL108" s="22">
        <f t="shared" si="58"/>
        <v>389.5002225596557</v>
      </c>
      <c r="AM108" s="62">
        <f t="shared" si="59"/>
        <v>682.83355589298901</v>
      </c>
      <c r="AN108" s="62">
        <f ca="1">AVERAGE(OFFSET($AM$3,0,0,'Données projet'!$E$10+1,1))-AVERAGE(OFFSET($H$3,0,0,'Données projet'!$E$10+1,1))</f>
        <v>284.0976902574692</v>
      </c>
      <c r="AO108" s="62">
        <f t="shared" si="90"/>
        <v>190.4880882944471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256.05839999999972</v>
      </c>
      <c r="BF108" s="14">
        <f t="shared" si="91"/>
        <v>61.881442594256434</v>
      </c>
      <c r="BG108" s="22">
        <f t="shared" si="61"/>
        <v>553.74522585166278</v>
      </c>
      <c r="BH108" s="62">
        <f t="shared" si="62"/>
        <v>847.07855918499604</v>
      </c>
      <c r="BI108" s="62">
        <f ca="1">AVERAGE(OFFSET($BH$3,0,0,'Données projet'!$E$11+1,1))-AVERAGE(OFFSET($H$3,0,0,'Données projet'!$E$11+1,1))</f>
        <v>428.8489304403459</v>
      </c>
      <c r="BJ108" s="62">
        <f t="shared" si="92"/>
        <v>247.01165577562966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144.05409916132993</v>
      </c>
      <c r="CE108" s="62">
        <f t="shared" si="94"/>
        <v>409.2784174616832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16.402398823307255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16.402398823307255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6.3550942286383367E-14</v>
      </c>
      <c r="CV108" s="14">
        <f t="shared" si="95"/>
        <v>1.0064464192543978E-12</v>
      </c>
      <c r="CW108" s="22">
        <f t="shared" si="67"/>
        <v>1.8635787380168604E-12</v>
      </c>
      <c r="CX108" s="62">
        <f t="shared" si="68"/>
        <v>293.33333333333519</v>
      </c>
      <c r="CY108" s="62">
        <f ca="1">AVERAGE(OFFSET($CX$3,0,0,'Données projet'!$E$13+1,1))-AVERAGE(OFFSET($H$3,0,0,'Données projet'!$E$13+1,1))</f>
        <v>321.13335003345236</v>
      </c>
      <c r="CZ108" s="62">
        <f t="shared" si="96"/>
        <v>301.26825075712128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2.577281137838046</v>
      </c>
      <c r="DH108" s="23">
        <f>EXP(-LN(2)/2)*DH107+(1-EXP(-LN(2)/2))/(LN(2)/2)*DB108*DE108*VLOOKUP('Données projet'!$B$13,Paramètres!$A$1:$I$89,3,0)*0.475*44/12</f>
        <v>5.0734586173492215E-11</v>
      </c>
      <c r="DI108" s="24">
        <f t="shared" si="69"/>
        <v>2.5772811378887805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3.2051282051282044</v>
      </c>
      <c r="N109" s="14">
        <f>IF('Données projet'!$A$36&gt;35,N108+M109-V108,IF(A109&lt;'Données projet'!$A$36,$K$205^A109,IF(A109='Données projet'!$A$36,'Données projet'!$B$36,N108+M109-V108)))</f>
        <v>308.33333333333303</v>
      </c>
      <c r="O109" s="14">
        <f>N109*VLOOKUP('Données projet'!$B$9,Paramètres!$A$1:$I$89,3,0)*VLOOKUP('Données projet'!$B$9,Paramètres!$A$1:$I$89,5,0)</f>
        <v>322.2699999999997</v>
      </c>
      <c r="P109" s="14">
        <f t="shared" si="87"/>
        <v>75.825476822885705</v>
      </c>
      <c r="Q109" s="22">
        <f t="shared" si="107"/>
        <v>693.34962213319204</v>
      </c>
      <c r="R109" s="62">
        <f t="shared" si="55"/>
        <v>986.6829554665253</v>
      </c>
      <c r="S109" s="62">
        <f ca="1">AVERAGE(OFFSET($R$3,0,0,'Données projet'!$E$9+1,1))-AVERAGE(OFFSET($H$3,0,0,'Données projet'!$E$9+1,1))</f>
        <v>493.70175665335978</v>
      </c>
      <c r="T109" s="62">
        <f t="shared" si="88"/>
        <v>325.12357781685949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7.882692307692305</v>
      </c>
      <c r="AI109" s="14">
        <f>IF('Données projet'!$A$62&gt;35,AI108+AH109-AQ108,IF(A109&lt;'Données projet'!$A$62,$AF$205^A109,IF(A109='Données projet'!$A$62,'Données projet'!$B$62,AI108+AH109-AQ108)))</f>
        <v>389.55192307692289</v>
      </c>
      <c r="AJ109" s="14">
        <f>AI109*VLOOKUP('Données projet'!$B$10,Paramètres!$A$1:$I$89,3,0)*VLOOKUP('Données projet'!$B$10,Paramètres!$A$1:$I$89,5,0)</f>
        <v>182.31029999999993</v>
      </c>
      <c r="AK109" s="14">
        <f t="shared" si="89"/>
        <v>45.835803217507859</v>
      </c>
      <c r="AL109" s="22">
        <f t="shared" si="58"/>
        <v>397.35446310382605</v>
      </c>
      <c r="AM109" s="62">
        <f t="shared" si="59"/>
        <v>690.68779643715936</v>
      </c>
      <c r="AN109" s="62">
        <f ca="1">AVERAGE(OFFSET($AM$3,0,0,'Données projet'!$E$10+1,1))-AVERAGE(OFFSET($H$3,0,0,'Données projet'!$E$10+1,1))</f>
        <v>284.0976902574692</v>
      </c>
      <c r="AO109" s="62">
        <f t="shared" si="90"/>
        <v>190.4880882944471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260.0395199999997</v>
      </c>
      <c r="BF109" s="14">
        <f t="shared" si="91"/>
        <v>62.730801948604821</v>
      </c>
      <c r="BG109" s="22">
        <f t="shared" si="61"/>
        <v>562.15831072715287</v>
      </c>
      <c r="BH109" s="62">
        <f t="shared" si="62"/>
        <v>855.49164406048612</v>
      </c>
      <c r="BI109" s="62">
        <f ca="1">AVERAGE(OFFSET($BH$3,0,0,'Données projet'!$E$11+1,1))-AVERAGE(OFFSET($H$3,0,0,'Données projet'!$E$11+1,1))</f>
        <v>428.8489304403459</v>
      </c>
      <c r="BJ109" s="62">
        <f t="shared" si="92"/>
        <v>247.01165577562966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144.05409916132993</v>
      </c>
      <c r="CE109" s="62">
        <f t="shared" si="94"/>
        <v>409.2784174616832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16.080757786857621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16.080757786857621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6.3550942286383367E-14</v>
      </c>
      <c r="CV109" s="14">
        <f t="shared" si="95"/>
        <v>1.0064464192543978E-12</v>
      </c>
      <c r="CW109" s="22">
        <f t="shared" si="67"/>
        <v>1.8635787380168604E-12</v>
      </c>
      <c r="CX109" s="62">
        <f t="shared" si="68"/>
        <v>293.33333333333519</v>
      </c>
      <c r="CY109" s="62">
        <f ca="1">AVERAGE(OFFSET($CX$3,0,0,'Données projet'!$E$13+1,1))-AVERAGE(OFFSET($H$3,0,0,'Données projet'!$E$13+1,1))</f>
        <v>321.13335003345236</v>
      </c>
      <c r="CZ109" s="62">
        <f t="shared" si="96"/>
        <v>301.26825075712128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2.5068052495905402</v>
      </c>
      <c r="DH109" s="23">
        <f>EXP(-LN(2)/2)*DH108+(1-EXP(-LN(2)/2))/(LN(2)/2)*DB109*DE109*VLOOKUP('Données projet'!$B$13,Paramètres!$A$1:$I$89,3,0)*0.475*44/12</f>
        <v>3.5874769923969599E-11</v>
      </c>
      <c r="DI109" s="24">
        <f t="shared" si="69"/>
        <v>2.506805249626415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3.2051282051282044</v>
      </c>
      <c r="N110" s="14">
        <f>IF('Données projet'!$A$36&gt;35,N109+M110-V109,IF(A110&lt;'Données projet'!$A$36,$K$205^A110,IF(A110='Données projet'!$A$36,'Données projet'!$B$36,N109+M110-V109)))</f>
        <v>311.53846153846121</v>
      </c>
      <c r="O110" s="14">
        <f>N110*VLOOKUP('Données projet'!$B$9,Paramètres!$A$1:$I$89,3,0)*VLOOKUP('Données projet'!$B$9,Paramètres!$A$1:$I$89,5,0)</f>
        <v>325.61999999999972</v>
      </c>
      <c r="P110" s="14">
        <f t="shared" si="87"/>
        <v>76.521516462461591</v>
      </c>
      <c r="Q110" s="22">
        <f t="shared" si="107"/>
        <v>700.39647450545351</v>
      </c>
      <c r="R110" s="62">
        <f t="shared" si="55"/>
        <v>993.72980783878688</v>
      </c>
      <c r="S110" s="62">
        <f ca="1">AVERAGE(OFFSET($R$3,0,0,'Données projet'!$E$9+1,1))-AVERAGE(OFFSET($H$3,0,0,'Données projet'!$E$9+1,1))</f>
        <v>493.70175665335978</v>
      </c>
      <c r="T110" s="62">
        <f t="shared" si="88"/>
        <v>325.12357781685949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7.882692307692305</v>
      </c>
      <c r="AI110" s="14">
        <f>IF('Données projet'!$A$62&gt;35,AI109+AH110-AQ109,IF(A110&lt;'Données projet'!$A$62,$AF$205^A110,IF(A110='Données projet'!$A$62,'Données projet'!$B$62,AI109+AH110-AQ109)))</f>
        <v>397.4346153846152</v>
      </c>
      <c r="AJ110" s="14">
        <f>AI110*VLOOKUP('Données projet'!$B$10,Paramètres!$A$1:$I$89,3,0)*VLOOKUP('Données projet'!$B$10,Paramètres!$A$1:$I$89,5,0)</f>
        <v>185.99939999999992</v>
      </c>
      <c r="AK110" s="14">
        <f t="shared" si="89"/>
        <v>46.654384525692791</v>
      </c>
      <c r="AL110" s="22">
        <f t="shared" si="58"/>
        <v>405.20534138224815</v>
      </c>
      <c r="AM110" s="62">
        <f t="shared" si="59"/>
        <v>698.53867471558146</v>
      </c>
      <c r="AN110" s="62">
        <f ca="1">AVERAGE(OFFSET($AM$3,0,0,'Données projet'!$E$10+1,1))-AVERAGE(OFFSET($H$3,0,0,'Données projet'!$E$10+1,1))</f>
        <v>284.0976902574692</v>
      </c>
      <c r="AO110" s="62">
        <f t="shared" si="90"/>
        <v>190.4880882944471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264.02063999999967</v>
      </c>
      <c r="BF110" s="14">
        <f t="shared" si="91"/>
        <v>63.57864899095906</v>
      </c>
      <c r="BG110" s="22">
        <f t="shared" si="61"/>
        <v>570.56876165925303</v>
      </c>
      <c r="BH110" s="62">
        <f t="shared" si="62"/>
        <v>863.9020949925864</v>
      </c>
      <c r="BI110" s="62">
        <f ca="1">AVERAGE(OFFSET($BH$3,0,0,'Données projet'!$E$11+1,1))-AVERAGE(OFFSET($H$3,0,0,'Données projet'!$E$11+1,1))</f>
        <v>428.8489304403459</v>
      </c>
      <c r="BJ110" s="62">
        <f t="shared" si="92"/>
        <v>247.01165577562966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144.05409916132993</v>
      </c>
      <c r="CE110" s="62">
        <f t="shared" si="94"/>
        <v>409.2784174616832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15.765423934951105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15.765423934951105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6.3550942286383367E-14</v>
      </c>
      <c r="CV110" s="14">
        <f t="shared" si="95"/>
        <v>1.0064464192543978E-12</v>
      </c>
      <c r="CW110" s="22">
        <f t="shared" si="67"/>
        <v>1.8635787380168604E-12</v>
      </c>
      <c r="CX110" s="62">
        <f t="shared" si="68"/>
        <v>293.33333333333519</v>
      </c>
      <c r="CY110" s="62">
        <f ca="1">AVERAGE(OFFSET($CX$3,0,0,'Données projet'!$E$13+1,1))-AVERAGE(OFFSET($H$3,0,0,'Données projet'!$E$13+1,1))</f>
        <v>321.13335003345236</v>
      </c>
      <c r="CZ110" s="62">
        <f t="shared" si="96"/>
        <v>301.26825075712128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2.4382565282133282</v>
      </c>
      <c r="DH110" s="23">
        <f>EXP(-LN(2)/2)*DH109+(1-EXP(-LN(2)/2))/(LN(2)/2)*DB110*DE110*VLOOKUP('Données projet'!$B$13,Paramètres!$A$1:$I$89,3,0)*0.475*44/12</f>
        <v>2.5367293086746108E-11</v>
      </c>
      <c r="DI110" s="24">
        <f t="shared" si="69"/>
        <v>2.4382565282386954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3.2051282051282044</v>
      </c>
      <c r="N111" s="14">
        <f>IF('Données projet'!$A$36&gt;35,N110+M111-V110,IF(A111&lt;'Données projet'!$A$36,$K$205^A111,IF(A111='Données projet'!$A$36,'Données projet'!$B$36,N110+M111-V110)))</f>
        <v>314.74358974358938</v>
      </c>
      <c r="O111" s="14">
        <f>N111*VLOOKUP('Données projet'!$B$9,Paramètres!$A$1:$I$89,3,0)*VLOOKUP('Données projet'!$B$9,Paramètres!$A$1:$I$89,5,0)</f>
        <v>328.96999999999969</v>
      </c>
      <c r="P111" s="14">
        <f t="shared" si="87"/>
        <v>77.216723056433693</v>
      </c>
      <c r="Q111" s="22">
        <f t="shared" si="107"/>
        <v>707.44187598995484</v>
      </c>
      <c r="R111" s="62">
        <f t="shared" si="55"/>
        <v>1000.7752093232882</v>
      </c>
      <c r="S111" s="62">
        <f ca="1">AVERAGE(OFFSET($R$3,0,0,'Données projet'!$E$9+1,1))-AVERAGE(OFFSET($H$3,0,0,'Données projet'!$E$9+1,1))</f>
        <v>493.70175665335978</v>
      </c>
      <c r="T111" s="62">
        <f t="shared" si="88"/>
        <v>325.12357781685949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7.882692307692305</v>
      </c>
      <c r="AI111" s="14">
        <f>IF('Données projet'!$A$62&gt;35,AI110+AH111-AQ110,IF(A111&lt;'Données projet'!$A$62,$AF$205^A111,IF(A111='Données projet'!$A$62,'Données projet'!$B$62,AI110+AH111-AQ110)))</f>
        <v>405.31730769230751</v>
      </c>
      <c r="AJ111" s="14">
        <f>AI111*VLOOKUP('Données projet'!$B$10,Paramètres!$A$1:$I$89,3,0)*VLOOKUP('Données projet'!$B$10,Paramètres!$A$1:$I$89,5,0)</f>
        <v>189.68849999999992</v>
      </c>
      <c r="AK111" s="14">
        <f t="shared" si="89"/>
        <v>47.471078048734064</v>
      </c>
      <c r="AL111" s="22">
        <f t="shared" si="58"/>
        <v>413.05293176821164</v>
      </c>
      <c r="AM111" s="62">
        <f t="shared" si="59"/>
        <v>706.38626510154495</v>
      </c>
      <c r="AN111" s="62">
        <f ca="1">AVERAGE(OFFSET($AM$3,0,0,'Données projet'!$E$10+1,1))-AVERAGE(OFFSET($H$3,0,0,'Données projet'!$E$10+1,1))</f>
        <v>284.0976902574692</v>
      </c>
      <c r="AO111" s="62">
        <f t="shared" si="90"/>
        <v>190.4880882944471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268.00175999999971</v>
      </c>
      <c r="BF111" s="14">
        <f t="shared" si="91"/>
        <v>64.425009159185521</v>
      </c>
      <c r="BG111" s="22">
        <f t="shared" si="61"/>
        <v>578.97662295224757</v>
      </c>
      <c r="BH111" s="62">
        <f t="shared" si="62"/>
        <v>872.30995628558094</v>
      </c>
      <c r="BI111" s="62">
        <f ca="1">AVERAGE(OFFSET($BH$3,0,0,'Données projet'!$E$11+1,1))-AVERAGE(OFFSET($H$3,0,0,'Données projet'!$E$11+1,1))</f>
        <v>428.8489304403459</v>
      </c>
      <c r="BJ111" s="62">
        <f t="shared" si="92"/>
        <v>247.01165577562966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144.05409916132993</v>
      </c>
      <c r="CE111" s="62">
        <f t="shared" si="94"/>
        <v>409.2784174616832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15.456273587545818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15.456273587545818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6.3550942286383367E-14</v>
      </c>
      <c r="CV111" s="14">
        <f t="shared" si="95"/>
        <v>1.0064464192543978E-12</v>
      </c>
      <c r="CW111" s="22">
        <f t="shared" si="67"/>
        <v>1.8635787380168604E-12</v>
      </c>
      <c r="CX111" s="62">
        <f t="shared" si="68"/>
        <v>293.33333333333519</v>
      </c>
      <c r="CY111" s="62">
        <f ca="1">AVERAGE(OFFSET($CX$3,0,0,'Données projet'!$E$13+1,1))-AVERAGE(OFFSET($H$3,0,0,'Données projet'!$E$13+1,1))</f>
        <v>321.13335003345236</v>
      </c>
      <c r="CZ111" s="62">
        <f t="shared" si="96"/>
        <v>301.26825075712128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2.3715822752269964</v>
      </c>
      <c r="DH111" s="23">
        <f>EXP(-LN(2)/2)*DH110+(1-EXP(-LN(2)/2))/(LN(2)/2)*DB111*DE111*VLOOKUP('Données projet'!$B$13,Paramètres!$A$1:$I$89,3,0)*0.475*44/12</f>
        <v>1.7937384961984799E-11</v>
      </c>
      <c r="DI111" s="24">
        <f t="shared" si="69"/>
        <v>2.3715822752449336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3.2051282051282044</v>
      </c>
      <c r="N112" s="14">
        <f>IF('Données projet'!$A$36&gt;35,N111+M112-V111,IF(A112&lt;'Données projet'!$A$36,$K$205^A112,IF(A112='Données projet'!$A$36,'Données projet'!$B$36,N111+M112-V111)))</f>
        <v>317.94871794871756</v>
      </c>
      <c r="O112" s="14">
        <f>N112*VLOOKUP('Données projet'!$B$9,Paramètres!$A$1:$I$89,3,0)*VLOOKUP('Données projet'!$B$9,Paramètres!$A$1:$I$89,5,0)</f>
        <v>332.3199999999996</v>
      </c>
      <c r="P112" s="14">
        <f t="shared" si="87"/>
        <v>77.911106070111614</v>
      </c>
      <c r="Q112" s="22">
        <f t="shared" si="107"/>
        <v>714.48584307211024</v>
      </c>
      <c r="R112" s="62">
        <f t="shared" si="55"/>
        <v>1007.8191764054436</v>
      </c>
      <c r="S112" s="62">
        <f ca="1">AVERAGE(OFFSET($R$3,0,0,'Données projet'!$E$9+1,1))-AVERAGE(OFFSET($H$3,0,0,'Données projet'!$E$9+1,1))</f>
        <v>493.70175665335978</v>
      </c>
      <c r="T112" s="62">
        <f t="shared" si="88"/>
        <v>325.12357781685949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>
        <f>VLOOKUP(A112,'Données projet'!$A$61:$I$81,2,0)</f>
        <v>413.2</v>
      </c>
      <c r="AG112" s="13">
        <f>VLOOKUP(A112,'Données projet'!$A$61:$I$81,9,0)</f>
        <v>7.882692307692305</v>
      </c>
      <c r="AH112" s="13">
        <f t="array" ref="AH112">INDEX(AG:AG,MIN(IF(ISNUMBER(AG112:AG308),ROW(AG112:AG308),"")))</f>
        <v>7.882692307692305</v>
      </c>
      <c r="AI112" s="14">
        <f>IF('Données projet'!$A$62&gt;35,AI111+AH112-AQ111,IF(A112&lt;'Données projet'!$A$62,$AF$205^A112,IF(A112='Données projet'!$A$62,'Données projet'!$B$62,AI111+AH112-AQ111)))</f>
        <v>413.19999999999982</v>
      </c>
      <c r="AJ112" s="14">
        <f>AI112*VLOOKUP('Données projet'!$B$10,Paramètres!$A$1:$I$89,3,0)*VLOOKUP('Données projet'!$B$10,Paramètres!$A$1:$I$89,5,0)</f>
        <v>193.37759999999992</v>
      </c>
      <c r="AK112" s="14">
        <f t="shared" si="89"/>
        <v>48.285924733018234</v>
      </c>
      <c r="AL112" s="22">
        <f t="shared" si="58"/>
        <v>420.89730557667326</v>
      </c>
      <c r="AM112" s="62">
        <f t="shared" si="59"/>
        <v>714.23063891000652</v>
      </c>
      <c r="AN112" s="62">
        <f ca="1">AVERAGE(OFFSET($AM$3,0,0,'Données projet'!$E$10+1,1))-AVERAGE(OFFSET($H$3,0,0,'Données projet'!$E$10+1,1))</f>
        <v>284.0976902574692</v>
      </c>
      <c r="AO112" s="62">
        <f t="shared" si="90"/>
        <v>190.4880882944471</v>
      </c>
      <c r="AP112" s="16">
        <f>IF(ISNA(VLOOKUP(A112,'Données projet'!$A$61:$I$81,3,0)),0,VLOOKUP(A112,'Données projet'!$A$61:$I$81,3,0))</f>
        <v>6</v>
      </c>
      <c r="AQ112" s="16">
        <f>IF(ISNA(VLOOKUP(A112,'Données projet'!$A$61:$I$81,4,0)),0,VLOOKUP(A112,'Données projet'!$A$61:$I$81,4,0))</f>
        <v>80.653846153846146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271.98287999999962</v>
      </c>
      <c r="BF112" s="14">
        <f t="shared" si="91"/>
        <v>65.269907092018684</v>
      </c>
      <c r="BG112" s="22">
        <f t="shared" si="61"/>
        <v>587.38193751859842</v>
      </c>
      <c r="BH112" s="62">
        <f t="shared" si="62"/>
        <v>880.71527085193179</v>
      </c>
      <c r="BI112" s="62">
        <f ca="1">AVERAGE(OFFSET($BH$3,0,0,'Données projet'!$E$11+1,1))-AVERAGE(OFFSET($H$3,0,0,'Données projet'!$E$11+1,1))</f>
        <v>428.8489304403459</v>
      </c>
      <c r="BJ112" s="62">
        <f t="shared" si="92"/>
        <v>247.01165577562966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144.05409916132993</v>
      </c>
      <c r="CE112" s="62">
        <f t="shared" si="94"/>
        <v>409.2784174616832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15.153185489890054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15.153185489890054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6.3550942286383367E-14</v>
      </c>
      <c r="CV112" s="14">
        <f t="shared" si="95"/>
        <v>1.0064464192543978E-12</v>
      </c>
      <c r="CW112" s="22">
        <f t="shared" si="67"/>
        <v>1.8635787380168604E-12</v>
      </c>
      <c r="CX112" s="62">
        <f t="shared" si="68"/>
        <v>293.33333333333519</v>
      </c>
      <c r="CY112" s="62">
        <f ca="1">AVERAGE(OFFSET($CX$3,0,0,'Données projet'!$E$13+1,1))-AVERAGE(OFFSET($H$3,0,0,'Données projet'!$E$13+1,1))</f>
        <v>321.13335003345236</v>
      </c>
      <c r="CZ112" s="62">
        <f t="shared" si="96"/>
        <v>301.26825075712128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2.3067312331948227</v>
      </c>
      <c r="DH112" s="23">
        <f>EXP(-LN(2)/2)*DH111+(1-EXP(-LN(2)/2))/(LN(2)/2)*DB112*DE112*VLOOKUP('Données projet'!$B$13,Paramètres!$A$1:$I$89,3,0)*0.475*44/12</f>
        <v>1.2683646543373054E-11</v>
      </c>
      <c r="DI112" s="24">
        <f t="shared" si="69"/>
        <v>2.3067312332075063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321.15384615384613</v>
      </c>
      <c r="L113" s="13">
        <f>VLOOKUP(A113,'Données projet'!$A$35:$I$55,9,0)</f>
        <v>3.2051282051282044</v>
      </c>
      <c r="M113" s="13">
        <f t="array" ref="M113">INDEX(L:L,MIN(IF(ISNUMBER(L113:L309),ROW(L113:L309),"")))</f>
        <v>3.2051282051282044</v>
      </c>
      <c r="N113" s="14">
        <f>IF('Données projet'!$A$36&gt;35,N112+M113-V112,IF(A113&lt;'Données projet'!$A$36,$K$205^A113,IF(A113='Données projet'!$A$36,'Données projet'!$B$36,N112+M113-V112)))</f>
        <v>321.15384615384573</v>
      </c>
      <c r="O113" s="14">
        <f>N113*VLOOKUP('Données projet'!$B$9,Paramètres!$A$1:$I$89,3,0)*VLOOKUP('Données projet'!$B$9,Paramètres!$A$1:$I$89,5,0)</f>
        <v>335.66999999999956</v>
      </c>
      <c r="P113" s="14">
        <f t="shared" si="87"/>
        <v>78.604674766974242</v>
      </c>
      <c r="Q113" s="22">
        <f t="shared" si="107"/>
        <v>721.52839188581265</v>
      </c>
      <c r="R113" s="62">
        <f t="shared" si="55"/>
        <v>1014.8617252191459</v>
      </c>
      <c r="S113" s="62">
        <f ca="1">AVERAGE(OFFSET($R$3,0,0,'Données projet'!$E$9+1,1))-AVERAGE(OFFSET($H$3,0,0,'Données projet'!$E$9+1,1))</f>
        <v>493.70175665335978</v>
      </c>
      <c r="T113" s="62">
        <f t="shared" si="88"/>
        <v>325.12357781685949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19.23076923076923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7.0884615384615346</v>
      </c>
      <c r="AI113" s="14">
        <f>IF('Données projet'!$A$62&gt;35,AI112+AH113-AQ112,IF(A113&lt;'Données projet'!$A$62,$AF$205^A113,IF(A113='Données projet'!$A$62,'Données projet'!$B$62,AI112+AH113-AQ112)))</f>
        <v>339.63461538461524</v>
      </c>
      <c r="AJ113" s="14">
        <f>AI113*VLOOKUP('Données projet'!$B$10,Paramètres!$A$1:$I$89,3,0)*VLOOKUP('Données projet'!$B$10,Paramètres!$A$1:$I$89,5,0)</f>
        <v>158.94899999999993</v>
      </c>
      <c r="AK113" s="14">
        <f t="shared" si="89"/>
        <v>40.605368573899575</v>
      </c>
      <c r="AL113" s="22">
        <f t="shared" si="58"/>
        <v>347.55719193287496</v>
      </c>
      <c r="AM113" s="62">
        <f t="shared" si="59"/>
        <v>640.89052526620821</v>
      </c>
      <c r="AN113" s="62">
        <f ca="1">AVERAGE(OFFSET($AM$3,0,0,'Données projet'!$E$10+1,1))-AVERAGE(OFFSET($H$3,0,0,'Données projet'!$E$10+1,1))</f>
        <v>284.0976902574692</v>
      </c>
      <c r="AO113" s="62">
        <f t="shared" si="90"/>
        <v>190.4880882944471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275.9639999999996</v>
      </c>
      <c r="BF113" s="14">
        <f t="shared" si="91"/>
        <v>66.113366665488797</v>
      </c>
      <c r="BG113" s="22">
        <f t="shared" si="61"/>
        <v>595.7847469423923</v>
      </c>
      <c r="BH113" s="62">
        <f t="shared" si="62"/>
        <v>889.11808027572556</v>
      </c>
      <c r="BI113" s="62">
        <f ca="1">AVERAGE(OFFSET($BH$3,0,0,'Données projet'!$E$11+1,1))-AVERAGE(OFFSET($H$3,0,0,'Données projet'!$E$11+1,1))</f>
        <v>428.8489304403459</v>
      </c>
      <c r="BJ113" s="62">
        <f t="shared" si="92"/>
        <v>247.01165577562966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144.05409916132993</v>
      </c>
      <c r="CE113" s="62">
        <f t="shared" si="94"/>
        <v>409.2784174616832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14.856040764963835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14.856040764963835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6.3550942286383367E-14</v>
      </c>
      <c r="CV113" s="14">
        <f t="shared" si="95"/>
        <v>1.0064464192543978E-12</v>
      </c>
      <c r="CW113" s="22">
        <f t="shared" si="67"/>
        <v>1.8635787380168604E-12</v>
      </c>
      <c r="CX113" s="62">
        <f t="shared" si="68"/>
        <v>293.33333333333519</v>
      </c>
      <c r="CY113" s="62">
        <f ca="1">AVERAGE(OFFSET($CX$3,0,0,'Données projet'!$E$13+1,1))-AVERAGE(OFFSET($H$3,0,0,'Données projet'!$E$13+1,1))</f>
        <v>321.13335003345236</v>
      </c>
      <c r="CZ113" s="62">
        <f t="shared" si="96"/>
        <v>301.26825075712128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2.2436535463173866</v>
      </c>
      <c r="DH113" s="23">
        <f>EXP(-LN(2)/2)*DH112+(1-EXP(-LN(2)/2))/(LN(2)/2)*DB113*DE113*VLOOKUP('Données projet'!$B$13,Paramètres!$A$1:$I$89,3,0)*0.475*44/12</f>
        <v>8.9686924809923997E-12</v>
      </c>
      <c r="DI113" s="24">
        <f t="shared" si="69"/>
        <v>2.2436535463263554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2.8846153846153868</v>
      </c>
      <c r="N114" s="14">
        <f>IF('Données projet'!$A$36&gt;35,N113+M114-V113,IF(A114&lt;'Données projet'!$A$36,$K$205^A114,IF(A114='Données projet'!$A$36,'Données projet'!$B$36,N113+M114-V113)))</f>
        <v>304.80769230769187</v>
      </c>
      <c r="O114" s="14">
        <f>N114*VLOOKUP('Données projet'!$B$9,Paramètres!$A$1:$I$89,3,0)*VLOOKUP('Données projet'!$B$9,Paramètres!$A$1:$I$89,5,0)</f>
        <v>318.58499999999958</v>
      </c>
      <c r="P114" s="14">
        <f t="shared" si="87"/>
        <v>75.058859499755215</v>
      </c>
      <c r="Q114" s="22">
        <f t="shared" si="107"/>
        <v>685.59638862873953</v>
      </c>
      <c r="R114" s="62">
        <f t="shared" si="55"/>
        <v>978.92972196207279</v>
      </c>
      <c r="S114" s="62">
        <f ca="1">AVERAGE(OFFSET($R$3,0,0,'Données projet'!$E$9+1,1))-AVERAGE(OFFSET($H$3,0,0,'Données projet'!$E$9+1,1))</f>
        <v>493.70175665335978</v>
      </c>
      <c r="T114" s="62">
        <f t="shared" si="88"/>
        <v>325.12357781685949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7.0884615384615346</v>
      </c>
      <c r="AI114" s="14">
        <f>IF('Données projet'!$A$62&gt;35,AI113+AH114-AQ113,IF(A114&lt;'Données projet'!$A$62,$AF$205^A114,IF(A114='Données projet'!$A$62,'Données projet'!$B$62,AI113+AH114-AQ113)))</f>
        <v>346.7230769230768</v>
      </c>
      <c r="AJ114" s="14">
        <f>AI114*VLOOKUP('Données projet'!$B$10,Paramètres!$A$1:$I$89,3,0)*VLOOKUP('Données projet'!$B$10,Paramètres!$A$1:$I$89,5,0)</f>
        <v>162.26639999999995</v>
      </c>
      <c r="AK114" s="14">
        <f t="shared" si="89"/>
        <v>41.353289029019379</v>
      </c>
      <c r="AL114" s="22">
        <f t="shared" si="58"/>
        <v>354.6376250588753</v>
      </c>
      <c r="AM114" s="62">
        <f t="shared" si="59"/>
        <v>647.97095839220856</v>
      </c>
      <c r="AN114" s="62">
        <f ca="1">AVERAGE(OFFSET($AM$3,0,0,'Données projet'!$E$10+1,1))-AVERAGE(OFFSET($H$3,0,0,'Données projet'!$E$10+1,1))</f>
        <v>284.0976902574692</v>
      </c>
      <c r="AO114" s="62">
        <f t="shared" si="90"/>
        <v>190.4880882944471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244.02455999999964</v>
      </c>
      <c r="BF114" s="14">
        <f t="shared" si="91"/>
        <v>59.304594314969229</v>
      </c>
      <c r="BG114" s="22">
        <f t="shared" si="61"/>
        <v>528.29827709857079</v>
      </c>
      <c r="BH114" s="62">
        <f t="shared" si="62"/>
        <v>821.63161043190416</v>
      </c>
      <c r="BI114" s="62">
        <f ca="1">AVERAGE(OFFSET($BH$3,0,0,'Données projet'!$E$11+1,1))-AVERAGE(OFFSET($H$3,0,0,'Données projet'!$E$11+1,1))</f>
        <v>428.8489304403459</v>
      </c>
      <c r="BJ114" s="62">
        <f t="shared" si="92"/>
        <v>247.01165577562966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144.05409916132993</v>
      </c>
      <c r="CE114" s="62">
        <f t="shared" si="94"/>
        <v>409.2784174616832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14.564722866853032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14.564722866853032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6.3550942286383367E-14</v>
      </c>
      <c r="CV114" s="14">
        <f t="shared" si="95"/>
        <v>1.0064464192543978E-12</v>
      </c>
      <c r="CW114" s="22">
        <f t="shared" si="67"/>
        <v>1.8635787380168604E-12</v>
      </c>
      <c r="CX114" s="62">
        <f t="shared" si="68"/>
        <v>293.33333333333519</v>
      </c>
      <c r="CY114" s="62">
        <f ca="1">AVERAGE(OFFSET($CX$3,0,0,'Données projet'!$E$13+1,1))-AVERAGE(OFFSET($H$3,0,0,'Données projet'!$E$13+1,1))</f>
        <v>321.13335003345236</v>
      </c>
      <c r="CZ114" s="62">
        <f t="shared" si="96"/>
        <v>301.26825075712128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2.1823007221047255</v>
      </c>
      <c r="DH114" s="23">
        <f>EXP(-LN(2)/2)*DH113+(1-EXP(-LN(2)/2))/(LN(2)/2)*DB114*DE114*VLOOKUP('Données projet'!$B$13,Paramètres!$A$1:$I$89,3,0)*0.475*44/12</f>
        <v>6.3418232716865269E-12</v>
      </c>
      <c r="DI114" s="24">
        <f t="shared" si="69"/>
        <v>2.1823007221110675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2.8846153846153868</v>
      </c>
      <c r="N115" s="14">
        <f>IF('Données projet'!$A$36&gt;35,N114+M115-V114,IF(A115&lt;'Données projet'!$A$36,$K$205^A115,IF(A115='Données projet'!$A$36,'Données projet'!$B$36,N114+M115-V114)))</f>
        <v>307.69230769230728</v>
      </c>
      <c r="O115" s="14">
        <f>N115*VLOOKUP('Données projet'!$B$9,Paramètres!$A$1:$I$89,3,0)*VLOOKUP('Données projet'!$B$9,Paramètres!$A$1:$I$89,5,0)</f>
        <v>321.59999999999962</v>
      </c>
      <c r="P115" s="14">
        <f t="shared" si="87"/>
        <v>75.686168081957248</v>
      </c>
      <c r="Q115" s="22">
        <f t="shared" si="107"/>
        <v>691.94007607607489</v>
      </c>
      <c r="R115" s="62">
        <f t="shared" si="55"/>
        <v>985.27340940940826</v>
      </c>
      <c r="S115" s="62">
        <f ca="1">AVERAGE(OFFSET($R$3,0,0,'Données projet'!$E$9+1,1))-AVERAGE(OFFSET($H$3,0,0,'Données projet'!$E$9+1,1))</f>
        <v>493.70175665335978</v>
      </c>
      <c r="T115" s="62">
        <f t="shared" si="88"/>
        <v>325.12357781685949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7.0884615384615346</v>
      </c>
      <c r="AI115" s="14">
        <f>IF('Données projet'!$A$62&gt;35,AI114+AH115-AQ114,IF(A115&lt;'Données projet'!$A$62,$AF$205^A115,IF(A115='Données projet'!$A$62,'Données projet'!$B$62,AI114+AH115-AQ114)))</f>
        <v>353.81153846153836</v>
      </c>
      <c r="AJ115" s="14">
        <f>AI115*VLOOKUP('Données projet'!$B$10,Paramètres!$A$1:$I$89,3,0)*VLOOKUP('Données projet'!$B$10,Paramètres!$A$1:$I$89,5,0)</f>
        <v>165.58379999999997</v>
      </c>
      <c r="AK115" s="14">
        <f t="shared" si="89"/>
        <v>42.099431642932437</v>
      </c>
      <c r="AL115" s="22">
        <f t="shared" si="58"/>
        <v>361.71496177810724</v>
      </c>
      <c r="AM115" s="62">
        <f t="shared" si="59"/>
        <v>655.04829511144055</v>
      </c>
      <c r="AN115" s="62">
        <f ca="1">AVERAGE(OFFSET($AM$3,0,0,'Données projet'!$E$10+1,1))-AVERAGE(OFFSET($H$3,0,0,'Données projet'!$E$10+1,1))</f>
        <v>284.0976902574692</v>
      </c>
      <c r="AO115" s="62">
        <f t="shared" si="90"/>
        <v>190.4880882944471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247.3723199999996</v>
      </c>
      <c r="BF115" s="14">
        <f t="shared" si="91"/>
        <v>60.022917171130942</v>
      </c>
      <c r="BG115" s="22">
        <f t="shared" si="61"/>
        <v>535.38003807305233</v>
      </c>
      <c r="BH115" s="62">
        <f t="shared" si="62"/>
        <v>828.7133714063857</v>
      </c>
      <c r="BI115" s="62">
        <f ca="1">AVERAGE(OFFSET($BH$3,0,0,'Données projet'!$E$11+1,1))-AVERAGE(OFFSET($H$3,0,0,'Données projet'!$E$11+1,1))</f>
        <v>428.8489304403459</v>
      </c>
      <c r="BJ115" s="62">
        <f t="shared" si="92"/>
        <v>247.01165577562966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144.05409916132993</v>
      </c>
      <c r="CE115" s="62">
        <f t="shared" si="94"/>
        <v>409.2784174616832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14.279117535037809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14.279117535037809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6.3550942286383367E-14</v>
      </c>
      <c r="CV115" s="14">
        <f t="shared" si="95"/>
        <v>1.0064464192543978E-12</v>
      </c>
      <c r="CW115" s="22">
        <f t="shared" si="67"/>
        <v>1.8635787380168604E-12</v>
      </c>
      <c r="CX115" s="62">
        <f t="shared" si="68"/>
        <v>293.33333333333519</v>
      </c>
      <c r="CY115" s="62">
        <f ca="1">AVERAGE(OFFSET($CX$3,0,0,'Données projet'!$E$13+1,1))-AVERAGE(OFFSET($H$3,0,0,'Données projet'!$E$13+1,1))</f>
        <v>321.13335003345236</v>
      </c>
      <c r="CZ115" s="62">
        <f t="shared" si="96"/>
        <v>301.26825075712128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2.1226255940965646</v>
      </c>
      <c r="DH115" s="23">
        <f>EXP(-LN(2)/2)*DH114+(1-EXP(-LN(2)/2))/(LN(2)/2)*DB115*DE115*VLOOKUP('Données projet'!$B$13,Paramètres!$A$1:$I$89,3,0)*0.475*44/12</f>
        <v>4.4843462404961999E-12</v>
      </c>
      <c r="DI115" s="24">
        <f t="shared" si="69"/>
        <v>2.122625594101049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2.8846153846153868</v>
      </c>
      <c r="N116" s="14">
        <f>IF('Données projet'!$A$36&gt;35,N115+M116-V115,IF(A116&lt;'Données projet'!$A$36,$K$205^A116,IF(A116='Données projet'!$A$36,'Données projet'!$B$36,N115+M116-V115)))</f>
        <v>310.57692307692264</v>
      </c>
      <c r="O116" s="14">
        <f>N116*VLOOKUP('Données projet'!$B$9,Paramètres!$A$1:$I$89,3,0)*VLOOKUP('Données projet'!$B$9,Paramètres!$A$1:$I$89,5,0)</f>
        <v>324.61499999999955</v>
      </c>
      <c r="P116" s="14">
        <f t="shared" si="87"/>
        <v>76.312792476440805</v>
      </c>
      <c r="Q116" s="22">
        <f t="shared" si="107"/>
        <v>698.28257189646683</v>
      </c>
      <c r="R116" s="62">
        <f t="shared" si="55"/>
        <v>991.61590522980009</v>
      </c>
      <c r="S116" s="62">
        <f ca="1">AVERAGE(OFFSET($R$3,0,0,'Données projet'!$E$9+1,1))-AVERAGE(OFFSET($H$3,0,0,'Données projet'!$E$9+1,1))</f>
        <v>493.70175665335978</v>
      </c>
      <c r="T116" s="62">
        <f t="shared" si="88"/>
        <v>325.12357781685949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7.0884615384615346</v>
      </c>
      <c r="AI116" s="14">
        <f>IF('Données projet'!$A$62&gt;35,AI115+AH116-AQ115,IF(A116&lt;'Données projet'!$A$62,$AF$205^A116,IF(A116='Données projet'!$A$62,'Données projet'!$B$62,AI115+AH116-AQ115)))</f>
        <v>360.89999999999992</v>
      </c>
      <c r="AJ116" s="14">
        <f>AI116*VLOOKUP('Données projet'!$B$10,Paramètres!$A$1:$I$89,3,0)*VLOOKUP('Données projet'!$B$10,Paramètres!$A$1:$I$89,5,0)</f>
        <v>168.90119999999999</v>
      </c>
      <c r="AK116" s="14">
        <f t="shared" si="89"/>
        <v>42.843836138922292</v>
      </c>
      <c r="AL116" s="22">
        <f t="shared" si="58"/>
        <v>368.78927127528959</v>
      </c>
      <c r="AM116" s="62">
        <f t="shared" si="59"/>
        <v>662.12260460862285</v>
      </c>
      <c r="AN116" s="62">
        <f ca="1">AVERAGE(OFFSET($AM$3,0,0,'Données projet'!$E$10+1,1))-AVERAGE(OFFSET($H$3,0,0,'Données projet'!$E$10+1,1))</f>
        <v>284.0976902574692</v>
      </c>
      <c r="AO116" s="62">
        <f t="shared" si="90"/>
        <v>190.4880882944471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250.7200799999996</v>
      </c>
      <c r="BF116" s="14">
        <f t="shared" si="91"/>
        <v>60.740109326032709</v>
      </c>
      <c r="BG116" s="22">
        <f t="shared" si="61"/>
        <v>542.45982974283959</v>
      </c>
      <c r="BH116" s="62">
        <f t="shared" si="62"/>
        <v>835.79316307617296</v>
      </c>
      <c r="BI116" s="62">
        <f ca="1">AVERAGE(OFFSET($BH$3,0,0,'Données projet'!$E$11+1,1))-AVERAGE(OFFSET($H$3,0,0,'Données projet'!$E$11+1,1))</f>
        <v>428.8489304403459</v>
      </c>
      <c r="BJ116" s="62">
        <f t="shared" si="92"/>
        <v>247.01165577562966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144.05409916132993</v>
      </c>
      <c r="CE116" s="62">
        <f t="shared" si="94"/>
        <v>409.2784174616832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13.999112749577431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13.999112749577431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6.3550942286383367E-14</v>
      </c>
      <c r="CV116" s="14">
        <f t="shared" si="95"/>
        <v>1.0064464192543978E-12</v>
      </c>
      <c r="CW116" s="22">
        <f t="shared" si="67"/>
        <v>1.8635787380168604E-12</v>
      </c>
      <c r="CX116" s="62">
        <f t="shared" si="68"/>
        <v>293.33333333333519</v>
      </c>
      <c r="CY116" s="62">
        <f ca="1">AVERAGE(OFFSET($CX$3,0,0,'Données projet'!$E$13+1,1))-AVERAGE(OFFSET($H$3,0,0,'Données projet'!$E$13+1,1))</f>
        <v>321.13335003345236</v>
      </c>
      <c r="CZ116" s="62">
        <f t="shared" si="96"/>
        <v>301.26825075712128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2.0645822856019653</v>
      </c>
      <c r="DH116" s="23">
        <f>EXP(-LN(2)/2)*DH115+(1-EXP(-LN(2)/2))/(LN(2)/2)*DB116*DE116*VLOOKUP('Données projet'!$B$13,Paramètres!$A$1:$I$89,3,0)*0.475*44/12</f>
        <v>3.1709116358432635E-12</v>
      </c>
      <c r="DI116" s="24">
        <f t="shared" si="69"/>
        <v>2.0645822856051361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2.8846153846153868</v>
      </c>
      <c r="N117" s="14">
        <f>IF('Données projet'!$A$36&gt;35,N116+M117-V116,IF(A117&lt;'Données projet'!$A$36,$K$205^A117,IF(A117='Données projet'!$A$36,'Données projet'!$B$36,N116+M117-V116)))</f>
        <v>313.461538461538</v>
      </c>
      <c r="O117" s="14">
        <f>N117*VLOOKUP('Données projet'!$B$9,Paramètres!$A$1:$I$89,3,0)*VLOOKUP('Données projet'!$B$9,Paramètres!$A$1:$I$89,5,0)</f>
        <v>327.62999999999954</v>
      </c>
      <c r="P117" s="14">
        <f t="shared" si="87"/>
        <v>76.938739773947404</v>
      </c>
      <c r="Q117" s="22">
        <f t="shared" si="107"/>
        <v>704.62388843962435</v>
      </c>
      <c r="R117" s="62">
        <f t="shared" si="55"/>
        <v>997.95722177295761</v>
      </c>
      <c r="S117" s="62">
        <f ca="1">AVERAGE(OFFSET($R$3,0,0,'Données projet'!$E$9+1,1))-AVERAGE(OFFSET($H$3,0,0,'Données projet'!$E$9+1,1))</f>
        <v>493.70175665335978</v>
      </c>
      <c r="T117" s="62">
        <f t="shared" si="88"/>
        <v>325.12357781685949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7.0884615384615346</v>
      </c>
      <c r="AI117" s="14">
        <f>IF('Données projet'!$A$62&gt;35,AI116+AH117-AQ116,IF(A117&lt;'Données projet'!$A$62,$AF$205^A117,IF(A117='Données projet'!$A$62,'Données projet'!$B$62,AI116+AH117-AQ116)))</f>
        <v>367.98846153846148</v>
      </c>
      <c r="AJ117" s="14">
        <f>AI117*VLOOKUP('Données projet'!$B$10,Paramètres!$A$1:$I$89,3,0)*VLOOKUP('Données projet'!$B$10,Paramètres!$A$1:$I$89,5,0)</f>
        <v>172.21859999999998</v>
      </c>
      <c r="AK117" s="14">
        <f t="shared" si="89"/>
        <v>43.586540590608571</v>
      </c>
      <c r="AL117" s="22">
        <f t="shared" si="58"/>
        <v>375.86061986197655</v>
      </c>
      <c r="AM117" s="62">
        <f t="shared" si="59"/>
        <v>669.19395319530986</v>
      </c>
      <c r="AN117" s="62">
        <f ca="1">AVERAGE(OFFSET($AM$3,0,0,'Données projet'!$E$10+1,1))-AVERAGE(OFFSET($H$3,0,0,'Données projet'!$E$10+1,1))</f>
        <v>284.0976902574692</v>
      </c>
      <c r="AO117" s="62">
        <f t="shared" si="90"/>
        <v>190.4880882944471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254.06783999999956</v>
      </c>
      <c r="BF117" s="14">
        <f t="shared" si="91"/>
        <v>61.456187622750669</v>
      </c>
      <c r="BG117" s="22">
        <f t="shared" si="61"/>
        <v>549.53768144295657</v>
      </c>
      <c r="BH117" s="62">
        <f t="shared" si="62"/>
        <v>842.87101477628994</v>
      </c>
      <c r="BI117" s="62">
        <f ca="1">AVERAGE(OFFSET($BH$3,0,0,'Données projet'!$E$11+1,1))-AVERAGE(OFFSET($H$3,0,0,'Données projet'!$E$11+1,1))</f>
        <v>428.8489304403459</v>
      </c>
      <c r="BJ117" s="62">
        <f t="shared" si="92"/>
        <v>247.01165577562966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144.05409916132993</v>
      </c>
      <c r="CE117" s="62">
        <f t="shared" si="94"/>
        <v>409.2784174616832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13.724598687173877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13.724598687173877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6.3550942286383367E-14</v>
      </c>
      <c r="CV117" s="14">
        <f t="shared" si="95"/>
        <v>1.0064464192543978E-12</v>
      </c>
      <c r="CW117" s="22">
        <f t="shared" si="67"/>
        <v>1.8635787380168604E-12</v>
      </c>
      <c r="CX117" s="62">
        <f t="shared" si="68"/>
        <v>293.33333333333519</v>
      </c>
      <c r="CY117" s="62">
        <f ca="1">AVERAGE(OFFSET($CX$3,0,0,'Données projet'!$E$13+1,1))-AVERAGE(OFFSET($H$3,0,0,'Données projet'!$E$13+1,1))</f>
        <v>321.13335003345236</v>
      </c>
      <c r="CZ117" s="62">
        <f t="shared" si="96"/>
        <v>301.26825075712128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2.0081261744305157</v>
      </c>
      <c r="DH117" s="23">
        <f>EXP(-LN(2)/2)*DH116+(1-EXP(-LN(2)/2))/(LN(2)/2)*DB117*DE117*VLOOKUP('Données projet'!$B$13,Paramètres!$A$1:$I$89,3,0)*0.475*44/12</f>
        <v>2.2421731202480999E-12</v>
      </c>
      <c r="DI117" s="24">
        <f t="shared" si="69"/>
        <v>2.0081261744327579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2.8846153846153868</v>
      </c>
      <c r="N118" s="14">
        <f>IF('Données projet'!$A$36&gt;35,N117+M118-V117,IF(A118&lt;'Données projet'!$A$36,$K$205^A118,IF(A118='Données projet'!$A$36,'Données projet'!$B$36,N117+M118-V117)))</f>
        <v>316.34615384615336</v>
      </c>
      <c r="O118" s="14">
        <f>N118*VLOOKUP('Données projet'!$B$9,Paramètres!$A$1:$I$89,3,0)*VLOOKUP('Données projet'!$B$9,Paramètres!$A$1:$I$89,5,0)</f>
        <v>330.64499999999953</v>
      </c>
      <c r="P118" s="14">
        <f t="shared" si="87"/>
        <v>77.564016927186358</v>
      </c>
      <c r="Q118" s="22">
        <f t="shared" si="107"/>
        <v>710.96403781484867</v>
      </c>
      <c r="R118" s="62">
        <f t="shared" si="55"/>
        <v>1004.297371148182</v>
      </c>
      <c r="S118" s="62">
        <f ca="1">AVERAGE(OFFSET($R$3,0,0,'Données projet'!$E$9+1,1))-AVERAGE(OFFSET($H$3,0,0,'Données projet'!$E$9+1,1))</f>
        <v>493.70175665335978</v>
      </c>
      <c r="T118" s="62">
        <f t="shared" si="88"/>
        <v>325.12357781685949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7.0884615384615346</v>
      </c>
      <c r="AI118" s="14">
        <f>IF('Données projet'!$A$62&gt;35,AI117+AH118-AQ117,IF(A118&lt;'Données projet'!$A$62,$AF$205^A118,IF(A118='Données projet'!$A$62,'Données projet'!$B$62,AI117+AH118-AQ117)))</f>
        <v>375.07692307692304</v>
      </c>
      <c r="AJ118" s="14">
        <f>AI118*VLOOKUP('Données projet'!$B$10,Paramètres!$A$1:$I$89,3,0)*VLOOKUP('Données projet'!$B$10,Paramètres!$A$1:$I$89,5,0)</f>
        <v>175.53599999999997</v>
      </c>
      <c r="AK118" s="14">
        <f t="shared" si="89"/>
        <v>44.327581520891087</v>
      </c>
      <c r="AL118" s="22">
        <f t="shared" si="58"/>
        <v>382.92907114888521</v>
      </c>
      <c r="AM118" s="62">
        <f t="shared" si="59"/>
        <v>676.26240448221847</v>
      </c>
      <c r="AN118" s="62">
        <f ca="1">AVERAGE(OFFSET($AM$3,0,0,'Données projet'!$E$10+1,1))-AVERAGE(OFFSET($H$3,0,0,'Données projet'!$E$10+1,1))</f>
        <v>284.0976902574692</v>
      </c>
      <c r="AO118" s="62">
        <f t="shared" si="90"/>
        <v>190.4880882944471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257.41559999999959</v>
      </c>
      <c r="BF118" s="14">
        <f t="shared" si="91"/>
        <v>62.171168434977062</v>
      </c>
      <c r="BG118" s="22">
        <f t="shared" si="61"/>
        <v>556.61362169091774</v>
      </c>
      <c r="BH118" s="62">
        <f t="shared" si="62"/>
        <v>849.94695502425111</v>
      </c>
      <c r="BI118" s="62">
        <f ca="1">AVERAGE(OFFSET($BH$3,0,0,'Données projet'!$E$11+1,1))-AVERAGE(OFFSET($H$3,0,0,'Données projet'!$E$11+1,1))</f>
        <v>428.8489304403459</v>
      </c>
      <c r="BJ118" s="62">
        <f t="shared" si="92"/>
        <v>247.01165577562966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144.05409916132993</v>
      </c>
      <c r="CE118" s="62">
        <f t="shared" si="94"/>
        <v>409.2784174616832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13.455467678097012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13.455467678097012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6.3550942286383367E-14</v>
      </c>
      <c r="CV118" s="14">
        <f t="shared" si="95"/>
        <v>1.0064464192543978E-12</v>
      </c>
      <c r="CW118" s="22">
        <f t="shared" si="67"/>
        <v>1.8635787380168604E-12</v>
      </c>
      <c r="CX118" s="62">
        <f t="shared" si="68"/>
        <v>293.33333333333519</v>
      </c>
      <c r="CY118" s="62">
        <f ca="1">AVERAGE(OFFSET($CX$3,0,0,'Données projet'!$E$13+1,1))-AVERAGE(OFFSET($H$3,0,0,'Données projet'!$E$13+1,1))</f>
        <v>321.13335003345236</v>
      </c>
      <c r="CZ118" s="62">
        <f t="shared" si="96"/>
        <v>301.26825075712128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1.9532138585879473</v>
      </c>
      <c r="DH118" s="23">
        <f>EXP(-LN(2)/2)*DH117+(1-EXP(-LN(2)/2))/(LN(2)/2)*DB118*DE118*VLOOKUP('Données projet'!$B$13,Paramètres!$A$1:$I$89,3,0)*0.475*44/12</f>
        <v>1.5854558179216317E-12</v>
      </c>
      <c r="DI118" s="24">
        <f t="shared" si="69"/>
        <v>1.9532138585895327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2.8846153846153868</v>
      </c>
      <c r="N119" s="14">
        <f>IF('Données projet'!$A$36&gt;35,N118+M119-V118,IF(A119&lt;'Données projet'!$A$36,$K$205^A119,IF(A119='Données projet'!$A$36,'Données projet'!$B$36,N118+M119-V118)))</f>
        <v>319.23076923076871</v>
      </c>
      <c r="O119" s="14">
        <f>N119*VLOOKUP('Données projet'!$B$9,Paramètres!$A$1:$I$89,3,0)*VLOOKUP('Données projet'!$B$9,Paramètres!$A$1:$I$89,5,0)</f>
        <v>333.65999999999946</v>
      </c>
      <c r="P119" s="14">
        <f t="shared" si="87"/>
        <v>78.188630754756275</v>
      </c>
      <c r="Q119" s="22">
        <f t="shared" si="107"/>
        <v>717.30303189786616</v>
      </c>
      <c r="R119" s="62">
        <f t="shared" si="55"/>
        <v>1010.6363652311995</v>
      </c>
      <c r="S119" s="62">
        <f ca="1">AVERAGE(OFFSET($R$3,0,0,'Données projet'!$E$9+1,1))-AVERAGE(OFFSET($H$3,0,0,'Données projet'!$E$9+1,1))</f>
        <v>493.70175665335978</v>
      </c>
      <c r="T119" s="62">
        <f t="shared" si="88"/>
        <v>325.12357781685949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7.0884615384615346</v>
      </c>
      <c r="AI119" s="14">
        <f>IF('Données projet'!$A$62&gt;35,AI118+AH119-AQ118,IF(A119&lt;'Données projet'!$A$62,$AF$205^A119,IF(A119='Données projet'!$A$62,'Données projet'!$B$62,AI118+AH119-AQ118)))</f>
        <v>382.1653846153846</v>
      </c>
      <c r="AJ119" s="14">
        <f>AI119*VLOOKUP('Données projet'!$B$10,Paramètres!$A$1:$I$89,3,0)*VLOOKUP('Données projet'!$B$10,Paramètres!$A$1:$I$89,5,0)</f>
        <v>178.85339999999999</v>
      </c>
      <c r="AK119" s="14">
        <f t="shared" si="89"/>
        <v>45.06699399320177</v>
      </c>
      <c r="AL119" s="22">
        <f t="shared" si="58"/>
        <v>389.99468620482639</v>
      </c>
      <c r="AM119" s="62">
        <f t="shared" si="59"/>
        <v>683.32801953815965</v>
      </c>
      <c r="AN119" s="62">
        <f ca="1">AVERAGE(OFFSET($AM$3,0,0,'Données projet'!$E$10+1,1))-AVERAGE(OFFSET($H$3,0,0,'Données projet'!$E$10+1,1))</f>
        <v>284.0976902574692</v>
      </c>
      <c r="AO119" s="62">
        <f t="shared" si="90"/>
        <v>190.4880882944471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260.76335999999958</v>
      </c>
      <c r="BF119" s="14">
        <f t="shared" si="91"/>
        <v>62.885067686031896</v>
      </c>
      <c r="BG119" s="22">
        <f t="shared" si="61"/>
        <v>563.68767821983818</v>
      </c>
      <c r="BH119" s="62">
        <f t="shared" si="62"/>
        <v>857.02101155317155</v>
      </c>
      <c r="BI119" s="62">
        <f ca="1">AVERAGE(OFFSET($BH$3,0,0,'Données projet'!$E$11+1,1))-AVERAGE(OFFSET($H$3,0,0,'Données projet'!$E$11+1,1))</f>
        <v>428.8489304403459</v>
      </c>
      <c r="BJ119" s="62">
        <f t="shared" si="92"/>
        <v>247.01165577562966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144.05409916132993</v>
      </c>
      <c r="CE119" s="62">
        <f t="shared" si="94"/>
        <v>409.2784174616832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13.191614163954437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13.191614163954437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6.3550942286383367E-14</v>
      </c>
      <c r="CV119" s="14">
        <f t="shared" si="95"/>
        <v>1.0064464192543978E-12</v>
      </c>
      <c r="CW119" s="22">
        <f t="shared" si="67"/>
        <v>1.8635787380168604E-12</v>
      </c>
      <c r="CX119" s="62">
        <f t="shared" si="68"/>
        <v>293.33333333333519</v>
      </c>
      <c r="CY119" s="62">
        <f ca="1">AVERAGE(OFFSET($CX$3,0,0,'Données projet'!$E$13+1,1))-AVERAGE(OFFSET($H$3,0,0,'Données projet'!$E$13+1,1))</f>
        <v>321.13335003345236</v>
      </c>
      <c r="CZ119" s="62">
        <f t="shared" si="96"/>
        <v>301.26825075712128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1.8998031229098071</v>
      </c>
      <c r="DH119" s="23">
        <f>EXP(-LN(2)/2)*DH118+(1-EXP(-LN(2)/2))/(LN(2)/2)*DB119*DE119*VLOOKUP('Données projet'!$B$13,Paramètres!$A$1:$I$89,3,0)*0.475*44/12</f>
        <v>1.12108656012405E-12</v>
      </c>
      <c r="DI119" s="24">
        <f t="shared" si="69"/>
        <v>1.8998031229109282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2.8846153846153868</v>
      </c>
      <c r="N120" s="14">
        <f>IF('Données projet'!$A$36&gt;35,N119+M120-V119,IF(A120&lt;'Données projet'!$A$36,$K$205^A120,IF(A120='Données projet'!$A$36,'Données projet'!$B$36,N119+M120-V119)))</f>
        <v>322.11538461538407</v>
      </c>
      <c r="O120" s="14">
        <f>N120*VLOOKUP('Données projet'!$B$9,Paramètres!$A$1:$I$89,3,0)*VLOOKUP('Données projet'!$B$9,Paramètres!$A$1:$I$89,5,0)</f>
        <v>336.67499999999944</v>
      </c>
      <c r="P120" s="14">
        <f t="shared" si="87"/>
        <v>78.8125879449194</v>
      </c>
      <c r="Q120" s="22">
        <f t="shared" si="107"/>
        <v>723.64088233740028</v>
      </c>
      <c r="R120" s="62">
        <f t="shared" si="55"/>
        <v>1016.9742156707337</v>
      </c>
      <c r="S120" s="62">
        <f ca="1">AVERAGE(OFFSET($R$3,0,0,'Données projet'!$E$9+1,1))-AVERAGE(OFFSET($H$3,0,0,'Données projet'!$E$9+1,1))</f>
        <v>493.70175665335978</v>
      </c>
      <c r="T120" s="62">
        <f t="shared" si="88"/>
        <v>325.12357781685949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7.0884615384615346</v>
      </c>
      <c r="AI120" s="14">
        <f>IF('Données projet'!$A$62&gt;35,AI119+AH120-AQ119,IF(A120&lt;'Données projet'!$A$62,$AF$205^A120,IF(A120='Données projet'!$A$62,'Données projet'!$B$62,AI119+AH120-AQ119)))</f>
        <v>389.25384615384615</v>
      </c>
      <c r="AJ120" s="14">
        <f>AI120*VLOOKUP('Données projet'!$B$10,Paramètres!$A$1:$I$89,3,0)*VLOOKUP('Données projet'!$B$10,Paramètres!$A$1:$I$89,5,0)</f>
        <v>182.17079999999999</v>
      </c>
      <c r="AK120" s="14">
        <f t="shared" si="89"/>
        <v>45.80481169579523</v>
      </c>
      <c r="AL120" s="22">
        <f t="shared" si="58"/>
        <v>397.05752370351001</v>
      </c>
      <c r="AM120" s="62">
        <f t="shared" si="59"/>
        <v>690.39085703684327</v>
      </c>
      <c r="AN120" s="62">
        <f ca="1">AVERAGE(OFFSET($AM$3,0,0,'Données projet'!$E$10+1,1))-AVERAGE(OFFSET($H$3,0,0,'Données projet'!$E$10+1,1))</f>
        <v>284.0976902574692</v>
      </c>
      <c r="AO120" s="62">
        <f t="shared" si="90"/>
        <v>190.4880882944471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264.11111999999957</v>
      </c>
      <c r="BF120" s="14">
        <f t="shared" si="91"/>
        <v>63.597900866870546</v>
      </c>
      <c r="BG120" s="22">
        <f t="shared" si="61"/>
        <v>570.75987800979885</v>
      </c>
      <c r="BH120" s="62">
        <f t="shared" si="62"/>
        <v>864.09321134313223</v>
      </c>
      <c r="BI120" s="62">
        <f ca="1">AVERAGE(OFFSET($BH$3,0,0,'Données projet'!$E$11+1,1))-AVERAGE(OFFSET($H$3,0,0,'Données projet'!$E$11+1,1))</f>
        <v>428.8489304403459</v>
      </c>
      <c r="BJ120" s="62">
        <f t="shared" si="92"/>
        <v>247.01165577562966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144.05409916132993</v>
      </c>
      <c r="CE120" s="62">
        <f t="shared" si="94"/>
        <v>409.2784174616832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12.932934656289445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12.932934656289445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6.3550942286383367E-14</v>
      </c>
      <c r="CV120" s="14">
        <f t="shared" si="95"/>
        <v>1.0064464192543978E-12</v>
      </c>
      <c r="CW120" s="22">
        <f t="shared" si="67"/>
        <v>1.8635787380168604E-12</v>
      </c>
      <c r="CX120" s="62">
        <f t="shared" si="68"/>
        <v>293.33333333333519</v>
      </c>
      <c r="CY120" s="62">
        <f ca="1">AVERAGE(OFFSET($CX$3,0,0,'Données projet'!$E$13+1,1))-AVERAGE(OFFSET($H$3,0,0,'Données projet'!$E$13+1,1))</f>
        <v>321.13335003345236</v>
      </c>
      <c r="CZ120" s="62">
        <f t="shared" si="96"/>
        <v>301.26825075712128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1.8478529066075342</v>
      </c>
      <c r="DH120" s="23">
        <f>EXP(-LN(2)/2)*DH119+(1-EXP(-LN(2)/2))/(LN(2)/2)*DB120*DE120*VLOOKUP('Données projet'!$B$13,Paramètres!$A$1:$I$89,3,0)*0.475*44/12</f>
        <v>7.9272790896081587E-13</v>
      </c>
      <c r="DI120" s="24">
        <f t="shared" si="69"/>
        <v>1.8478529066083269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2.8846153846153868</v>
      </c>
      <c r="N121" s="14">
        <f>IF('Données projet'!$A$36&gt;35,N120+M121-V120,IF(A121&lt;'Données projet'!$A$36,$K$205^A121,IF(A121='Données projet'!$A$36,'Données projet'!$B$36,N120+M121-V120)))</f>
        <v>324.99999999999943</v>
      </c>
      <c r="O121" s="14">
        <f>N121*VLOOKUP('Données projet'!$B$9,Paramètres!$A$1:$I$89,3,0)*VLOOKUP('Données projet'!$B$9,Paramètres!$A$1:$I$89,5,0)</f>
        <v>339.68999999999943</v>
      </c>
      <c r="P121" s="14">
        <f t="shared" si="87"/>
        <v>79.435895059237467</v>
      </c>
      <c r="Q121" s="22">
        <f t="shared" si="107"/>
        <v>729.97760056150412</v>
      </c>
      <c r="R121" s="62">
        <f t="shared" si="55"/>
        <v>1023.3109338948375</v>
      </c>
      <c r="S121" s="62">
        <f ca="1">AVERAGE(OFFSET($R$3,0,0,'Données projet'!$E$9+1,1))-AVERAGE(OFFSET($H$3,0,0,'Données projet'!$E$9+1,1))</f>
        <v>493.70175665335978</v>
      </c>
      <c r="T121" s="62">
        <f t="shared" si="88"/>
        <v>325.12357781685949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7.0884615384615346</v>
      </c>
      <c r="AI121" s="14">
        <f>IF('Données projet'!$A$62&gt;35,AI120+AH121-AQ120,IF(A121&lt;'Données projet'!$A$62,$AF$205^A121,IF(A121='Données projet'!$A$62,'Données projet'!$B$62,AI120+AH121-AQ120)))</f>
        <v>396.34230769230771</v>
      </c>
      <c r="AJ121" s="14">
        <f>AI121*VLOOKUP('Données projet'!$B$10,Paramètres!$A$1:$I$89,3,0)*VLOOKUP('Données projet'!$B$10,Paramètres!$A$1:$I$89,5,0)</f>
        <v>185.48820000000001</v>
      </c>
      <c r="AK121" s="14">
        <f t="shared" si="89"/>
        <v>46.541067019725965</v>
      </c>
      <c r="AL121" s="22">
        <f t="shared" si="58"/>
        <v>404.11764005935606</v>
      </c>
      <c r="AM121" s="62">
        <f t="shared" si="59"/>
        <v>697.45097339268932</v>
      </c>
      <c r="AN121" s="62">
        <f ca="1">AVERAGE(OFFSET($AM$3,0,0,'Données projet'!$E$10+1,1))-AVERAGE(OFFSET($H$3,0,0,'Données projet'!$E$10+1,1))</f>
        <v>284.0976902574692</v>
      </c>
      <c r="AO121" s="62">
        <f t="shared" si="90"/>
        <v>190.4880882944471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267.45887999999951</v>
      </c>
      <c r="BF121" s="14">
        <f t="shared" si="91"/>
        <v>64.309683053152327</v>
      </c>
      <c r="BG121" s="22">
        <f t="shared" si="61"/>
        <v>577.8302473175728</v>
      </c>
      <c r="BH121" s="62">
        <f t="shared" si="62"/>
        <v>871.16358065090617</v>
      </c>
      <c r="BI121" s="62">
        <f ca="1">AVERAGE(OFFSET($BH$3,0,0,'Données projet'!$E$11+1,1))-AVERAGE(OFFSET($H$3,0,0,'Données projet'!$E$11+1,1))</f>
        <v>428.8489304403459</v>
      </c>
      <c r="BJ121" s="62">
        <f t="shared" si="92"/>
        <v>247.01165577562966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144.05409916132993</v>
      </c>
      <c r="CE121" s="62">
        <f t="shared" si="94"/>
        <v>409.2784174616832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12.679327695990844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12.679327695990844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6.3550942286383367E-14</v>
      </c>
      <c r="CV121" s="14">
        <f t="shared" si="95"/>
        <v>1.0064464192543978E-12</v>
      </c>
      <c r="CW121" s="22">
        <f t="shared" si="67"/>
        <v>1.8635787380168604E-12</v>
      </c>
      <c r="CX121" s="62">
        <f t="shared" si="68"/>
        <v>293.33333333333519</v>
      </c>
      <c r="CY121" s="62">
        <f ca="1">AVERAGE(OFFSET($CX$3,0,0,'Données projet'!$E$13+1,1))-AVERAGE(OFFSET($H$3,0,0,'Données projet'!$E$13+1,1))</f>
        <v>321.13335003345236</v>
      </c>
      <c r="CZ121" s="62">
        <f t="shared" si="96"/>
        <v>301.26825075712128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1.7973232717019902</v>
      </c>
      <c r="DH121" s="23">
        <f>EXP(-LN(2)/2)*DH120+(1-EXP(-LN(2)/2))/(LN(2)/2)*DB121*DE121*VLOOKUP('Données projet'!$B$13,Paramètres!$A$1:$I$89,3,0)*0.475*44/12</f>
        <v>5.6054328006202498E-13</v>
      </c>
      <c r="DI121" s="24">
        <f t="shared" si="69"/>
        <v>1.7973232717025507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2.8846153846153868</v>
      </c>
      <c r="N122" s="14">
        <f>IF('Données projet'!$A$36&gt;35,N121+M122-V121,IF(A122&lt;'Données projet'!$A$36,$K$205^A122,IF(A122='Données projet'!$A$36,'Données projet'!$B$36,N121+M122-V121)))</f>
        <v>327.88461538461479</v>
      </c>
      <c r="O122" s="14">
        <f>N122*VLOOKUP('Données projet'!$B$9,Paramètres!$A$1:$I$89,3,0)*VLOOKUP('Données projet'!$B$9,Paramètres!$A$1:$I$89,5,0)</f>
        <v>342.70499999999942</v>
      </c>
      <c r="P122" s="14">
        <f t="shared" si="87"/>
        <v>80.058558536074614</v>
      </c>
      <c r="Q122" s="22">
        <f t="shared" si="107"/>
        <v>736.31319778366208</v>
      </c>
      <c r="R122" s="62">
        <f t="shared" si="55"/>
        <v>1029.6465311169954</v>
      </c>
      <c r="S122" s="62">
        <f ca="1">AVERAGE(OFFSET($R$3,0,0,'Données projet'!$E$9+1,1))-AVERAGE(OFFSET($H$3,0,0,'Données projet'!$E$9+1,1))</f>
        <v>493.70175665335978</v>
      </c>
      <c r="T122" s="62">
        <f t="shared" si="88"/>
        <v>325.12357781685949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7.0884615384615346</v>
      </c>
      <c r="AI122" s="14">
        <f>IF('Données projet'!$A$62&gt;35,AI121+AH122-AQ121,IF(A122&lt;'Données projet'!$A$62,$AF$205^A122,IF(A122='Données projet'!$A$62,'Données projet'!$B$62,AI121+AH122-AQ121)))</f>
        <v>403.43076923076927</v>
      </c>
      <c r="AJ122" s="14">
        <f>AI122*VLOOKUP('Données projet'!$B$10,Paramètres!$A$1:$I$89,3,0)*VLOOKUP('Données projet'!$B$10,Paramètres!$A$1:$I$89,5,0)</f>
        <v>188.80560000000003</v>
      </c>
      <c r="AK122" s="14">
        <f t="shared" si="89"/>
        <v>47.275791131089058</v>
      </c>
      <c r="AL122" s="22">
        <f t="shared" si="58"/>
        <v>411.17508955331346</v>
      </c>
      <c r="AM122" s="62">
        <f t="shared" si="59"/>
        <v>704.50842288664671</v>
      </c>
      <c r="AN122" s="62">
        <f ca="1">AVERAGE(OFFSET($AM$3,0,0,'Données projet'!$E$10+1,1))-AVERAGE(OFFSET($H$3,0,0,'Données projet'!$E$10+1,1))</f>
        <v>284.0976902574692</v>
      </c>
      <c r="AO122" s="62">
        <f t="shared" si="90"/>
        <v>190.4880882944471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270.80663999999956</v>
      </c>
      <c r="BF122" s="14">
        <f t="shared" si="91"/>
        <v>65.020428921429911</v>
      </c>
      <c r="BG122" s="22">
        <f t="shared" si="61"/>
        <v>584.89881170482306</v>
      </c>
      <c r="BH122" s="62">
        <f t="shared" si="62"/>
        <v>878.23214503815643</v>
      </c>
      <c r="BI122" s="62">
        <f ca="1">AVERAGE(OFFSET($BH$3,0,0,'Données projet'!$E$11+1,1))-AVERAGE(OFFSET($H$3,0,0,'Données projet'!$E$11+1,1))</f>
        <v>428.8489304403459</v>
      </c>
      <c r="BJ122" s="62">
        <f t="shared" si="92"/>
        <v>247.01165577562966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144.05409916132993</v>
      </c>
      <c r="CE122" s="62">
        <f t="shared" si="94"/>
        <v>409.2784174616832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12.430693813498726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12.430693813498726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6.3550942286383367E-14</v>
      </c>
      <c r="CV122" s="14">
        <f t="shared" si="95"/>
        <v>1.0064464192543978E-12</v>
      </c>
      <c r="CW122" s="22">
        <f t="shared" si="67"/>
        <v>1.8635787380168604E-12</v>
      </c>
      <c r="CX122" s="62">
        <f t="shared" si="68"/>
        <v>293.33333333333519</v>
      </c>
      <c r="CY122" s="62">
        <f ca="1">AVERAGE(OFFSET($CX$3,0,0,'Données projet'!$E$13+1,1))-AVERAGE(OFFSET($H$3,0,0,'Données projet'!$E$13+1,1))</f>
        <v>321.13335003345236</v>
      </c>
      <c r="CZ122" s="62">
        <f t="shared" si="96"/>
        <v>301.26825075712128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1.7481753723201763</v>
      </c>
      <c r="DH122" s="23">
        <f>EXP(-LN(2)/2)*DH121+(1-EXP(-LN(2)/2))/(LN(2)/2)*DB122*DE122*VLOOKUP('Données projet'!$B$13,Paramètres!$A$1:$I$89,3,0)*0.475*44/12</f>
        <v>3.9636395448040793E-13</v>
      </c>
      <c r="DI122" s="24">
        <f t="shared" si="69"/>
        <v>1.7481753723205726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330.76923076923077</v>
      </c>
      <c r="L123" s="13">
        <f>VLOOKUP(A123,'Données projet'!$A$35:$I$55,9,0)</f>
        <v>2.8846153846153868</v>
      </c>
      <c r="M123" s="13">
        <f t="array" ref="M123">INDEX(L:L,MIN(IF(ISNUMBER(L123:L319),ROW(L123:L319),"")))</f>
        <v>2.8846153846153868</v>
      </c>
      <c r="N123" s="14">
        <f>IF('Données projet'!$A$36&gt;35,N122+M123-V122,IF(A123&lt;'Données projet'!$A$36,$K$205^A123,IF(A123='Données projet'!$A$36,'Données projet'!$B$36,N122+M123-V122)))</f>
        <v>330.76923076923015</v>
      </c>
      <c r="O123" s="14">
        <f>N123*VLOOKUP('Données projet'!$B$9,Paramètres!$A$1:$I$89,3,0)*VLOOKUP('Données projet'!$B$9,Paramètres!$A$1:$I$89,5,0)</f>
        <v>345.7199999999994</v>
      </c>
      <c r="P123" s="14">
        <f t="shared" si="87"/>
        <v>80.6805846939736</v>
      </c>
      <c r="Q123" s="22">
        <f t="shared" si="107"/>
        <v>742.64768500866955</v>
      </c>
      <c r="R123" s="62">
        <f t="shared" si="55"/>
        <v>1035.9810183420029</v>
      </c>
      <c r="S123" s="62">
        <f ca="1">AVERAGE(OFFSET($R$3,0,0,'Données projet'!$E$9+1,1))-AVERAGE(OFFSET($H$3,0,0,'Données projet'!$E$9+1,1))</f>
        <v>493.70175665335978</v>
      </c>
      <c r="T123" s="62">
        <f t="shared" si="88"/>
        <v>325.12357781685949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17.948717948717949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7.0884615384615346</v>
      </c>
      <c r="AI123" s="14">
        <f>IF('Données projet'!$A$62&gt;35,AI122+AH123-AQ122,IF(A123&lt;'Données projet'!$A$62,$AF$205^A123,IF(A123='Données projet'!$A$62,'Données projet'!$B$62,AI122+AH123-AQ122)))</f>
        <v>410.51923076923083</v>
      </c>
      <c r="AJ123" s="14">
        <f>AI123*VLOOKUP('Données projet'!$B$10,Paramètres!$A$1:$I$89,3,0)*VLOOKUP('Données projet'!$B$10,Paramètres!$A$1:$I$89,5,0)</f>
        <v>192.12300000000005</v>
      </c>
      <c r="AK123" s="14">
        <f t="shared" si="89"/>
        <v>48.00901403803968</v>
      </c>
      <c r="AL123" s="22">
        <f t="shared" si="58"/>
        <v>418.22992444958589</v>
      </c>
      <c r="AM123" s="62">
        <f t="shared" si="59"/>
        <v>711.56325778291921</v>
      </c>
      <c r="AN123" s="62">
        <f ca="1">AVERAGE(OFFSET($AM$3,0,0,'Données projet'!$E$10+1,1))-AVERAGE(OFFSET($H$3,0,0,'Données projet'!$E$10+1,1))</f>
        <v>284.0976902574692</v>
      </c>
      <c r="AO123" s="62">
        <f t="shared" si="90"/>
        <v>190.4880882944471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274.15439999999955</v>
      </c>
      <c r="BF123" s="14">
        <f t="shared" si="91"/>
        <v>65.730152764515779</v>
      </c>
      <c r="BG123" s="22">
        <f t="shared" si="61"/>
        <v>591.96559606486414</v>
      </c>
      <c r="BH123" s="62">
        <f t="shared" si="62"/>
        <v>885.29892939819752</v>
      </c>
      <c r="BI123" s="62">
        <f ca="1">AVERAGE(OFFSET($BH$3,0,0,'Données projet'!$E$11+1,1))-AVERAGE(OFFSET($H$3,0,0,'Données projet'!$E$11+1,1))</f>
        <v>428.8489304403459</v>
      </c>
      <c r="BJ123" s="62">
        <f t="shared" si="92"/>
        <v>247.01165577562966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144.05409916132993</v>
      </c>
      <c r="CE123" s="62">
        <f t="shared" si="94"/>
        <v>409.2784174616832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12.186935489790585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12.186935489790585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6.3550942286383367E-14</v>
      </c>
      <c r="CV123" s="14">
        <f t="shared" si="95"/>
        <v>1.0064464192543978E-12</v>
      </c>
      <c r="CW123" s="22">
        <f t="shared" si="67"/>
        <v>1.8635787380168604E-12</v>
      </c>
      <c r="CX123" s="62">
        <f t="shared" si="68"/>
        <v>293.33333333333519</v>
      </c>
      <c r="CY123" s="62">
        <f ca="1">AVERAGE(OFFSET($CX$3,0,0,'Données projet'!$E$13+1,1))-AVERAGE(OFFSET($H$3,0,0,'Données projet'!$E$13+1,1))</f>
        <v>321.13335003345236</v>
      </c>
      <c r="CZ123" s="62">
        <f t="shared" si="96"/>
        <v>301.26825075712128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1.7003714248315338</v>
      </c>
      <c r="DH123" s="23">
        <f>EXP(-LN(2)/2)*DH122+(1-EXP(-LN(2)/2))/(LN(2)/2)*DB123*DE123*VLOOKUP('Données projet'!$B$13,Paramètres!$A$1:$I$89,3,0)*0.475*44/12</f>
        <v>2.8027164003101249E-13</v>
      </c>
      <c r="DI123" s="24">
        <f t="shared" si="69"/>
        <v>1.700371424831814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2.6282051282051269</v>
      </c>
      <c r="N124" s="14">
        <f>IF('Données projet'!$A$36&gt;35,N123+M124-V123,IF(A124&lt;'Données projet'!$A$36,$K$205^A124,IF(A124='Données projet'!$A$36,'Données projet'!$B$36,N123+M124-V123)))</f>
        <v>315.44871794871733</v>
      </c>
      <c r="O124" s="14">
        <f>N124*VLOOKUP('Données projet'!$B$9,Paramètres!$A$1:$I$89,3,0)*VLOOKUP('Données projet'!$B$9,Paramètres!$A$1:$I$89,5,0)</f>
        <v>329.70699999999937</v>
      </c>
      <c r="P124" s="14">
        <f t="shared" si="87"/>
        <v>77.369557656320978</v>
      </c>
      <c r="Q124" s="22">
        <f t="shared" si="107"/>
        <v>708.99167125142458</v>
      </c>
      <c r="R124" s="62">
        <f t="shared" si="55"/>
        <v>1002.3250045847578</v>
      </c>
      <c r="S124" s="62">
        <f ca="1">AVERAGE(OFFSET($R$3,0,0,'Données projet'!$E$9+1,1))-AVERAGE(OFFSET($H$3,0,0,'Données projet'!$E$9+1,1))</f>
        <v>493.70175665335978</v>
      </c>
      <c r="T124" s="62">
        <f t="shared" si="88"/>
        <v>325.12357781685949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>
        <f>VLOOKUP(A124,'Données projet'!$A$61:$I$81,2,0)</f>
        <v>417.60769230769228</v>
      </c>
      <c r="AG124" s="13">
        <f>VLOOKUP(A124,'Données projet'!$A$61:$I$81,9,0)</f>
        <v>7.0884615384615346</v>
      </c>
      <c r="AH124" s="13">
        <f t="array" ref="AH124">INDEX(AG:AG,MIN(IF(ISNUMBER(AG124:AG320),ROW(AG124:AG320),"")))</f>
        <v>7.0884615384615346</v>
      </c>
      <c r="AI124" s="14">
        <f>IF('Données projet'!$A$62&gt;35,AI123+AH124-AQ123,IF(A124&lt;'Données projet'!$A$62,$AF$205^A124,IF(A124='Données projet'!$A$62,'Données projet'!$B$62,AI123+AH124-AQ123)))</f>
        <v>417.60769230769239</v>
      </c>
      <c r="AJ124" s="14">
        <f>AI124*VLOOKUP('Données projet'!$B$10,Paramètres!$A$1:$I$89,3,0)*VLOOKUP('Données projet'!$B$10,Paramètres!$A$1:$I$89,5,0)</f>
        <v>195.44040000000004</v>
      </c>
      <c r="AK124" s="14">
        <f t="shared" si="89"/>
        <v>48.740764653053269</v>
      </c>
      <c r="AL124" s="22">
        <f t="shared" si="58"/>
        <v>425.28219510406785</v>
      </c>
      <c r="AM124" s="62">
        <f t="shared" si="59"/>
        <v>718.61552843740117</v>
      </c>
      <c r="AN124" s="62">
        <f ca="1">AVERAGE(OFFSET($AM$3,0,0,'Données projet'!$E$10+1,1))-AVERAGE(OFFSET($H$3,0,0,'Données projet'!$E$10+1,1))</f>
        <v>284.0976902574692</v>
      </c>
      <c r="AO124" s="62">
        <f t="shared" si="90"/>
        <v>190.4880882944471</v>
      </c>
      <c r="AP124" s="16">
        <f>IF(ISNA(VLOOKUP(A124,'Données projet'!$A$61:$I$81,3,0)),0,VLOOKUP(A124,'Données projet'!$A$61:$I$81,3,0))</f>
        <v>7</v>
      </c>
      <c r="AQ124" s="16">
        <f>IF(ISNA(VLOOKUP(A124,'Données projet'!$A$61:$I$81,4,0)),0,VLOOKUP(A124,'Données projet'!$A$61:$I$81,4,0))</f>
        <v>207.07692307692307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245.3817599999995</v>
      </c>
      <c r="BF124" s="14">
        <f t="shared" si="91"/>
        <v>59.595943661626663</v>
      </c>
      <c r="BG124" s="22">
        <f t="shared" si="61"/>
        <v>531.16950054399888</v>
      </c>
      <c r="BH124" s="62">
        <f t="shared" si="62"/>
        <v>824.50283387733225</v>
      </c>
      <c r="BI124" s="62">
        <f ca="1">AVERAGE(OFFSET($BH$3,0,0,'Données projet'!$E$11+1,1))-AVERAGE(OFFSET($H$3,0,0,'Données projet'!$E$11+1,1))</f>
        <v>428.8489304403459</v>
      </c>
      <c r="BJ124" s="62">
        <f t="shared" si="92"/>
        <v>247.01165577562966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144.05409916132993</v>
      </c>
      <c r="CE124" s="62">
        <f t="shared" si="94"/>
        <v>409.2784174616832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11.947957118132463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11.947957118132463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6.3550942286383367E-14</v>
      </c>
      <c r="CV124" s="14">
        <f t="shared" si="95"/>
        <v>1.0064464192543978E-12</v>
      </c>
      <c r="CW124" s="22">
        <f t="shared" si="67"/>
        <v>1.8635787380168604E-12</v>
      </c>
      <c r="CX124" s="62">
        <f t="shared" si="68"/>
        <v>293.33333333333519</v>
      </c>
      <c r="CY124" s="62">
        <f ca="1">AVERAGE(OFFSET($CX$3,0,0,'Données projet'!$E$13+1,1))-AVERAGE(OFFSET($H$3,0,0,'Données projet'!$E$13+1,1))</f>
        <v>321.13335003345236</v>
      </c>
      <c r="CZ124" s="62">
        <f t="shared" si="96"/>
        <v>301.26825075712128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1.6538746788008685</v>
      </c>
      <c r="DH124" s="23">
        <f>EXP(-LN(2)/2)*DH123+(1-EXP(-LN(2)/2))/(LN(2)/2)*DB124*DE124*VLOOKUP('Données projet'!$B$13,Paramètres!$A$1:$I$89,3,0)*0.475*44/12</f>
        <v>1.9818197724020397E-13</v>
      </c>
      <c r="DI124" s="24">
        <f t="shared" si="69"/>
        <v>1.6538746788010668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2.6282051282051269</v>
      </c>
      <c r="N125" s="14">
        <f>IF('Données projet'!$A$36&gt;35,N124+M125-V124,IF(A125&lt;'Données projet'!$A$36,$K$205^A125,IF(A125='Données projet'!$A$36,'Données projet'!$B$36,N124+M125-V124)))</f>
        <v>318.07692307692247</v>
      </c>
      <c r="O125" s="14">
        <f>N125*VLOOKUP('Données projet'!$B$9,Paramètres!$A$1:$I$89,3,0)*VLOOKUP('Données projet'!$B$9,Paramètres!$A$1:$I$89,5,0)</f>
        <v>332.45399999999938</v>
      </c>
      <c r="P125" s="14">
        <f t="shared" si="87"/>
        <v>77.938864391883257</v>
      </c>
      <c r="Q125" s="22">
        <f t="shared" si="107"/>
        <v>714.76757214919553</v>
      </c>
      <c r="R125" s="62">
        <f t="shared" si="55"/>
        <v>1008.1009054825288</v>
      </c>
      <c r="S125" s="62">
        <f ca="1">AVERAGE(OFFSET($R$3,0,0,'Données projet'!$E$9+1,1))-AVERAGE(OFFSET($H$3,0,0,'Données projet'!$E$9+1,1))</f>
        <v>493.70175665335978</v>
      </c>
      <c r="T125" s="62">
        <f t="shared" si="88"/>
        <v>325.12357781685949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4.9084615384615375</v>
      </c>
      <c r="AI125" s="14">
        <f>IF('Données projet'!$A$62&gt;35,AI124+AH125-AQ124,IF(A125&lt;'Données projet'!$A$62,$AF$205^A125,IF(A125='Données projet'!$A$62,'Données projet'!$B$62,AI124+AH125-AQ124)))</f>
        <v>215.43923076923087</v>
      </c>
      <c r="AJ125" s="14">
        <f>AI125*VLOOKUP('Données projet'!$B$10,Paramètres!$A$1:$I$89,3,0)*VLOOKUP('Données projet'!$B$10,Paramètres!$A$1:$I$89,5,0)</f>
        <v>100.82556000000005</v>
      </c>
      <c r="AK125" s="14">
        <f t="shared" si="89"/>
        <v>27.158581624033928</v>
      </c>
      <c r="AL125" s="22">
        <f t="shared" si="58"/>
        <v>222.90571332852585</v>
      </c>
      <c r="AM125" s="62">
        <f t="shared" si="59"/>
        <v>516.23904666185922</v>
      </c>
      <c r="AN125" s="62">
        <f ca="1">AVERAGE(OFFSET($AM$3,0,0,'Données projet'!$E$10+1,1))-AVERAGE(OFFSET($H$3,0,0,'Données projet'!$E$10+1,1))</f>
        <v>284.0976902574692</v>
      </c>
      <c r="AO125" s="62">
        <f t="shared" si="90"/>
        <v>190.4880882944471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248.27711999999951</v>
      </c>
      <c r="BF125" s="14">
        <f t="shared" si="91"/>
        <v>60.216863677580257</v>
      </c>
      <c r="BG125" s="22">
        <f t="shared" si="61"/>
        <v>537.29368823845141</v>
      </c>
      <c r="BH125" s="62">
        <f t="shared" si="62"/>
        <v>830.62702157178478</v>
      </c>
      <c r="BI125" s="62">
        <f ca="1">AVERAGE(OFFSET($BH$3,0,0,'Données projet'!$E$11+1,1))-AVERAGE(OFFSET($H$3,0,0,'Données projet'!$E$11+1,1))</f>
        <v>428.8489304403459</v>
      </c>
      <c r="BJ125" s="62">
        <f t="shared" si="92"/>
        <v>247.01165577562966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144.05409916132993</v>
      </c>
      <c r="CE125" s="62">
        <f t="shared" si="94"/>
        <v>409.2784174616832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11.713664966580144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11.713664966580144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6.3550942286383367E-14</v>
      </c>
      <c r="CV125" s="14">
        <f t="shared" si="95"/>
        <v>1.0064464192543978E-12</v>
      </c>
      <c r="CW125" s="22">
        <f t="shared" si="67"/>
        <v>1.8635787380168604E-12</v>
      </c>
      <c r="CX125" s="62">
        <f t="shared" si="68"/>
        <v>293.33333333333519</v>
      </c>
      <c r="CY125" s="62">
        <f ca="1">AVERAGE(OFFSET($CX$3,0,0,'Données projet'!$E$13+1,1))-AVERAGE(OFFSET($H$3,0,0,'Données projet'!$E$13+1,1))</f>
        <v>321.13335003345236</v>
      </c>
      <c r="CZ125" s="62">
        <f t="shared" si="96"/>
        <v>301.26825075712128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1.6086493887355693</v>
      </c>
      <c r="DH125" s="23">
        <f>EXP(-LN(2)/2)*DH124+(1-EXP(-LN(2)/2))/(LN(2)/2)*DB125*DE125*VLOOKUP('Données projet'!$B$13,Paramètres!$A$1:$I$89,3,0)*0.475*44/12</f>
        <v>1.4013582001550625E-13</v>
      </c>
      <c r="DI125" s="24">
        <f t="shared" si="69"/>
        <v>1.6086493887357094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2.6282051282051269</v>
      </c>
      <c r="N126" s="14">
        <f>IF('Données projet'!$A$36&gt;35,N125+M126-V125,IF(A126&lt;'Données projet'!$A$36,$K$205^A126,IF(A126='Données projet'!$A$36,'Données projet'!$B$36,N125+M126-V125)))</f>
        <v>320.70512820512761</v>
      </c>
      <c r="O126" s="14">
        <f>N126*VLOOKUP('Données projet'!$B$9,Paramètres!$A$1:$I$89,3,0)*VLOOKUP('Données projet'!$B$9,Paramètres!$A$1:$I$89,5,0)</f>
        <v>335.2009999999994</v>
      </c>
      <c r="P126" s="14">
        <f t="shared" si="87"/>
        <v>78.507623830791573</v>
      </c>
      <c r="Q126" s="22">
        <f t="shared" si="107"/>
        <v>720.54251983862753</v>
      </c>
      <c r="R126" s="62">
        <f t="shared" si="55"/>
        <v>1013.8758531719609</v>
      </c>
      <c r="S126" s="62">
        <f ca="1">AVERAGE(OFFSET($R$3,0,0,'Données projet'!$E$9+1,1))-AVERAGE(OFFSET($H$3,0,0,'Données projet'!$E$9+1,1))</f>
        <v>493.70175665335978</v>
      </c>
      <c r="T126" s="62">
        <f t="shared" si="88"/>
        <v>325.12357781685949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4.9084615384615375</v>
      </c>
      <c r="AI126" s="14">
        <f>IF('Données projet'!$A$62&gt;35,AI125+AH126-AQ125,IF(A126&lt;'Données projet'!$A$62,$AF$205^A126,IF(A126='Données projet'!$A$62,'Données projet'!$B$62,AI125+AH126-AQ125)))</f>
        <v>220.3476923076924</v>
      </c>
      <c r="AJ126" s="14">
        <f>AI126*VLOOKUP('Données projet'!$B$10,Paramètres!$A$1:$I$89,3,0)*VLOOKUP('Données projet'!$B$10,Paramètres!$A$1:$I$89,5,0)</f>
        <v>103.12272000000004</v>
      </c>
      <c r="AK126" s="14">
        <f t="shared" si="89"/>
        <v>27.70460592159165</v>
      </c>
      <c r="AL126" s="22">
        <f t="shared" si="58"/>
        <v>227.85759264677219</v>
      </c>
      <c r="AM126" s="62">
        <f t="shared" si="59"/>
        <v>521.19092598010548</v>
      </c>
      <c r="AN126" s="62">
        <f ca="1">AVERAGE(OFFSET($AM$3,0,0,'Données projet'!$E$10+1,1))-AVERAGE(OFFSET($H$3,0,0,'Données projet'!$E$10+1,1))</f>
        <v>284.0976902574692</v>
      </c>
      <c r="AO126" s="62">
        <f t="shared" si="90"/>
        <v>190.4880882944471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251.1724799999995</v>
      </c>
      <c r="BF126" s="14">
        <f t="shared" si="91"/>
        <v>60.836941386956575</v>
      </c>
      <c r="BG126" s="22">
        <f t="shared" si="61"/>
        <v>543.41640891561519</v>
      </c>
      <c r="BH126" s="62">
        <f t="shared" si="62"/>
        <v>836.74974224894845</v>
      </c>
      <c r="BI126" s="62">
        <f ca="1">AVERAGE(OFFSET($BH$3,0,0,'Données projet'!$E$11+1,1))-AVERAGE(OFFSET($H$3,0,0,'Données projet'!$E$11+1,1))</f>
        <v>428.8489304403459</v>
      </c>
      <c r="BJ126" s="62">
        <f t="shared" si="92"/>
        <v>247.01165577562966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144.05409916132993</v>
      </c>
      <c r="CE126" s="62">
        <f t="shared" si="94"/>
        <v>409.2784174616832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11.483967141215663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11.483967141215663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6.3550942286383367E-14</v>
      </c>
      <c r="CV126" s="14">
        <f t="shared" si="95"/>
        <v>1.0064464192543978E-12</v>
      </c>
      <c r="CW126" s="22">
        <f t="shared" si="67"/>
        <v>1.8635787380168604E-12</v>
      </c>
      <c r="CX126" s="62">
        <f t="shared" si="68"/>
        <v>293.33333333333519</v>
      </c>
      <c r="CY126" s="62">
        <f ca="1">AVERAGE(OFFSET($CX$3,0,0,'Données projet'!$E$13+1,1))-AVERAGE(OFFSET($H$3,0,0,'Données projet'!$E$13+1,1))</f>
        <v>321.13335003345236</v>
      </c>
      <c r="CZ126" s="62">
        <f t="shared" si="96"/>
        <v>301.26825075712128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1.5646607866054003</v>
      </c>
      <c r="DH126" s="23">
        <f>EXP(-LN(2)/2)*DH125+(1-EXP(-LN(2)/2))/(LN(2)/2)*DB126*DE126*VLOOKUP('Données projet'!$B$13,Paramètres!$A$1:$I$89,3,0)*0.475*44/12</f>
        <v>9.9090988620101983E-14</v>
      </c>
      <c r="DI126" s="24">
        <f t="shared" si="69"/>
        <v>1.5646607866054993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2.6282051282051269</v>
      </c>
      <c r="N127" s="14">
        <f>IF('Données projet'!$A$36&gt;35,N126+M127-V126,IF(A127&lt;'Données projet'!$A$36,$K$205^A127,IF(A127='Données projet'!$A$36,'Données projet'!$B$36,N126+M127-V126)))</f>
        <v>323.33333333333275</v>
      </c>
      <c r="O127" s="14">
        <f>N127*VLOOKUP('Données projet'!$B$9,Paramètres!$A$1:$I$89,3,0)*VLOOKUP('Données projet'!$B$9,Paramètres!$A$1:$I$89,5,0)</f>
        <v>337.94799999999941</v>
      </c>
      <c r="P127" s="14">
        <f t="shared" si="87"/>
        <v>79.075840977982864</v>
      </c>
      <c r="Q127" s="22">
        <f t="shared" si="107"/>
        <v>726.31652303665248</v>
      </c>
      <c r="R127" s="62">
        <f t="shared" si="55"/>
        <v>1019.6498563699859</v>
      </c>
      <c r="S127" s="62">
        <f ca="1">AVERAGE(OFFSET($R$3,0,0,'Données projet'!$E$9+1,1))-AVERAGE(OFFSET($H$3,0,0,'Données projet'!$E$9+1,1))</f>
        <v>493.70175665335978</v>
      </c>
      <c r="T127" s="62">
        <f t="shared" si="88"/>
        <v>325.12357781685949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4.9084615384615375</v>
      </c>
      <c r="AI127" s="14">
        <f>IF('Données projet'!$A$62&gt;35,AI126+AH127-AQ126,IF(A127&lt;'Données projet'!$A$62,$AF$205^A127,IF(A127='Données projet'!$A$62,'Données projet'!$B$62,AI126+AH127-AQ126)))</f>
        <v>225.25615384615395</v>
      </c>
      <c r="AJ127" s="14">
        <f>AI127*VLOOKUP('Données projet'!$B$10,Paramètres!$A$1:$I$89,3,0)*VLOOKUP('Données projet'!$B$10,Paramètres!$A$1:$I$89,5,0)</f>
        <v>105.41988000000005</v>
      </c>
      <c r="AK127" s="14">
        <f t="shared" si="89"/>
        <v>28.249216129722317</v>
      </c>
      <c r="AL127" s="22">
        <f t="shared" si="58"/>
        <v>232.80700909259977</v>
      </c>
      <c r="AM127" s="62">
        <f t="shared" si="59"/>
        <v>526.14034242593311</v>
      </c>
      <c r="AN127" s="62">
        <f ca="1">AVERAGE(OFFSET($AM$3,0,0,'Données projet'!$E$10+1,1))-AVERAGE(OFFSET($H$3,0,0,'Données projet'!$E$10+1,1))</f>
        <v>284.0976902574692</v>
      </c>
      <c r="AO127" s="62">
        <f t="shared" si="90"/>
        <v>190.4880882944471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254.06783999999948</v>
      </c>
      <c r="BF127" s="14">
        <f t="shared" si="91"/>
        <v>61.456187622750612</v>
      </c>
      <c r="BG127" s="22">
        <f t="shared" si="61"/>
        <v>549.53768144295634</v>
      </c>
      <c r="BH127" s="62">
        <f t="shared" si="62"/>
        <v>842.87101477628971</v>
      </c>
      <c r="BI127" s="62">
        <f ca="1">AVERAGE(OFFSET($BH$3,0,0,'Données projet'!$E$11+1,1))-AVERAGE(OFFSET($H$3,0,0,'Données projet'!$E$11+1,1))</f>
        <v>428.8489304403459</v>
      </c>
      <c r="BJ127" s="62">
        <f t="shared" si="92"/>
        <v>247.01165577562966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144.05409916132993</v>
      </c>
      <c r="CE127" s="62">
        <f t="shared" si="94"/>
        <v>409.2784174616832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11.25877355010474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11.25877355010474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6.3550942286383367E-14</v>
      </c>
      <c r="CV127" s="14">
        <f t="shared" si="95"/>
        <v>1.0064464192543978E-12</v>
      </c>
      <c r="CW127" s="22">
        <f t="shared" si="67"/>
        <v>1.8635787380168604E-12</v>
      </c>
      <c r="CX127" s="62">
        <f t="shared" si="68"/>
        <v>293.33333333333519</v>
      </c>
      <c r="CY127" s="62">
        <f ca="1">AVERAGE(OFFSET($CX$3,0,0,'Données projet'!$E$13+1,1))-AVERAGE(OFFSET($H$3,0,0,'Données projet'!$E$13+1,1))</f>
        <v>321.13335003345236</v>
      </c>
      <c r="CZ127" s="62">
        <f t="shared" si="96"/>
        <v>301.26825075712128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1.521875055113741</v>
      </c>
      <c r="DH127" s="23">
        <f>EXP(-LN(2)/2)*DH126+(1-EXP(-LN(2)/2))/(LN(2)/2)*DB127*DE127*VLOOKUP('Données projet'!$B$13,Paramètres!$A$1:$I$89,3,0)*0.475*44/12</f>
        <v>7.0067910007753123E-14</v>
      </c>
      <c r="DI127" s="24">
        <f t="shared" si="69"/>
        <v>1.5218750551138112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2.6282051282051269</v>
      </c>
      <c r="N128" s="14">
        <f>IF('Données projet'!$A$36&gt;35,N127+M128-V127,IF(A128&lt;'Données projet'!$A$36,$K$205^A128,IF(A128='Données projet'!$A$36,'Données projet'!$B$36,N127+M128-V127)))</f>
        <v>325.96153846153788</v>
      </c>
      <c r="O128" s="14">
        <f>N128*VLOOKUP('Données projet'!$B$9,Paramètres!$A$1:$I$89,3,0)*VLOOKUP('Données projet'!$B$9,Paramètres!$A$1:$I$89,5,0)</f>
        <v>340.69499999999942</v>
      </c>
      <c r="P128" s="14">
        <f t="shared" si="87"/>
        <v>79.643520752331625</v>
      </c>
      <c r="Q128" s="22">
        <f t="shared" si="107"/>
        <v>732.08959031030997</v>
      </c>
      <c r="R128" s="62">
        <f t="shared" si="55"/>
        <v>1025.4229236436433</v>
      </c>
      <c r="S128" s="62">
        <f ca="1">AVERAGE(OFFSET($R$3,0,0,'Données projet'!$E$9+1,1))-AVERAGE(OFFSET($H$3,0,0,'Données projet'!$E$9+1,1))</f>
        <v>493.70175665335978</v>
      </c>
      <c r="T128" s="62">
        <f t="shared" si="88"/>
        <v>325.12357781685949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4.9084615384615375</v>
      </c>
      <c r="AI128" s="14">
        <f>IF('Données projet'!$A$62&gt;35,AI127+AH128-AQ127,IF(A128&lt;'Données projet'!$A$62,$AF$205^A128,IF(A128='Données projet'!$A$62,'Données projet'!$B$62,AI127+AH128-AQ127)))</f>
        <v>230.1646153846155</v>
      </c>
      <c r="AJ128" s="14">
        <f>AI128*VLOOKUP('Données projet'!$B$10,Paramètres!$A$1:$I$89,3,0)*VLOOKUP('Données projet'!$B$10,Paramètres!$A$1:$I$89,5,0)</f>
        <v>107.71704000000005</v>
      </c>
      <c r="AK128" s="14">
        <f t="shared" si="89"/>
        <v>28.792446610882141</v>
      </c>
      <c r="AL128" s="22">
        <f t="shared" si="58"/>
        <v>237.75402251395312</v>
      </c>
      <c r="AM128" s="62">
        <f t="shared" si="59"/>
        <v>531.0873558472864</v>
      </c>
      <c r="AN128" s="62">
        <f ca="1">AVERAGE(OFFSET($AM$3,0,0,'Données projet'!$E$10+1,1))-AVERAGE(OFFSET($H$3,0,0,'Données projet'!$E$10+1,1))</f>
        <v>284.0976902574692</v>
      </c>
      <c r="AO128" s="62">
        <f t="shared" si="90"/>
        <v>190.4880882944471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256.96319999999946</v>
      </c>
      <c r="BF128" s="14">
        <f t="shared" si="91"/>
        <v>62.07461295683791</v>
      </c>
      <c r="BG128" s="22">
        <f t="shared" si="61"/>
        <v>555.65752423315837</v>
      </c>
      <c r="BH128" s="62">
        <f t="shared" si="62"/>
        <v>848.99085756649174</v>
      </c>
      <c r="BI128" s="62">
        <f ca="1">AVERAGE(OFFSET($BH$3,0,0,'Données projet'!$E$11+1,1))-AVERAGE(OFFSET($H$3,0,0,'Données projet'!$E$11+1,1))</f>
        <v>428.8489304403459</v>
      </c>
      <c r="BJ128" s="62">
        <f t="shared" si="92"/>
        <v>247.01165577562966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144.05409916132993</v>
      </c>
      <c r="CE128" s="62">
        <f t="shared" si="94"/>
        <v>409.2784174616832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11.037995867960975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11.037995867960975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6.3550942286383367E-14</v>
      </c>
      <c r="CV128" s="14">
        <f t="shared" si="95"/>
        <v>1.0064464192543978E-12</v>
      </c>
      <c r="CW128" s="22">
        <f t="shared" si="67"/>
        <v>1.8635787380168604E-12</v>
      </c>
      <c r="CX128" s="62">
        <f t="shared" si="68"/>
        <v>293.33333333333519</v>
      </c>
      <c r="CY128" s="62">
        <f ca="1">AVERAGE(OFFSET($CX$3,0,0,'Données projet'!$E$13+1,1))-AVERAGE(OFFSET($H$3,0,0,'Données projet'!$E$13+1,1))</f>
        <v>321.13335003345236</v>
      </c>
      <c r="CZ128" s="62">
        <f t="shared" si="96"/>
        <v>301.26825075712128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1.480259301699725</v>
      </c>
      <c r="DH128" s="23">
        <f>EXP(-LN(2)/2)*DH127+(1-EXP(-LN(2)/2))/(LN(2)/2)*DB128*DE128*VLOOKUP('Données projet'!$B$13,Paramètres!$A$1:$I$89,3,0)*0.475*44/12</f>
        <v>4.9545494310050992E-14</v>
      </c>
      <c r="DI128" s="24">
        <f t="shared" si="69"/>
        <v>1.4802593016997745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2.6282051282051269</v>
      </c>
      <c r="N129" s="14">
        <f>IF('Données projet'!$A$36&gt;35,N128+M129-V128,IF(A129&lt;'Données projet'!$A$36,$K$205^A129,IF(A129='Données projet'!$A$36,'Données projet'!$B$36,N128+M129-V128)))</f>
        <v>328.58974358974302</v>
      </c>
      <c r="O129" s="14">
        <f>N129*VLOOKUP('Données projet'!$B$9,Paramètres!$A$1:$I$89,3,0)*VLOOKUP('Données projet'!$B$9,Paramètres!$A$1:$I$89,5,0)</f>
        <v>343.44199999999944</v>
      </c>
      <c r="P129" s="14">
        <f t="shared" si="87"/>
        <v>80.210667988811437</v>
      </c>
      <c r="Q129" s="22">
        <f t="shared" si="107"/>
        <v>737.86173008051219</v>
      </c>
      <c r="R129" s="62">
        <f t="shared" si="55"/>
        <v>1031.1950634138454</v>
      </c>
      <c r="S129" s="62">
        <f ca="1">AVERAGE(OFFSET($R$3,0,0,'Données projet'!$E$9+1,1))-AVERAGE(OFFSET($H$3,0,0,'Données projet'!$E$9+1,1))</f>
        <v>493.70175665335978</v>
      </c>
      <c r="T129" s="62">
        <f t="shared" si="88"/>
        <v>325.12357781685949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4.9084615384615375</v>
      </c>
      <c r="AI129" s="14">
        <f>IF('Données projet'!$A$62&gt;35,AI128+AH129-AQ128,IF(A129&lt;'Données projet'!$A$62,$AF$205^A129,IF(A129='Données projet'!$A$62,'Données projet'!$B$62,AI128+AH129-AQ128)))</f>
        <v>235.07307692307705</v>
      </c>
      <c r="AJ129" s="14">
        <f>AI129*VLOOKUP('Données projet'!$B$10,Paramètres!$A$1:$I$89,3,0)*VLOOKUP('Données projet'!$B$10,Paramètres!$A$1:$I$89,5,0)</f>
        <v>110.01420000000006</v>
      </c>
      <c r="AK129" s="14">
        <f t="shared" si="89"/>
        <v>29.334330178180142</v>
      </c>
      <c r="AL129" s="22">
        <f t="shared" si="58"/>
        <v>242.69869006033048</v>
      </c>
      <c r="AM129" s="62">
        <f t="shared" si="59"/>
        <v>536.03202339366385</v>
      </c>
      <c r="AN129" s="62">
        <f ca="1">AVERAGE(OFFSET($AM$3,0,0,'Données projet'!$E$10+1,1))-AVERAGE(OFFSET($H$3,0,0,'Données projet'!$E$10+1,1))</f>
        <v>284.0976902574692</v>
      </c>
      <c r="AO129" s="62">
        <f t="shared" si="90"/>
        <v>190.4880882944471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259.85855999999944</v>
      </c>
      <c r="BF129" s="14">
        <f t="shared" si="91"/>
        <v>62.692227709138365</v>
      </c>
      <c r="BG129" s="22">
        <f t="shared" si="61"/>
        <v>561.77595526008167</v>
      </c>
      <c r="BH129" s="62">
        <f t="shared" si="62"/>
        <v>855.10928859341493</v>
      </c>
      <c r="BI129" s="62">
        <f ca="1">AVERAGE(OFFSET($BH$3,0,0,'Données projet'!$E$11+1,1))-AVERAGE(OFFSET($H$3,0,0,'Données projet'!$E$11+1,1))</f>
        <v>428.8489304403459</v>
      </c>
      <c r="BJ129" s="62">
        <f t="shared" si="92"/>
        <v>247.01165577562966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144.05409916132993</v>
      </c>
      <c r="CE129" s="62">
        <f t="shared" si="94"/>
        <v>409.2784174616832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10.821547501502959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10.821547501502959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6.3550942286383367E-14</v>
      </c>
      <c r="CV129" s="14">
        <f t="shared" si="95"/>
        <v>1.0064464192543978E-12</v>
      </c>
      <c r="CW129" s="22">
        <f t="shared" si="67"/>
        <v>1.8635787380168604E-12</v>
      </c>
      <c r="CX129" s="62">
        <f t="shared" si="68"/>
        <v>293.33333333333519</v>
      </c>
      <c r="CY129" s="62">
        <f ca="1">AVERAGE(OFFSET($CX$3,0,0,'Données projet'!$E$13+1,1))-AVERAGE(OFFSET($H$3,0,0,'Données projet'!$E$13+1,1))</f>
        <v>321.13335003345236</v>
      </c>
      <c r="CZ129" s="62">
        <f t="shared" si="96"/>
        <v>301.26825075712128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1.4397815332512924</v>
      </c>
      <c r="DH129" s="23">
        <f>EXP(-LN(2)/2)*DH128+(1-EXP(-LN(2)/2))/(LN(2)/2)*DB129*DE129*VLOOKUP('Données projet'!$B$13,Paramètres!$A$1:$I$89,3,0)*0.475*44/12</f>
        <v>3.5033955003876561E-14</v>
      </c>
      <c r="DI129" s="24">
        <f t="shared" si="69"/>
        <v>1.4397815332513275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2.6282051282051269</v>
      </c>
      <c r="N130" s="14">
        <f>IF('Données projet'!$A$36&gt;35,N129+M130-V129,IF(A130&lt;'Données projet'!$A$36,$K$205^A130,IF(A130='Données projet'!$A$36,'Données projet'!$B$36,N129+M130-V129)))</f>
        <v>331.21794871794816</v>
      </c>
      <c r="O130" s="14">
        <f>N130*VLOOKUP('Données projet'!$B$9,Paramètres!$A$1:$I$89,3,0)*VLOOKUP('Données projet'!$B$9,Paramètres!$A$1:$I$89,5,0)</f>
        <v>346.18899999999945</v>
      </c>
      <c r="P130" s="14">
        <f t="shared" si="87"/>
        <v>80.77728744058544</v>
      </c>
      <c r="Q130" s="22">
        <f t="shared" si="107"/>
        <v>743.63295062568523</v>
      </c>
      <c r="R130" s="62">
        <f t="shared" si="55"/>
        <v>1036.9662839590185</v>
      </c>
      <c r="S130" s="62">
        <f ca="1">AVERAGE(OFFSET($R$3,0,0,'Données projet'!$E$9+1,1))-AVERAGE(OFFSET($H$3,0,0,'Données projet'!$E$9+1,1))</f>
        <v>493.70175665335978</v>
      </c>
      <c r="T130" s="62">
        <f t="shared" si="88"/>
        <v>325.12357781685949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4.9084615384615375</v>
      </c>
      <c r="AI130" s="14">
        <f>IF('Données projet'!$A$62&gt;35,AI129+AH130-AQ129,IF(A130&lt;'Données projet'!$A$62,$AF$205^A130,IF(A130='Données projet'!$A$62,'Données projet'!$B$62,AI129+AH130-AQ129)))</f>
        <v>239.98153846153861</v>
      </c>
      <c r="AJ130" s="14">
        <f>AI130*VLOOKUP('Données projet'!$B$10,Paramètres!$A$1:$I$89,3,0)*VLOOKUP('Données projet'!$B$10,Paramètres!$A$1:$I$89,5,0)</f>
        <v>112.31136000000008</v>
      </c>
      <c r="AK130" s="14">
        <f t="shared" si="89"/>
        <v>29.874898196104557</v>
      </c>
      <c r="AL130" s="22">
        <f t="shared" si="58"/>
        <v>247.64106635821557</v>
      </c>
      <c r="AM130" s="62">
        <f t="shared" si="59"/>
        <v>540.97439969154891</v>
      </c>
      <c r="AN130" s="62">
        <f ca="1">AVERAGE(OFFSET($AM$3,0,0,'Données projet'!$E$10+1,1))-AVERAGE(OFFSET($H$3,0,0,'Données projet'!$E$10+1,1))</f>
        <v>284.0976902574692</v>
      </c>
      <c r="AO130" s="62">
        <f t="shared" si="90"/>
        <v>190.4880882944471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262.75391999999948</v>
      </c>
      <c r="BF130" s="14">
        <f t="shared" si="91"/>
        <v>63.309041956360211</v>
      </c>
      <c r="BG130" s="22">
        <f t="shared" si="61"/>
        <v>567.89299207399313</v>
      </c>
      <c r="BH130" s="62">
        <f t="shared" si="62"/>
        <v>861.22632540732639</v>
      </c>
      <c r="BI130" s="62">
        <f ca="1">AVERAGE(OFFSET($BH$3,0,0,'Données projet'!$E$11+1,1))-AVERAGE(OFFSET($H$3,0,0,'Données projet'!$E$11+1,1))</f>
        <v>428.8489304403459</v>
      </c>
      <c r="BJ130" s="62">
        <f t="shared" si="92"/>
        <v>247.01165577562966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144.05409916132993</v>
      </c>
      <c r="CE130" s="62">
        <f t="shared" si="94"/>
        <v>409.2784174616832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10.609343555490717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10.609343555490717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6.3550942286383367E-14</v>
      </c>
      <c r="CV130" s="14">
        <f t="shared" si="95"/>
        <v>1.0064464192543978E-12</v>
      </c>
      <c r="CW130" s="22">
        <f t="shared" si="67"/>
        <v>1.8635787380168604E-12</v>
      </c>
      <c r="CX130" s="62">
        <f t="shared" si="68"/>
        <v>293.33333333333519</v>
      </c>
      <c r="CY130" s="62">
        <f ca="1">AVERAGE(OFFSET($CX$3,0,0,'Données projet'!$E$13+1,1))-AVERAGE(OFFSET($H$3,0,0,'Données projet'!$E$13+1,1))</f>
        <v>321.13335003345236</v>
      </c>
      <c r="CZ130" s="62">
        <f t="shared" si="96"/>
        <v>301.26825075712128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1.4004106315097156</v>
      </c>
      <c r="DH130" s="23">
        <f>EXP(-LN(2)/2)*DH129+(1-EXP(-LN(2)/2))/(LN(2)/2)*DB130*DE130*VLOOKUP('Données projet'!$B$13,Paramètres!$A$1:$I$89,3,0)*0.475*44/12</f>
        <v>2.4772747155025496E-14</v>
      </c>
      <c r="DI130" s="24">
        <f t="shared" si="69"/>
        <v>1.4004106315097404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2.6282051282051269</v>
      </c>
      <c r="N131" s="14">
        <f>IF('Données projet'!$A$36&gt;35,N130+M131-V130,IF(A131&lt;'Données projet'!$A$36,$K$205^A131,IF(A131='Données projet'!$A$36,'Données projet'!$B$36,N130+M131-V130)))</f>
        <v>333.8461538461533</v>
      </c>
      <c r="O131" s="14">
        <f>N131*VLOOKUP('Données projet'!$B$9,Paramètres!$A$1:$I$89,3,0)*VLOOKUP('Données projet'!$B$9,Paramètres!$A$1:$I$89,5,0)</f>
        <v>348.93599999999947</v>
      </c>
      <c r="P131" s="14">
        <f t="shared" si="87"/>
        <v>81.343383781028564</v>
      </c>
      <c r="Q131" s="22">
        <f t="shared" ref="Q131:Q153" si="108">(O131+P131)*0.475*44/12</f>
        <v>749.40326008529053</v>
      </c>
      <c r="R131" s="62">
        <f t="shared" ref="R131:R194" si="109">Q131+(I131+J131)*44/12</f>
        <v>1042.7365934186239</v>
      </c>
      <c r="S131" s="62">
        <f ca="1">AVERAGE(OFFSET($R$3,0,0,'Données projet'!$E$9+1,1))-AVERAGE(OFFSET($H$3,0,0,'Données projet'!$E$9+1,1))</f>
        <v>493.70175665335978</v>
      </c>
      <c r="T131" s="62">
        <f t="shared" si="88"/>
        <v>325.12357781685949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4.9084615384615375</v>
      </c>
      <c r="AI131" s="14">
        <f>IF('Données projet'!$A$62&gt;35,AI130+AH131-AQ130,IF(A131&lt;'Données projet'!$A$62,$AF$205^A131,IF(A131='Données projet'!$A$62,'Données projet'!$B$62,AI130+AH131-AQ130)))</f>
        <v>244.89000000000016</v>
      </c>
      <c r="AJ131" s="14">
        <f>AI131*VLOOKUP('Données projet'!$B$10,Paramètres!$A$1:$I$89,3,0)*VLOOKUP('Données projet'!$B$10,Paramètres!$A$1:$I$89,5,0)</f>
        <v>114.60852000000007</v>
      </c>
      <c r="AK131" s="14">
        <f t="shared" si="89"/>
        <v>30.414180672775622</v>
      </c>
      <c r="AL131" s="22">
        <f t="shared" si="58"/>
        <v>252.58120367175096</v>
      </c>
      <c r="AM131" s="62">
        <f t="shared" si="59"/>
        <v>545.9145370050843</v>
      </c>
      <c r="AN131" s="62">
        <f ca="1">AVERAGE(OFFSET($AM$3,0,0,'Données projet'!$E$10+1,1))-AVERAGE(OFFSET($H$3,0,0,'Données projet'!$E$10+1,1))</f>
        <v>284.0976902574692</v>
      </c>
      <c r="AO131" s="62">
        <f t="shared" si="90"/>
        <v>190.4880882944471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265.64927999999946</v>
      </c>
      <c r="BF131" s="14">
        <f t="shared" si="91"/>
        <v>63.925065540346907</v>
      </c>
      <c r="BG131" s="22">
        <f t="shared" si="61"/>
        <v>574.00865181610322</v>
      </c>
      <c r="BH131" s="62">
        <f t="shared" si="62"/>
        <v>867.3419851494366</v>
      </c>
      <c r="BI131" s="62">
        <f ca="1">AVERAGE(OFFSET($BH$3,0,0,'Données projet'!$E$11+1,1))-AVERAGE(OFFSET($H$3,0,0,'Données projet'!$E$11+1,1))</f>
        <v>428.8489304403459</v>
      </c>
      <c r="BJ131" s="62">
        <f t="shared" si="92"/>
        <v>247.01165577562966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144.05409916132993</v>
      </c>
      <c r="CE131" s="62">
        <f t="shared" si="94"/>
        <v>409.2784174616832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10.401300799428149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10.401300799428149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6.3550942286383367E-14</v>
      </c>
      <c r="CV131" s="14">
        <f t="shared" si="95"/>
        <v>1.0064464192543978E-12</v>
      </c>
      <c r="CW131" s="22">
        <f t="shared" si="67"/>
        <v>1.8635787380168604E-12</v>
      </c>
      <c r="CX131" s="62">
        <f t="shared" si="68"/>
        <v>293.33333333333519</v>
      </c>
      <c r="CY131" s="62">
        <f ca="1">AVERAGE(OFFSET($CX$3,0,0,'Données projet'!$E$13+1,1))-AVERAGE(OFFSET($H$3,0,0,'Données projet'!$E$13+1,1))</f>
        <v>321.13335003345236</v>
      </c>
      <c r="CZ131" s="62">
        <f t="shared" si="96"/>
        <v>301.26825075712128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1.362116329146688</v>
      </c>
      <c r="DH131" s="23">
        <f>EXP(-LN(2)/2)*DH130+(1-EXP(-LN(2)/2))/(LN(2)/2)*DB131*DE131*VLOOKUP('Données projet'!$B$13,Paramètres!$A$1:$I$89,3,0)*0.475*44/12</f>
        <v>1.7516977501938281E-14</v>
      </c>
      <c r="DI131" s="24">
        <f t="shared" si="69"/>
        <v>1.3621163291467056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2.6282051282051269</v>
      </c>
      <c r="N132" s="14">
        <f>IF('Données projet'!$A$36&gt;35,N131+M132-V131,IF(A132&lt;'Données projet'!$A$36,$K$205^A132,IF(A132='Données projet'!$A$36,'Données projet'!$B$36,N131+M132-V131)))</f>
        <v>336.47435897435844</v>
      </c>
      <c r="O132" s="14">
        <f>N132*VLOOKUP('Données projet'!$B$9,Paramètres!$A$1:$I$89,3,0)*VLOOKUP('Données projet'!$B$9,Paramètres!$A$1:$I$89,5,0)</f>
        <v>351.68299999999948</v>
      </c>
      <c r="P132" s="14">
        <f t="shared" si="87"/>
        <v>81.908961605684084</v>
      </c>
      <c r="Q132" s="22">
        <f t="shared" si="108"/>
        <v>755.17266646323208</v>
      </c>
      <c r="R132" s="62">
        <f t="shared" si="109"/>
        <v>1048.5059997965654</v>
      </c>
      <c r="S132" s="62">
        <f ca="1">AVERAGE(OFFSET($R$3,0,0,'Données projet'!$E$9+1,1))-AVERAGE(OFFSET($H$3,0,0,'Données projet'!$E$9+1,1))</f>
        <v>493.70175665335978</v>
      </c>
      <c r="T132" s="62">
        <f t="shared" si="88"/>
        <v>325.12357781685949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4.9084615384615375</v>
      </c>
      <c r="AI132" s="14">
        <f>IF('Données projet'!$A$62&gt;35,AI131+AH132-AQ131,IF(A132&lt;'Données projet'!$A$62,$AF$205^A132,IF(A132='Données projet'!$A$62,'Données projet'!$B$62,AI131+AH132-AQ131)))</f>
        <v>249.79846153846171</v>
      </c>
      <c r="AJ132" s="14">
        <f>AI132*VLOOKUP('Données projet'!$B$10,Paramètres!$A$1:$I$89,3,0)*VLOOKUP('Données projet'!$B$10,Paramètres!$A$1:$I$89,5,0)</f>
        <v>116.90568000000007</v>
      </c>
      <c r="AK132" s="14">
        <f t="shared" si="89"/>
        <v>30.952206344593399</v>
      </c>
      <c r="AL132" s="22">
        <f t="shared" ref="AL132:AL153" si="112">(AJ132+AK132)*0.475*44/12</f>
        <v>257.51915205016695</v>
      </c>
      <c r="AM132" s="62">
        <f t="shared" ref="AM132:AM195" si="113">AL132+(AD132+AE132)*44/12</f>
        <v>550.85248538350027</v>
      </c>
      <c r="AN132" s="62">
        <f ca="1">AVERAGE(OFFSET($AM$3,0,0,'Données projet'!$E$10+1,1))-AVERAGE(OFFSET($H$3,0,0,'Données projet'!$E$10+1,1))</f>
        <v>284.0976902574692</v>
      </c>
      <c r="AO132" s="62">
        <f t="shared" si="90"/>
        <v>190.4880882944471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268.54463999999945</v>
      </c>
      <c r="BF132" s="14">
        <f t="shared" si="91"/>
        <v>64.540308076050593</v>
      </c>
      <c r="BG132" s="22">
        <f t="shared" ref="BG132:BG153" si="115">(BE132+BF132)*0.475*44/12</f>
        <v>580.12295123245383</v>
      </c>
      <c r="BH132" s="62">
        <f t="shared" ref="BH132:BH195" si="116">BG132+(AY132+AZ132)*44/12</f>
        <v>873.4562845657872</v>
      </c>
      <c r="BI132" s="62">
        <f ca="1">AVERAGE(OFFSET($BH$3,0,0,'Données projet'!$E$11+1,1))-AVERAGE(OFFSET($H$3,0,0,'Données projet'!$E$11+1,1))</f>
        <v>428.8489304403459</v>
      </c>
      <c r="BJ132" s="62">
        <f t="shared" si="92"/>
        <v>247.01165577562966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144.05409916132993</v>
      </c>
      <c r="CE132" s="62">
        <f t="shared" si="94"/>
        <v>409.2784174616832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10.197337634918417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10.197337634918417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6.3550942286383367E-14</v>
      </c>
      <c r="CV132" s="14">
        <f t="shared" si="95"/>
        <v>1.0064464192543978E-12</v>
      </c>
      <c r="CW132" s="22">
        <f t="shared" ref="CW132:CW153" si="121">(CU132+CV132)*0.475*44/12</f>
        <v>1.8635787380168604E-12</v>
      </c>
      <c r="CX132" s="62">
        <f t="shared" ref="CX132:CX195" si="122">CW132+(CO132+CP132)*44/12</f>
        <v>293.33333333333519</v>
      </c>
      <c r="CY132" s="62">
        <f ca="1">AVERAGE(OFFSET($CX$3,0,0,'Données projet'!$E$13+1,1))-AVERAGE(OFFSET($H$3,0,0,'Données projet'!$E$13+1,1))</f>
        <v>321.13335003345236</v>
      </c>
      <c r="CZ132" s="62">
        <f t="shared" si="96"/>
        <v>301.26825075712128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1.3248691864955873</v>
      </c>
      <c r="DH132" s="23">
        <f>EXP(-LN(2)/2)*DH131+(1-EXP(-LN(2)/2))/(LN(2)/2)*DB132*DE132*VLOOKUP('Données projet'!$B$13,Paramètres!$A$1:$I$89,3,0)*0.475*44/12</f>
        <v>1.2386373577512748E-14</v>
      </c>
      <c r="DI132" s="24">
        <f t="shared" ref="DI132:DI153" si="123">SUM(DF132:DH132)</f>
        <v>1.3248691864955997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339.10256410256409</v>
      </c>
      <c r="L133" s="13">
        <f>VLOOKUP(A133,'Données projet'!$A$35:$I$55,9,0)</f>
        <v>2.6282051282051269</v>
      </c>
      <c r="M133" s="13">
        <f t="array" ref="M133">INDEX(L:L,MIN(IF(ISNUMBER(L133:L329),ROW(L133:L329),"")))</f>
        <v>2.6282051282051269</v>
      </c>
      <c r="N133" s="14">
        <f>IF('Données projet'!$A$36&gt;35,N132+M133-V132,IF(A133&lt;'Données projet'!$A$36,$K$205^A133,IF(A133='Données projet'!$A$36,'Données projet'!$B$36,N132+M133-V132)))</f>
        <v>339.10256410256358</v>
      </c>
      <c r="O133" s="14">
        <f>N133*VLOOKUP('Données projet'!$B$9,Paramètres!$A$1:$I$89,3,0)*VLOOKUP('Données projet'!$B$9,Paramètres!$A$1:$I$89,5,0)</f>
        <v>354.4299999999995</v>
      </c>
      <c r="P133" s="14">
        <f t="shared" ref="P133:P196" si="141">EXP(-1.0587+0.8836*LN(O133)+0.284)</f>
        <v>82.474025434157767</v>
      </c>
      <c r="Q133" s="22">
        <f t="shared" si="108"/>
        <v>760.94117763115719</v>
      </c>
      <c r="R133" s="62">
        <f t="shared" si="109"/>
        <v>1054.2745109644904</v>
      </c>
      <c r="S133" s="62">
        <f ca="1">AVERAGE(OFFSET($R$3,0,0,'Données projet'!$E$9+1,1))-AVERAGE(OFFSET($H$3,0,0,'Données projet'!$E$9+1,1))</f>
        <v>493.70175665335978</v>
      </c>
      <c r="T133" s="62">
        <f t="shared" ref="T133:T196" si="142">$T$3</f>
        <v>325.12357781685949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339.10256410256409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4.9084615384615375</v>
      </c>
      <c r="AI133" s="14">
        <f>IF('Données projet'!$A$62&gt;35,AI132+AH133-AQ132,IF(A133&lt;'Données projet'!$A$62,$AF$205^A133,IF(A133='Données projet'!$A$62,'Données projet'!$B$62,AI132+AH133-AQ132)))</f>
        <v>254.70692307692326</v>
      </c>
      <c r="AJ133" s="14">
        <f>AI133*VLOOKUP('Données projet'!$B$10,Paramètres!$A$1:$I$89,3,0)*VLOOKUP('Données projet'!$B$10,Paramètres!$A$1:$I$89,5,0)</f>
        <v>119.20284000000008</v>
      </c>
      <c r="AK133" s="14">
        <f t="shared" ref="AK133:AK153" si="143">EXP(-1.0587+0.8836*LN(AJ133)+0.284)</f>
        <v>31.489002754044005</v>
      </c>
      <c r="AL133" s="22">
        <f t="shared" si="112"/>
        <v>262.45495946329339</v>
      </c>
      <c r="AM133" s="62">
        <f t="shared" si="113"/>
        <v>555.78829279662671</v>
      </c>
      <c r="AN133" s="62">
        <f ca="1">AVERAGE(OFFSET($AM$3,0,0,'Données projet'!$E$10+1,1))-AVERAGE(OFFSET($H$3,0,0,'Données projet'!$E$10+1,1))</f>
        <v>284.0976902574692</v>
      </c>
      <c r="AO133" s="62">
        <f t="shared" ref="AO133:AO196" si="144">$AO$3</f>
        <v>190.4880882944471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271.43999999999943</v>
      </c>
      <c r="BF133" s="14">
        <f t="shared" ref="BF133:BF153" si="145">EXP(-1.0587+0.8836*LN(BE133)+0.284)</f>
        <v>65.154778959151116</v>
      </c>
      <c r="BG133" s="22">
        <f t="shared" si="115"/>
        <v>586.23590668718714</v>
      </c>
      <c r="BH133" s="62">
        <f t="shared" si="116"/>
        <v>879.56924002052051</v>
      </c>
      <c r="BI133" s="62">
        <f ca="1">AVERAGE(OFFSET($BH$3,0,0,'Données projet'!$E$11+1,1))-AVERAGE(OFFSET($H$3,0,0,'Données projet'!$E$11+1,1))</f>
        <v>428.8489304403459</v>
      </c>
      <c r="BJ133" s="62">
        <f t="shared" ref="BJ133:BJ196" si="146">$BJ$3</f>
        <v>247.01165577562966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144.05409916132993</v>
      </c>
      <c r="CE133" s="62">
        <f t="shared" ref="CE133:CE196" si="148">$CE$3</f>
        <v>409.2784174616832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9.9973740636594748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9.9973740636594748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6.3550942286383367E-14</v>
      </c>
      <c r="CV133" s="14">
        <f t="shared" ref="CV133:CV153" si="149">EXP(-1.0587+0.8836*LN(CU133)+0.284)</f>
        <v>1.0064464192543978E-12</v>
      </c>
      <c r="CW133" s="22">
        <f t="shared" si="121"/>
        <v>1.8635787380168604E-12</v>
      </c>
      <c r="CX133" s="62">
        <f t="shared" si="122"/>
        <v>293.33333333333519</v>
      </c>
      <c r="CY133" s="62">
        <f ca="1">AVERAGE(OFFSET($CX$3,0,0,'Données projet'!$E$13+1,1))-AVERAGE(OFFSET($H$3,0,0,'Données projet'!$E$13+1,1))</f>
        <v>321.13335003345236</v>
      </c>
      <c r="CZ133" s="62">
        <f t="shared" ref="CZ133:CZ196" si="150">$CZ$3</f>
        <v>301.26825075712128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1.288640568919023</v>
      </c>
      <c r="DH133" s="23">
        <f>EXP(-LN(2)/2)*DH132+(1-EXP(-LN(2)/2))/(LN(2)/2)*DB133*DE133*VLOOKUP('Données projet'!$B$13,Paramètres!$A$1:$I$89,3,0)*0.475*44/12</f>
        <v>8.7584887509691404E-15</v>
      </c>
      <c r="DI133" s="24">
        <f t="shared" si="123"/>
        <v>1.2886405689190317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-5.1159076974727213E-13</v>
      </c>
      <c r="O134" s="14">
        <f>N134*VLOOKUP('Données projet'!$B$9,Paramètres!$A$1:$I$89,3,0)*VLOOKUP('Données projet'!$B$9,Paramètres!$A$1:$I$89,5,0)</f>
        <v>-5.3471467253984886E-13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493.70175665335978</v>
      </c>
      <c r="T134" s="62">
        <f t="shared" si="142"/>
        <v>325.12357781685949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>
        <f>VLOOKUP(A134,'Données projet'!$A$61:$I$81,2,0)</f>
        <v>259.61538461538458</v>
      </c>
      <c r="AG134" s="13">
        <f>VLOOKUP(A134,'Données projet'!$A$61:$I$81,9,0)</f>
        <v>4.9084615384615375</v>
      </c>
      <c r="AH134" s="13">
        <f t="array" ref="AH134">INDEX(AG:AG,MIN(IF(ISNUMBER(AG134:AG330),ROW(AG134:AG330),"")))</f>
        <v>4.9084615384615375</v>
      </c>
      <c r="AI134" s="14">
        <f>IF('Données projet'!$A$62&gt;35,AI133+AH134-AQ133,IF(A134&lt;'Données projet'!$A$62,$AF$205^A134,IF(A134='Données projet'!$A$62,'Données projet'!$B$62,AI133+AH134-AQ133)))</f>
        <v>259.61538461538481</v>
      </c>
      <c r="AJ134" s="14">
        <f>AI134*VLOOKUP('Données projet'!$B$10,Paramètres!$A$1:$I$89,3,0)*VLOOKUP('Données projet'!$B$10,Paramètres!$A$1:$I$89,5,0)</f>
        <v>121.50000000000009</v>
      </c>
      <c r="AK134" s="14">
        <f t="shared" si="143"/>
        <v>32.024596321339082</v>
      </c>
      <c r="AL134" s="22">
        <f t="shared" si="112"/>
        <v>267.38867192633239</v>
      </c>
      <c r="AM134" s="62">
        <f t="shared" si="113"/>
        <v>560.72200525966571</v>
      </c>
      <c r="AN134" s="62">
        <f ca="1">AVERAGE(OFFSET($AM$3,0,0,'Données projet'!$E$10+1,1))-AVERAGE(OFFSET($H$3,0,0,'Données projet'!$E$10+1,1))</f>
        <v>284.0976902574692</v>
      </c>
      <c r="AO134" s="62">
        <f t="shared" si="144"/>
        <v>190.4880882944471</v>
      </c>
      <c r="AP134" s="16">
        <f>IF(ISNA(VLOOKUP(A134,'Données projet'!$A$61:$I$81,3,0)),0,VLOOKUP(A134,'Données projet'!$A$61:$I$81,3,0))</f>
        <v>8</v>
      </c>
      <c r="AQ134" s="16">
        <f>IF(ISNA(VLOOKUP(A134,'Données projet'!$A$61:$I$81,4,0)),0,VLOOKUP(A134,'Données projet'!$A$61:$I$81,4,0))</f>
        <v>259.61538461538458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245.8341599999994</v>
      </c>
      <c r="BF134" s="14">
        <f t="shared" si="145"/>
        <v>59.693018383856675</v>
      </c>
      <c r="BG134" s="22">
        <f t="shared" si="115"/>
        <v>532.12650235188266</v>
      </c>
      <c r="BH134" s="62">
        <f t="shared" si="116"/>
        <v>825.45983568521592</v>
      </c>
      <c r="BI134" s="62">
        <f ca="1">AVERAGE(OFFSET($BH$3,0,0,'Données projet'!$E$11+1,1))-AVERAGE(OFFSET($H$3,0,0,'Données projet'!$E$11+1,1))</f>
        <v>428.8489304403459</v>
      </c>
      <c r="BJ134" s="62">
        <f t="shared" si="146"/>
        <v>247.01165577562966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144.05409916132993</v>
      </c>
      <c r="CE134" s="62">
        <f t="shared" si="148"/>
        <v>409.2784174616832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9.8013316560671839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9.8013316560671839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6.3550942286383367E-14</v>
      </c>
      <c r="CV134" s="14">
        <f t="shared" si="149"/>
        <v>1.0064464192543978E-12</v>
      </c>
      <c r="CW134" s="22">
        <f t="shared" si="121"/>
        <v>1.8635787380168604E-12</v>
      </c>
      <c r="CX134" s="62">
        <f t="shared" si="122"/>
        <v>293.33333333333519</v>
      </c>
      <c r="CY134" s="62">
        <f ca="1">AVERAGE(OFFSET($CX$3,0,0,'Données projet'!$E$13+1,1))-AVERAGE(OFFSET($H$3,0,0,'Données projet'!$E$13+1,1))</f>
        <v>321.13335003345236</v>
      </c>
      <c r="CZ134" s="62">
        <f t="shared" si="150"/>
        <v>301.26825075712128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1.2534026247952701</v>
      </c>
      <c r="DH134" s="23">
        <f>EXP(-LN(2)/2)*DH133+(1-EXP(-LN(2)/2))/(LN(2)/2)*DB134*DE134*VLOOKUP('Données projet'!$B$13,Paramètres!$A$1:$I$89,3,0)*0.475*44/12</f>
        <v>6.1931867887563739E-15</v>
      </c>
      <c r="DI134" s="24">
        <f t="shared" si="123"/>
        <v>1.2534026247952763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-5.1159076974727213E-13</v>
      </c>
      <c r="O135" s="14">
        <f>N135*VLOOKUP('Données projet'!$B$9,Paramètres!$A$1:$I$89,3,0)*VLOOKUP('Données projet'!$B$9,Paramètres!$A$1:$I$89,5,0)</f>
        <v>-5.3471467253984886E-13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493.70175665335978</v>
      </c>
      <c r="T135" s="62">
        <f t="shared" si="142"/>
        <v>325.12357781685949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1.064108801074326E-13</v>
      </c>
      <c r="AK135" s="14">
        <f t="shared" si="143"/>
        <v>1.5870730813698654E-12</v>
      </c>
      <c r="AL135" s="22">
        <f t="shared" si="112"/>
        <v>2.9494845662396269E-12</v>
      </c>
      <c r="AM135" s="62">
        <f t="shared" si="113"/>
        <v>293.33333333333627</v>
      </c>
      <c r="AN135" s="62">
        <f ca="1">AVERAGE(OFFSET($AM$3,0,0,'Données projet'!$E$10+1,1))-AVERAGE(OFFSET($H$3,0,0,'Données projet'!$E$10+1,1))</f>
        <v>284.0976902574692</v>
      </c>
      <c r="AO135" s="62">
        <f t="shared" si="144"/>
        <v>190.4880882944471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248.2771199999994</v>
      </c>
      <c r="BF135" s="14">
        <f t="shared" si="145"/>
        <v>60.216863677580257</v>
      </c>
      <c r="BG135" s="22">
        <f t="shared" si="115"/>
        <v>537.29368823845118</v>
      </c>
      <c r="BH135" s="62">
        <f t="shared" si="116"/>
        <v>830.62702157178455</v>
      </c>
      <c r="BI135" s="62">
        <f ca="1">AVERAGE(OFFSET($BH$3,0,0,'Données projet'!$E$11+1,1))-AVERAGE(OFFSET($H$3,0,0,'Données projet'!$E$11+1,1))</f>
        <v>428.8489304403459</v>
      </c>
      <c r="BJ135" s="62">
        <f t="shared" si="146"/>
        <v>247.01165577562966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144.05409916132993</v>
      </c>
      <c r="CE135" s="62">
        <f t="shared" si="148"/>
        <v>409.2784174616832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9.6091335205137156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9.6091335205137156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6.3550942286383367E-14</v>
      </c>
      <c r="CV135" s="14">
        <f t="shared" si="149"/>
        <v>1.0064464192543978E-12</v>
      </c>
      <c r="CW135" s="22">
        <f t="shared" si="121"/>
        <v>1.8635787380168604E-12</v>
      </c>
      <c r="CX135" s="62">
        <f t="shared" si="122"/>
        <v>293.33333333333519</v>
      </c>
      <c r="CY135" s="62">
        <f ca="1">AVERAGE(OFFSET($CX$3,0,0,'Données projet'!$E$13+1,1))-AVERAGE(OFFSET($H$3,0,0,'Données projet'!$E$13+1,1))</f>
        <v>321.13335003345236</v>
      </c>
      <c r="CZ135" s="62">
        <f t="shared" si="150"/>
        <v>301.26825075712128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1.2191282641066641</v>
      </c>
      <c r="DH135" s="23">
        <f>EXP(-LN(2)/2)*DH134+(1-EXP(-LN(2)/2))/(LN(2)/2)*DB135*DE135*VLOOKUP('Données projet'!$B$13,Paramètres!$A$1:$I$89,3,0)*0.475*44/12</f>
        <v>4.3792443754845702E-15</v>
      </c>
      <c r="DI135" s="24">
        <f t="shared" si="123"/>
        <v>1.2191282641066685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-5.1159076974727213E-13</v>
      </c>
      <c r="O136" s="14">
        <f>N136*VLOOKUP('Données projet'!$B$9,Paramètres!$A$1:$I$89,3,0)*VLOOKUP('Données projet'!$B$9,Paramètres!$A$1:$I$89,5,0)</f>
        <v>-5.3471467253984886E-13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493.70175665335978</v>
      </c>
      <c r="T136" s="62">
        <f t="shared" si="142"/>
        <v>325.12357781685949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1.064108801074326E-13</v>
      </c>
      <c r="AK136" s="14">
        <f t="shared" si="143"/>
        <v>1.5870730813698654E-12</v>
      </c>
      <c r="AL136" s="22">
        <f t="shared" si="112"/>
        <v>2.9494845662396269E-12</v>
      </c>
      <c r="AM136" s="62">
        <f t="shared" si="113"/>
        <v>293.33333333333627</v>
      </c>
      <c r="AN136" s="62">
        <f ca="1">AVERAGE(OFFSET($AM$3,0,0,'Données projet'!$E$10+1,1))-AVERAGE(OFFSET($H$3,0,0,'Données projet'!$E$10+1,1))</f>
        <v>284.0976902574692</v>
      </c>
      <c r="AO136" s="62">
        <f t="shared" si="144"/>
        <v>190.4880882944471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250.72007999999943</v>
      </c>
      <c r="BF136" s="14">
        <f t="shared" si="145"/>
        <v>60.740109326032709</v>
      </c>
      <c r="BG136" s="22">
        <f t="shared" si="115"/>
        <v>542.45982974283925</v>
      </c>
      <c r="BH136" s="62">
        <f t="shared" si="116"/>
        <v>835.7931630761725</v>
      </c>
      <c r="BI136" s="62">
        <f ca="1">AVERAGE(OFFSET($BH$3,0,0,'Données projet'!$E$11+1,1))-AVERAGE(OFFSET($H$3,0,0,'Données projet'!$E$11+1,1))</f>
        <v>428.8489304403459</v>
      </c>
      <c r="BJ136" s="62">
        <f t="shared" si="146"/>
        <v>247.01165577562966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144.05409916132993</v>
      </c>
      <c r="CE136" s="62">
        <f t="shared" si="148"/>
        <v>409.2784174616832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9.4207042731691644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9.4207042731691644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6.3550942286383367E-14</v>
      </c>
      <c r="CV136" s="14">
        <f t="shared" si="149"/>
        <v>1.0064464192543978E-12</v>
      </c>
      <c r="CW136" s="22">
        <f t="shared" si="121"/>
        <v>1.8635787380168604E-12</v>
      </c>
      <c r="CX136" s="62">
        <f t="shared" si="122"/>
        <v>293.33333333333519</v>
      </c>
      <c r="CY136" s="62">
        <f ca="1">AVERAGE(OFFSET($CX$3,0,0,'Données projet'!$E$13+1,1))-AVERAGE(OFFSET($H$3,0,0,'Données projet'!$E$13+1,1))</f>
        <v>321.13335003345236</v>
      </c>
      <c r="CZ136" s="62">
        <f t="shared" si="150"/>
        <v>301.26825075712128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1.1857911376134982</v>
      </c>
      <c r="DH136" s="23">
        <f>EXP(-LN(2)/2)*DH135+(1-EXP(-LN(2)/2))/(LN(2)/2)*DB136*DE136*VLOOKUP('Données projet'!$B$13,Paramètres!$A$1:$I$89,3,0)*0.475*44/12</f>
        <v>3.096593394378187E-15</v>
      </c>
      <c r="DI136" s="24">
        <f t="shared" si="123"/>
        <v>1.1857911376135013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-5.1159076974727213E-13</v>
      </c>
      <c r="O137" s="14">
        <f>N137*VLOOKUP('Données projet'!$B$9,Paramètres!$A$1:$I$89,3,0)*VLOOKUP('Données projet'!$B$9,Paramètres!$A$1:$I$89,5,0)</f>
        <v>-5.3471467253984886E-13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493.70175665335978</v>
      </c>
      <c r="T137" s="62">
        <f t="shared" si="142"/>
        <v>325.12357781685949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1.064108801074326E-13</v>
      </c>
      <c r="AK137" s="14">
        <f t="shared" si="143"/>
        <v>1.5870730813698654E-12</v>
      </c>
      <c r="AL137" s="22">
        <f t="shared" si="112"/>
        <v>2.9494845662396269E-12</v>
      </c>
      <c r="AM137" s="62">
        <f t="shared" si="113"/>
        <v>293.33333333333627</v>
      </c>
      <c r="AN137" s="62">
        <f ca="1">AVERAGE(OFFSET($AM$3,0,0,'Données projet'!$E$10+1,1))-AVERAGE(OFFSET($H$3,0,0,'Données projet'!$E$10+1,1))</f>
        <v>284.0976902574692</v>
      </c>
      <c r="AO137" s="62">
        <f t="shared" si="144"/>
        <v>190.4880882944471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253.16303999999937</v>
      </c>
      <c r="BF137" s="14">
        <f t="shared" si="145"/>
        <v>61.262761848634923</v>
      </c>
      <c r="BG137" s="22">
        <f t="shared" si="115"/>
        <v>547.62493821970475</v>
      </c>
      <c r="BH137" s="62">
        <f t="shared" si="116"/>
        <v>840.958271553038</v>
      </c>
      <c r="BI137" s="62">
        <f ca="1">AVERAGE(OFFSET($BH$3,0,0,'Données projet'!$E$11+1,1))-AVERAGE(OFFSET($H$3,0,0,'Données projet'!$E$11+1,1))</f>
        <v>428.8489304403459</v>
      </c>
      <c r="BJ137" s="62">
        <f t="shared" si="146"/>
        <v>247.01165577562966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144.05409916132993</v>
      </c>
      <c r="CE137" s="62">
        <f t="shared" si="148"/>
        <v>409.2784174616832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9.2359700084345473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9.2359700084345473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6.3550942286383367E-14</v>
      </c>
      <c r="CV137" s="14">
        <f t="shared" si="149"/>
        <v>1.0064464192543978E-12</v>
      </c>
      <c r="CW137" s="22">
        <f t="shared" si="121"/>
        <v>1.8635787380168604E-12</v>
      </c>
      <c r="CX137" s="62">
        <f t="shared" si="122"/>
        <v>293.33333333333519</v>
      </c>
      <c r="CY137" s="62">
        <f ca="1">AVERAGE(OFFSET($CX$3,0,0,'Données projet'!$E$13+1,1))-AVERAGE(OFFSET($H$3,0,0,'Données projet'!$E$13+1,1))</f>
        <v>321.13335003345236</v>
      </c>
      <c r="CZ137" s="62">
        <f t="shared" si="150"/>
        <v>301.26825075712128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1.1533656165974113</v>
      </c>
      <c r="DH137" s="23">
        <f>EXP(-LN(2)/2)*DH136+(1-EXP(-LN(2)/2))/(LN(2)/2)*DB137*DE137*VLOOKUP('Données projet'!$B$13,Paramètres!$A$1:$I$89,3,0)*0.475*44/12</f>
        <v>2.1896221877422851E-15</v>
      </c>
      <c r="DI137" s="24">
        <f t="shared" si="123"/>
        <v>1.1533656165974135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-5.1159076974727213E-13</v>
      </c>
      <c r="O138" s="14">
        <f>N138*VLOOKUP('Données projet'!$B$9,Paramètres!$A$1:$I$89,3,0)*VLOOKUP('Données projet'!$B$9,Paramètres!$A$1:$I$89,5,0)</f>
        <v>-5.3471467253984886E-13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493.70175665335978</v>
      </c>
      <c r="T138" s="62">
        <f t="shared" si="142"/>
        <v>325.12357781685949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1.064108801074326E-13</v>
      </c>
      <c r="AK138" s="14">
        <f t="shared" si="143"/>
        <v>1.5870730813698654E-12</v>
      </c>
      <c r="AL138" s="22">
        <f t="shared" si="112"/>
        <v>2.9494845662396269E-12</v>
      </c>
      <c r="AM138" s="62">
        <f t="shared" si="113"/>
        <v>293.33333333333627</v>
      </c>
      <c r="AN138" s="62">
        <f ca="1">AVERAGE(OFFSET($AM$3,0,0,'Données projet'!$E$10+1,1))-AVERAGE(OFFSET($H$3,0,0,'Données projet'!$E$10+1,1))</f>
        <v>284.0976902574692</v>
      </c>
      <c r="AO138" s="62">
        <f t="shared" si="144"/>
        <v>190.4880882944471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255.60599999999937</v>
      </c>
      <c r="BF138" s="14">
        <f t="shared" si="145"/>
        <v>61.784827631732192</v>
      </c>
      <c r="BG138" s="22">
        <f t="shared" si="115"/>
        <v>552.78902479193243</v>
      </c>
      <c r="BH138" s="62">
        <f t="shared" si="116"/>
        <v>846.12235812526569</v>
      </c>
      <c r="BI138" s="62">
        <f ca="1">AVERAGE(OFFSET($BH$3,0,0,'Données projet'!$E$11+1,1))-AVERAGE(OFFSET($H$3,0,0,'Données projet'!$E$11+1,1))</f>
        <v>428.8489304403459</v>
      </c>
      <c r="BJ138" s="62">
        <f t="shared" si="146"/>
        <v>247.01165577562966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144.05409916132993</v>
      </c>
      <c r="CE138" s="62">
        <f t="shared" si="148"/>
        <v>409.2784174616832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9.0548582699546003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9.0548582699546003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6.3550942286383367E-14</v>
      </c>
      <c r="CV138" s="14">
        <f t="shared" si="149"/>
        <v>1.0064464192543978E-12</v>
      </c>
      <c r="CW138" s="22">
        <f t="shared" si="121"/>
        <v>1.8635787380168604E-12</v>
      </c>
      <c r="CX138" s="62">
        <f t="shared" si="122"/>
        <v>293.33333333333519</v>
      </c>
      <c r="CY138" s="62">
        <f ca="1">AVERAGE(OFFSET($CX$3,0,0,'Données projet'!$E$13+1,1))-AVERAGE(OFFSET($H$3,0,0,'Données projet'!$E$13+1,1))</f>
        <v>321.13335003345236</v>
      </c>
      <c r="CZ138" s="62">
        <f t="shared" si="150"/>
        <v>301.26825075712128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1.1218267731586933</v>
      </c>
      <c r="DH138" s="23">
        <f>EXP(-LN(2)/2)*DH137+(1-EXP(-LN(2)/2))/(LN(2)/2)*DB138*DE138*VLOOKUP('Données projet'!$B$13,Paramètres!$A$1:$I$89,3,0)*0.475*44/12</f>
        <v>1.5482966971890935E-15</v>
      </c>
      <c r="DI138" s="24">
        <f t="shared" si="123"/>
        <v>1.1218267731586948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-5.1159076974727213E-13</v>
      </c>
      <c r="O139" s="14">
        <f>N139*VLOOKUP('Données projet'!$B$9,Paramètres!$A$1:$I$89,3,0)*VLOOKUP('Données projet'!$B$9,Paramètres!$A$1:$I$89,5,0)</f>
        <v>-5.3471467253984886E-13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493.70175665335978</v>
      </c>
      <c r="T139" s="62">
        <f t="shared" si="142"/>
        <v>325.12357781685949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1.064108801074326E-13</v>
      </c>
      <c r="AK139" s="14">
        <f t="shared" si="143"/>
        <v>1.5870730813698654E-12</v>
      </c>
      <c r="AL139" s="22">
        <f t="shared" si="112"/>
        <v>2.9494845662396269E-12</v>
      </c>
      <c r="AM139" s="62">
        <f t="shared" si="113"/>
        <v>293.33333333333627</v>
      </c>
      <c r="AN139" s="62">
        <f ca="1">AVERAGE(OFFSET($AM$3,0,0,'Données projet'!$E$10+1,1))-AVERAGE(OFFSET($H$3,0,0,'Données projet'!$E$10+1,1))</f>
        <v>284.0976902574692</v>
      </c>
      <c r="AO139" s="62">
        <f t="shared" si="144"/>
        <v>190.4880882944471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258.0489599999994</v>
      </c>
      <c r="BF139" s="14">
        <f t="shared" si="145"/>
        <v>62.306312932555649</v>
      </c>
      <c r="BG139" s="22">
        <f t="shared" si="115"/>
        <v>557.95210035753337</v>
      </c>
      <c r="BH139" s="62">
        <f t="shared" si="116"/>
        <v>851.28543369086674</v>
      </c>
      <c r="BI139" s="62">
        <f ca="1">AVERAGE(OFFSET($BH$3,0,0,'Données projet'!$E$11+1,1))-AVERAGE(OFFSET($H$3,0,0,'Données projet'!$E$11+1,1))</f>
        <v>428.8489304403459</v>
      </c>
      <c r="BJ139" s="62">
        <f t="shared" si="146"/>
        <v>247.01165577562966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144.05409916132993</v>
      </c>
      <c r="CE139" s="62">
        <f t="shared" si="148"/>
        <v>409.2784174616832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8.8772980221989926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8.8772980221989926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6.3550942286383367E-14</v>
      </c>
      <c r="CV139" s="14">
        <f t="shared" si="149"/>
        <v>1.0064464192543978E-12</v>
      </c>
      <c r="CW139" s="22">
        <f t="shared" si="121"/>
        <v>1.8635787380168604E-12</v>
      </c>
      <c r="CX139" s="62">
        <f t="shared" si="122"/>
        <v>293.33333333333519</v>
      </c>
      <c r="CY139" s="62">
        <f ca="1">AVERAGE(OFFSET($CX$3,0,0,'Données projet'!$E$13+1,1))-AVERAGE(OFFSET($H$3,0,0,'Données projet'!$E$13+1,1))</f>
        <v>321.13335003345236</v>
      </c>
      <c r="CZ139" s="62">
        <f t="shared" si="150"/>
        <v>301.26825075712128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1.0911503610523627</v>
      </c>
      <c r="DH139" s="23">
        <f>EXP(-LN(2)/2)*DH138+(1-EXP(-LN(2)/2))/(LN(2)/2)*DB139*DE139*VLOOKUP('Données projet'!$B$13,Paramètres!$A$1:$I$89,3,0)*0.475*44/12</f>
        <v>1.0948110938711425E-15</v>
      </c>
      <c r="DI139" s="24">
        <f t="shared" si="123"/>
        <v>1.0911503610523638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-5.1159076974727213E-13</v>
      </c>
      <c r="O140" s="14">
        <f>N140*VLOOKUP('Données projet'!$B$9,Paramètres!$A$1:$I$89,3,0)*VLOOKUP('Données projet'!$B$9,Paramètres!$A$1:$I$89,5,0)</f>
        <v>-5.3471467253984886E-13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493.70175665335978</v>
      </c>
      <c r="T140" s="62">
        <f t="shared" si="142"/>
        <v>325.12357781685949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1.064108801074326E-13</v>
      </c>
      <c r="AK140" s="14">
        <f t="shared" si="143"/>
        <v>1.5870730813698654E-12</v>
      </c>
      <c r="AL140" s="22">
        <f t="shared" si="112"/>
        <v>2.9494845662396269E-12</v>
      </c>
      <c r="AM140" s="62">
        <f t="shared" si="113"/>
        <v>293.33333333333627</v>
      </c>
      <c r="AN140" s="62">
        <f ca="1">AVERAGE(OFFSET($AM$3,0,0,'Données projet'!$E$10+1,1))-AVERAGE(OFFSET($H$3,0,0,'Données projet'!$E$10+1,1))</f>
        <v>284.0976902574692</v>
      </c>
      <c r="AO140" s="62">
        <f t="shared" si="144"/>
        <v>190.4880882944471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260.49191999999937</v>
      </c>
      <c r="BF140" s="14">
        <f t="shared" si="145"/>
        <v>62.827223883029681</v>
      </c>
      <c r="BG140" s="22">
        <f t="shared" si="115"/>
        <v>563.11417559627546</v>
      </c>
      <c r="BH140" s="62">
        <f t="shared" si="116"/>
        <v>856.44750892960883</v>
      </c>
      <c r="BI140" s="62">
        <f ca="1">AVERAGE(OFFSET($BH$3,0,0,'Données projet'!$E$11+1,1))-AVERAGE(OFFSET($H$3,0,0,'Données projet'!$E$11+1,1))</f>
        <v>428.8489304403459</v>
      </c>
      <c r="BJ140" s="62">
        <f t="shared" si="146"/>
        <v>247.01165577562966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144.05409916132993</v>
      </c>
      <c r="CE140" s="62">
        <f t="shared" si="148"/>
        <v>409.2784174616832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8.7032196226008143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8.7032196226008143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6.3550942286383367E-14</v>
      </c>
      <c r="CV140" s="14">
        <f t="shared" si="149"/>
        <v>1.0064464192543978E-12</v>
      </c>
      <c r="CW140" s="22">
        <f t="shared" si="121"/>
        <v>1.8635787380168604E-12</v>
      </c>
      <c r="CX140" s="62">
        <f t="shared" si="122"/>
        <v>293.33333333333519</v>
      </c>
      <c r="CY140" s="62">
        <f ca="1">AVERAGE(OFFSET($CX$3,0,0,'Données projet'!$E$13+1,1))-AVERAGE(OFFSET($H$3,0,0,'Données projet'!$E$13+1,1))</f>
        <v>321.13335003345236</v>
      </c>
      <c r="CZ140" s="62">
        <f t="shared" si="150"/>
        <v>301.26825075712128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1.0613127970482823</v>
      </c>
      <c r="DH140" s="23">
        <f>EXP(-LN(2)/2)*DH139+(1-EXP(-LN(2)/2))/(LN(2)/2)*DB140*DE140*VLOOKUP('Données projet'!$B$13,Paramètres!$A$1:$I$89,3,0)*0.475*44/12</f>
        <v>7.7414834859454674E-16</v>
      </c>
      <c r="DI140" s="24">
        <f t="shared" si="123"/>
        <v>1.061312797048283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-5.1159076974727213E-13</v>
      </c>
      <c r="O141" s="14">
        <f>N141*VLOOKUP('Données projet'!$B$9,Paramètres!$A$1:$I$89,3,0)*VLOOKUP('Données projet'!$B$9,Paramètres!$A$1:$I$89,5,0)</f>
        <v>-5.3471467253984886E-13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493.70175665335978</v>
      </c>
      <c r="T141" s="62">
        <f t="shared" si="142"/>
        <v>325.12357781685949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1.064108801074326E-13</v>
      </c>
      <c r="AK141" s="14">
        <f t="shared" si="143"/>
        <v>1.5870730813698654E-12</v>
      </c>
      <c r="AL141" s="22">
        <f t="shared" si="112"/>
        <v>2.9494845662396269E-12</v>
      </c>
      <c r="AM141" s="62">
        <f t="shared" si="113"/>
        <v>293.33333333333627</v>
      </c>
      <c r="AN141" s="62">
        <f ca="1">AVERAGE(OFFSET($AM$3,0,0,'Données projet'!$E$10+1,1))-AVERAGE(OFFSET($H$3,0,0,'Données projet'!$E$10+1,1))</f>
        <v>284.0976902574692</v>
      </c>
      <c r="AO141" s="62">
        <f t="shared" si="144"/>
        <v>190.4880882944471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262.93487999999934</v>
      </c>
      <c r="BF141" s="14">
        <f t="shared" si="145"/>
        <v>63.347566493432652</v>
      </c>
      <c r="BG141" s="22">
        <f t="shared" si="115"/>
        <v>568.27526097606062</v>
      </c>
      <c r="BH141" s="62">
        <f t="shared" si="116"/>
        <v>861.60859430939399</v>
      </c>
      <c r="BI141" s="62">
        <f ca="1">AVERAGE(OFFSET($BH$3,0,0,'Données projet'!$E$11+1,1))-AVERAGE(OFFSET($H$3,0,0,'Données projet'!$E$11+1,1))</f>
        <v>428.8489304403459</v>
      </c>
      <c r="BJ141" s="62">
        <f t="shared" si="146"/>
        <v>247.01165577562966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144.05409916132993</v>
      </c>
      <c r="CE141" s="62">
        <f t="shared" si="148"/>
        <v>409.2784174616832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8.5325547942414168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8.5325547942414168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6.3550942286383367E-14</v>
      </c>
      <c r="CV141" s="14">
        <f t="shared" si="149"/>
        <v>1.0064464192543978E-12</v>
      </c>
      <c r="CW141" s="22">
        <f t="shared" si="121"/>
        <v>1.8635787380168604E-12</v>
      </c>
      <c r="CX141" s="62">
        <f t="shared" si="122"/>
        <v>293.33333333333519</v>
      </c>
      <c r="CY141" s="62">
        <f ca="1">AVERAGE(OFFSET($CX$3,0,0,'Données projet'!$E$13+1,1))-AVERAGE(OFFSET($H$3,0,0,'Données projet'!$E$13+1,1))</f>
        <v>321.13335003345236</v>
      </c>
      <c r="CZ141" s="62">
        <f t="shared" si="150"/>
        <v>301.26825075712128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1.0322911428009827</v>
      </c>
      <c r="DH141" s="23">
        <f>EXP(-LN(2)/2)*DH140+(1-EXP(-LN(2)/2))/(LN(2)/2)*DB141*DE141*VLOOKUP('Données projet'!$B$13,Paramètres!$A$1:$I$89,3,0)*0.475*44/12</f>
        <v>5.4740554693557127E-16</v>
      </c>
      <c r="DI141" s="24">
        <f t="shared" si="123"/>
        <v>1.0322911428009831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-5.1159076974727213E-13</v>
      </c>
      <c r="O142" s="14">
        <f>N142*VLOOKUP('Données projet'!$B$9,Paramètres!$A$1:$I$89,3,0)*VLOOKUP('Données projet'!$B$9,Paramètres!$A$1:$I$89,5,0)</f>
        <v>-5.3471467253984886E-13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493.70175665335978</v>
      </c>
      <c r="T142" s="62">
        <f t="shared" si="142"/>
        <v>325.12357781685949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1.064108801074326E-13</v>
      </c>
      <c r="AK142" s="14">
        <f t="shared" si="143"/>
        <v>1.5870730813698654E-12</v>
      </c>
      <c r="AL142" s="22">
        <f t="shared" si="112"/>
        <v>2.9494845662396269E-12</v>
      </c>
      <c r="AM142" s="62">
        <f t="shared" si="113"/>
        <v>293.33333333333627</v>
      </c>
      <c r="AN142" s="62">
        <f ca="1">AVERAGE(OFFSET($AM$3,0,0,'Données projet'!$E$10+1,1))-AVERAGE(OFFSET($H$3,0,0,'Données projet'!$E$10+1,1))</f>
        <v>284.0976902574692</v>
      </c>
      <c r="AO142" s="62">
        <f t="shared" si="144"/>
        <v>190.4880882944471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265.37783999999937</v>
      </c>
      <c r="BF142" s="14">
        <f t="shared" si="145"/>
        <v>63.867346655917089</v>
      </c>
      <c r="BG142" s="22">
        <f t="shared" si="115"/>
        <v>573.43536675905443</v>
      </c>
      <c r="BH142" s="62">
        <f t="shared" si="116"/>
        <v>866.76870009238769</v>
      </c>
      <c r="BI142" s="62">
        <f ca="1">AVERAGE(OFFSET($BH$3,0,0,'Données projet'!$E$11+1,1))-AVERAGE(OFFSET($H$3,0,0,'Données projet'!$E$11+1,1))</f>
        <v>428.8489304403459</v>
      </c>
      <c r="BJ142" s="62">
        <f t="shared" si="146"/>
        <v>247.01165577562966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144.05409916132993</v>
      </c>
      <c r="CE142" s="62">
        <f t="shared" si="148"/>
        <v>409.2784174616832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8.3652365990708812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8.3652365990708812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6.3550942286383367E-14</v>
      </c>
      <c r="CV142" s="14">
        <f t="shared" si="149"/>
        <v>1.0064464192543978E-12</v>
      </c>
      <c r="CW142" s="22">
        <f t="shared" si="121"/>
        <v>1.8635787380168604E-12</v>
      </c>
      <c r="CX142" s="62">
        <f t="shared" si="122"/>
        <v>293.33333333333519</v>
      </c>
      <c r="CY142" s="62">
        <f ca="1">AVERAGE(OFFSET($CX$3,0,0,'Données projet'!$E$13+1,1))-AVERAGE(OFFSET($H$3,0,0,'Données projet'!$E$13+1,1))</f>
        <v>321.13335003345236</v>
      </c>
      <c r="CZ142" s="62">
        <f t="shared" si="150"/>
        <v>301.26825075712128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1.0040630872152578</v>
      </c>
      <c r="DH142" s="23">
        <f>EXP(-LN(2)/2)*DH141+(1-EXP(-LN(2)/2))/(LN(2)/2)*DB142*DE142*VLOOKUP('Données projet'!$B$13,Paramètres!$A$1:$I$89,3,0)*0.475*44/12</f>
        <v>3.8707417429727337E-16</v>
      </c>
      <c r="DI142" s="24">
        <f t="shared" si="123"/>
        <v>1.0040630872152583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-5.1159076974727213E-13</v>
      </c>
      <c r="O143" s="14">
        <f>N143*VLOOKUP('Données projet'!$B$9,Paramètres!$A$1:$I$89,3,0)*VLOOKUP('Données projet'!$B$9,Paramètres!$A$1:$I$89,5,0)</f>
        <v>-5.3471467253984886E-13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493.70175665335978</v>
      </c>
      <c r="T143" s="62">
        <f t="shared" si="142"/>
        <v>325.12357781685949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1.064108801074326E-13</v>
      </c>
      <c r="AK143" s="14">
        <f t="shared" si="143"/>
        <v>1.5870730813698654E-12</v>
      </c>
      <c r="AL143" s="22">
        <f t="shared" si="112"/>
        <v>2.9494845662396269E-12</v>
      </c>
      <c r="AM143" s="62">
        <f t="shared" si="113"/>
        <v>293.33333333333627</v>
      </c>
      <c r="AN143" s="62">
        <f ca="1">AVERAGE(OFFSET($AM$3,0,0,'Données projet'!$E$10+1,1))-AVERAGE(OFFSET($H$3,0,0,'Données projet'!$E$10+1,1))</f>
        <v>284.0976902574692</v>
      </c>
      <c r="AO143" s="62">
        <f t="shared" si="144"/>
        <v>190.4880882944471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267.82079999999934</v>
      </c>
      <c r="BF143" s="14">
        <f t="shared" si="145"/>
        <v>64.386570147897245</v>
      </c>
      <c r="BG143" s="22">
        <f t="shared" si="115"/>
        <v>578.59450300758647</v>
      </c>
      <c r="BH143" s="62">
        <f t="shared" si="116"/>
        <v>871.92783634091984</v>
      </c>
      <c r="BI143" s="62">
        <f ca="1">AVERAGE(OFFSET($BH$3,0,0,'Données projet'!$E$11+1,1))-AVERAGE(OFFSET($H$3,0,0,'Données projet'!$E$11+1,1))</f>
        <v>428.8489304403459</v>
      </c>
      <c r="BJ143" s="62">
        <f t="shared" si="146"/>
        <v>247.01165577562966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144.05409916132993</v>
      </c>
      <c r="CE143" s="62">
        <f t="shared" si="148"/>
        <v>409.2784174616832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8.2011994116536169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8.2011994116536169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6.3550942286383367E-14</v>
      </c>
      <c r="CV143" s="14">
        <f t="shared" si="149"/>
        <v>1.0064464192543978E-12</v>
      </c>
      <c r="CW143" s="22">
        <f t="shared" si="121"/>
        <v>1.8635787380168604E-12</v>
      </c>
      <c r="CX143" s="62">
        <f t="shared" si="122"/>
        <v>293.33333333333519</v>
      </c>
      <c r="CY143" s="62">
        <f ca="1">AVERAGE(OFFSET($CX$3,0,0,'Données projet'!$E$13+1,1))-AVERAGE(OFFSET($H$3,0,0,'Données projet'!$E$13+1,1))</f>
        <v>321.13335003345236</v>
      </c>
      <c r="CZ143" s="62">
        <f t="shared" si="150"/>
        <v>301.26825075712128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0.97660692929397364</v>
      </c>
      <c r="DH143" s="23">
        <f>EXP(-LN(2)/2)*DH142+(1-EXP(-LN(2)/2))/(LN(2)/2)*DB143*DE143*VLOOKUP('Données projet'!$B$13,Paramètres!$A$1:$I$89,3,0)*0.475*44/12</f>
        <v>2.7370277346778564E-16</v>
      </c>
      <c r="DI143" s="24">
        <f t="shared" si="123"/>
        <v>0.97660692929397386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-5.1159076974727213E-13</v>
      </c>
      <c r="O144" s="14">
        <f>N144*VLOOKUP('Données projet'!$B$9,Paramètres!$A$1:$I$89,3,0)*VLOOKUP('Données projet'!$B$9,Paramètres!$A$1:$I$89,5,0)</f>
        <v>-5.3471467253984886E-13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493.70175665335978</v>
      </c>
      <c r="T144" s="62">
        <f t="shared" si="142"/>
        <v>325.12357781685949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1.064108801074326E-13</v>
      </c>
      <c r="AK144" s="14">
        <f t="shared" si="143"/>
        <v>1.5870730813698654E-12</v>
      </c>
      <c r="AL144" s="22">
        <f t="shared" si="112"/>
        <v>2.9494845662396269E-12</v>
      </c>
      <c r="AM144" s="62">
        <f t="shared" si="113"/>
        <v>293.33333333333627</v>
      </c>
      <c r="AN144" s="62">
        <f ca="1">AVERAGE(OFFSET($AM$3,0,0,'Données projet'!$E$10+1,1))-AVERAGE(OFFSET($H$3,0,0,'Données projet'!$E$10+1,1))</f>
        <v>284.0976902574692</v>
      </c>
      <c r="AO144" s="62">
        <f t="shared" si="144"/>
        <v>190.4880882944471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245.5627199999993</v>
      </c>
      <c r="BF144" s="14">
        <f t="shared" si="145"/>
        <v>59.634776048276741</v>
      </c>
      <c r="BG144" s="22">
        <f t="shared" si="115"/>
        <v>531.55230561741405</v>
      </c>
      <c r="BH144" s="62">
        <f t="shared" si="116"/>
        <v>824.88563895074731</v>
      </c>
      <c r="BI144" s="62">
        <f ca="1">AVERAGE(OFFSET($BH$3,0,0,'Données projet'!$E$11+1,1))-AVERAGE(OFFSET($H$3,0,0,'Données projet'!$E$11+1,1))</f>
        <v>428.8489304403459</v>
      </c>
      <c r="BJ144" s="62">
        <f t="shared" si="146"/>
        <v>247.01165577562966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144.05409916132993</v>
      </c>
      <c r="CE144" s="62">
        <f t="shared" si="148"/>
        <v>409.2784174616832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8.0403788934287999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8.0403788934287999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6.3550942286383367E-14</v>
      </c>
      <c r="CV144" s="14">
        <f t="shared" si="149"/>
        <v>1.0064464192543978E-12</v>
      </c>
      <c r="CW144" s="22">
        <f t="shared" si="121"/>
        <v>1.8635787380168604E-12</v>
      </c>
      <c r="CX144" s="62">
        <f t="shared" si="122"/>
        <v>293.33333333333519</v>
      </c>
      <c r="CY144" s="62">
        <f ca="1">AVERAGE(OFFSET($CX$3,0,0,'Données projet'!$E$13+1,1))-AVERAGE(OFFSET($H$3,0,0,'Données projet'!$E$13+1,1))</f>
        <v>321.13335003345236</v>
      </c>
      <c r="CZ144" s="62">
        <f t="shared" si="150"/>
        <v>301.26825075712128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0.94990156145490356</v>
      </c>
      <c r="DH144" s="23">
        <f>EXP(-LN(2)/2)*DH143+(1-EXP(-LN(2)/2))/(LN(2)/2)*DB144*DE144*VLOOKUP('Données projet'!$B$13,Paramètres!$A$1:$I$89,3,0)*0.475*44/12</f>
        <v>1.9353708714863669E-16</v>
      </c>
      <c r="DI144" s="24">
        <f t="shared" si="123"/>
        <v>0.94990156145490379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-5.1159076974727213E-13</v>
      </c>
      <c r="O145" s="14">
        <f>N145*VLOOKUP('Données projet'!$B$9,Paramètres!$A$1:$I$89,3,0)*VLOOKUP('Données projet'!$B$9,Paramètres!$A$1:$I$89,5,0)</f>
        <v>-5.3471467253984886E-13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493.70175665335978</v>
      </c>
      <c r="T145" s="62">
        <f t="shared" si="142"/>
        <v>325.12357781685949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1.064108801074326E-13</v>
      </c>
      <c r="AK145" s="14">
        <f t="shared" si="143"/>
        <v>1.5870730813698654E-12</v>
      </c>
      <c r="AL145" s="22">
        <f t="shared" si="112"/>
        <v>2.9494845662396269E-12</v>
      </c>
      <c r="AM145" s="62">
        <f t="shared" si="113"/>
        <v>293.33333333333627</v>
      </c>
      <c r="AN145" s="62">
        <f ca="1">AVERAGE(OFFSET($AM$3,0,0,'Données projet'!$E$10+1,1))-AVERAGE(OFFSET($H$3,0,0,'Données projet'!$E$10+1,1))</f>
        <v>284.0976902574692</v>
      </c>
      <c r="AO145" s="62">
        <f t="shared" si="144"/>
        <v>190.4880882944471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247.73423999999929</v>
      </c>
      <c r="BF145" s="14">
        <f t="shared" si="145"/>
        <v>60.100505665694953</v>
      </c>
      <c r="BG145" s="22">
        <f t="shared" si="115"/>
        <v>536.14551536775082</v>
      </c>
      <c r="BH145" s="62">
        <f t="shared" si="116"/>
        <v>829.47884870108419</v>
      </c>
      <c r="BI145" s="62">
        <f ca="1">AVERAGE(OFFSET($BH$3,0,0,'Données projet'!$E$11+1,1))-AVERAGE(OFFSET($H$3,0,0,'Données projet'!$E$11+1,1))</f>
        <v>428.8489304403459</v>
      </c>
      <c r="BJ145" s="62">
        <f t="shared" si="146"/>
        <v>247.01165577562966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144.05409916132993</v>
      </c>
      <c r="CE145" s="62">
        <f t="shared" si="148"/>
        <v>409.2784174616832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7.8827119674755419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7.8827119674755419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6.3550942286383367E-14</v>
      </c>
      <c r="CV145" s="14">
        <f t="shared" si="149"/>
        <v>1.0064464192543978E-12</v>
      </c>
      <c r="CW145" s="22">
        <f t="shared" si="121"/>
        <v>1.8635787380168604E-12</v>
      </c>
      <c r="CX145" s="62">
        <f t="shared" si="122"/>
        <v>293.33333333333519</v>
      </c>
      <c r="CY145" s="62">
        <f ca="1">AVERAGE(OFFSET($CX$3,0,0,'Données projet'!$E$13+1,1))-AVERAGE(OFFSET($H$3,0,0,'Données projet'!$E$13+1,1))</f>
        <v>321.13335003345236</v>
      </c>
      <c r="CZ145" s="62">
        <f t="shared" si="150"/>
        <v>301.26825075712128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0.9239264533037671</v>
      </c>
      <c r="DH145" s="23">
        <f>EXP(-LN(2)/2)*DH144+(1-EXP(-LN(2)/2))/(LN(2)/2)*DB145*DE145*VLOOKUP('Données projet'!$B$13,Paramètres!$A$1:$I$89,3,0)*0.475*44/12</f>
        <v>1.3685138673389282E-16</v>
      </c>
      <c r="DI145" s="24">
        <f t="shared" si="123"/>
        <v>0.92392645330376721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-5.1159076974727213E-13</v>
      </c>
      <c r="O146" s="14">
        <f>N146*VLOOKUP('Données projet'!$B$9,Paramètres!$A$1:$I$89,3,0)*VLOOKUP('Données projet'!$B$9,Paramètres!$A$1:$I$89,5,0)</f>
        <v>-5.3471467253984886E-13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493.70175665335978</v>
      </c>
      <c r="T146" s="62">
        <f t="shared" si="142"/>
        <v>325.12357781685949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1.064108801074326E-13</v>
      </c>
      <c r="AK146" s="14">
        <f t="shared" si="143"/>
        <v>1.5870730813698654E-12</v>
      </c>
      <c r="AL146" s="22">
        <f t="shared" si="112"/>
        <v>2.9494845662396269E-12</v>
      </c>
      <c r="AM146" s="62">
        <f t="shared" si="113"/>
        <v>293.33333333333627</v>
      </c>
      <c r="AN146" s="62">
        <f ca="1">AVERAGE(OFFSET($AM$3,0,0,'Données projet'!$E$10+1,1))-AVERAGE(OFFSET($H$3,0,0,'Données projet'!$E$10+1,1))</f>
        <v>284.0976902574692</v>
      </c>
      <c r="AO146" s="62">
        <f t="shared" si="144"/>
        <v>190.4880882944471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249.90575999999925</v>
      </c>
      <c r="BF146" s="14">
        <f t="shared" si="145"/>
        <v>60.565760331923727</v>
      </c>
      <c r="BG146" s="22">
        <f t="shared" si="115"/>
        <v>540.73789791143247</v>
      </c>
      <c r="BH146" s="62">
        <f t="shared" si="116"/>
        <v>834.07123124476584</v>
      </c>
      <c r="BI146" s="62">
        <f ca="1">AVERAGE(OFFSET($BH$3,0,0,'Données projet'!$E$11+1,1))-AVERAGE(OFFSET($H$3,0,0,'Données projet'!$E$11+1,1))</f>
        <v>428.8489304403459</v>
      </c>
      <c r="BJ146" s="62">
        <f t="shared" si="146"/>
        <v>247.01165577562966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144.05409916132993</v>
      </c>
      <c r="CE146" s="62">
        <f t="shared" si="148"/>
        <v>409.2784174616832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7.7281367937728982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7.7281367937728982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6.3550942286383367E-14</v>
      </c>
      <c r="CV146" s="14">
        <f t="shared" si="149"/>
        <v>1.0064464192543978E-12</v>
      </c>
      <c r="CW146" s="22">
        <f t="shared" si="121"/>
        <v>1.8635787380168604E-12</v>
      </c>
      <c r="CX146" s="62">
        <f t="shared" si="122"/>
        <v>293.33333333333519</v>
      </c>
      <c r="CY146" s="62">
        <f ca="1">AVERAGE(OFFSET($CX$3,0,0,'Données projet'!$E$13+1,1))-AVERAGE(OFFSET($H$3,0,0,'Données projet'!$E$13+1,1))</f>
        <v>321.13335003345236</v>
      </c>
      <c r="CZ146" s="62">
        <f t="shared" si="150"/>
        <v>301.26825075712128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0.89866163585099512</v>
      </c>
      <c r="DH146" s="23">
        <f>EXP(-LN(2)/2)*DH145+(1-EXP(-LN(2)/2))/(LN(2)/2)*DB146*DE146*VLOOKUP('Données projet'!$B$13,Paramètres!$A$1:$I$89,3,0)*0.475*44/12</f>
        <v>9.6768543574318343E-17</v>
      </c>
      <c r="DI146" s="24">
        <f t="shared" si="123"/>
        <v>0.89866163585099523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-5.1159076974727213E-13</v>
      </c>
      <c r="O147" s="14">
        <f>N147*VLOOKUP('Données projet'!$B$9,Paramètres!$A$1:$I$89,3,0)*VLOOKUP('Données projet'!$B$9,Paramètres!$A$1:$I$89,5,0)</f>
        <v>-5.3471467253984886E-13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493.70175665335978</v>
      </c>
      <c r="T147" s="62">
        <f t="shared" si="142"/>
        <v>325.12357781685949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1.064108801074326E-13</v>
      </c>
      <c r="AK147" s="14">
        <f t="shared" si="143"/>
        <v>1.5870730813698654E-12</v>
      </c>
      <c r="AL147" s="22">
        <f t="shared" si="112"/>
        <v>2.9494845662396269E-12</v>
      </c>
      <c r="AM147" s="62">
        <f t="shared" si="113"/>
        <v>293.33333333333627</v>
      </c>
      <c r="AN147" s="62">
        <f ca="1">AVERAGE(OFFSET($AM$3,0,0,'Données projet'!$E$10+1,1))-AVERAGE(OFFSET($H$3,0,0,'Données projet'!$E$10+1,1))</f>
        <v>284.0976902574692</v>
      </c>
      <c r="AO147" s="62">
        <f t="shared" si="144"/>
        <v>190.4880882944471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252.07727999999923</v>
      </c>
      <c r="BF147" s="14">
        <f t="shared" si="145"/>
        <v>61.030544652154823</v>
      </c>
      <c r="BG147" s="22">
        <f t="shared" si="115"/>
        <v>545.32946126916829</v>
      </c>
      <c r="BH147" s="62">
        <f t="shared" si="116"/>
        <v>838.66279460250166</v>
      </c>
      <c r="BI147" s="62">
        <f ca="1">AVERAGE(OFFSET($BH$3,0,0,'Données projet'!$E$11+1,1))-AVERAGE(OFFSET($H$3,0,0,'Données projet'!$E$11+1,1))</f>
        <v>428.8489304403459</v>
      </c>
      <c r="BJ147" s="62">
        <f t="shared" si="146"/>
        <v>247.01165577562966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144.05409916132993</v>
      </c>
      <c r="CE147" s="62">
        <f t="shared" si="148"/>
        <v>409.2784174616832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7.5765927449450166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7.5765927449450166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6.3550942286383367E-14</v>
      </c>
      <c r="CV147" s="14">
        <f t="shared" si="149"/>
        <v>1.0064464192543978E-12</v>
      </c>
      <c r="CW147" s="22">
        <f t="shared" si="121"/>
        <v>1.8635787380168604E-12</v>
      </c>
      <c r="CX147" s="62">
        <f t="shared" si="122"/>
        <v>293.33333333333519</v>
      </c>
      <c r="CY147" s="62">
        <f ca="1">AVERAGE(OFFSET($CX$3,0,0,'Données projet'!$E$13+1,1))-AVERAGE(OFFSET($H$3,0,0,'Données projet'!$E$13+1,1))</f>
        <v>321.13335003345236</v>
      </c>
      <c r="CZ147" s="62">
        <f t="shared" si="150"/>
        <v>301.26825075712128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0.87408768616008814</v>
      </c>
      <c r="DH147" s="23">
        <f>EXP(-LN(2)/2)*DH146+(1-EXP(-LN(2)/2))/(LN(2)/2)*DB147*DE147*VLOOKUP('Données projet'!$B$13,Paramètres!$A$1:$I$89,3,0)*0.475*44/12</f>
        <v>6.8425693366946409E-17</v>
      </c>
      <c r="DI147" s="24">
        <f t="shared" si="123"/>
        <v>0.87408768616008825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-5.1159076974727213E-13</v>
      </c>
      <c r="O148" s="14">
        <f>N148*VLOOKUP('Données projet'!$B$9,Paramètres!$A$1:$I$89,3,0)*VLOOKUP('Données projet'!$B$9,Paramètres!$A$1:$I$89,5,0)</f>
        <v>-5.3471467253984886E-13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493.70175665335978</v>
      </c>
      <c r="T148" s="62">
        <f t="shared" si="142"/>
        <v>325.12357781685949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1.064108801074326E-13</v>
      </c>
      <c r="AK148" s="14">
        <f t="shared" si="143"/>
        <v>1.5870730813698654E-12</v>
      </c>
      <c r="AL148" s="22">
        <f t="shared" si="112"/>
        <v>2.9494845662396269E-12</v>
      </c>
      <c r="AM148" s="62">
        <f t="shared" si="113"/>
        <v>293.33333333333627</v>
      </c>
      <c r="AN148" s="62">
        <f ca="1">AVERAGE(OFFSET($AM$3,0,0,'Données projet'!$E$10+1,1))-AVERAGE(OFFSET($H$3,0,0,'Données projet'!$E$10+1,1))</f>
        <v>284.0976902574692</v>
      </c>
      <c r="AO148" s="62">
        <f t="shared" si="144"/>
        <v>190.4880882944471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254.24879999999925</v>
      </c>
      <c r="BF148" s="14">
        <f t="shared" si="145"/>
        <v>61.494863147658698</v>
      </c>
      <c r="BG148" s="22">
        <f t="shared" si="115"/>
        <v>549.92021331550427</v>
      </c>
      <c r="BH148" s="62">
        <f t="shared" si="116"/>
        <v>843.25354664883753</v>
      </c>
      <c r="BI148" s="62">
        <f ca="1">AVERAGE(OFFSET($BH$3,0,0,'Données projet'!$E$11+1,1))-AVERAGE(OFFSET($H$3,0,0,'Données projet'!$E$11+1,1))</f>
        <v>428.8489304403459</v>
      </c>
      <c r="BJ148" s="62">
        <f t="shared" si="146"/>
        <v>247.01165577562966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144.05409916132993</v>
      </c>
      <c r="CE148" s="62">
        <f t="shared" si="148"/>
        <v>409.2784174616832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7.4280203824819075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7.4280203824819075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6.3550942286383367E-14</v>
      </c>
      <c r="CV148" s="14">
        <f t="shared" si="149"/>
        <v>1.0064464192543978E-12</v>
      </c>
      <c r="CW148" s="22">
        <f t="shared" si="121"/>
        <v>1.8635787380168604E-12</v>
      </c>
      <c r="CX148" s="62">
        <f t="shared" si="122"/>
        <v>293.33333333333519</v>
      </c>
      <c r="CY148" s="62">
        <f ca="1">AVERAGE(OFFSET($CX$3,0,0,'Données projet'!$E$13+1,1))-AVERAGE(OFFSET($H$3,0,0,'Données projet'!$E$13+1,1))</f>
        <v>321.13335003345236</v>
      </c>
      <c r="CZ148" s="62">
        <f t="shared" si="150"/>
        <v>301.26825075712128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0.8501857124157669</v>
      </c>
      <c r="DH148" s="23">
        <f>EXP(-LN(2)/2)*DH147+(1-EXP(-LN(2)/2))/(LN(2)/2)*DB148*DE148*VLOOKUP('Données projet'!$B$13,Paramètres!$A$1:$I$89,3,0)*0.475*44/12</f>
        <v>4.8384271787159171E-17</v>
      </c>
      <c r="DI148" s="24">
        <f t="shared" si="123"/>
        <v>0.8501857124157669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-5.1159076974727213E-13</v>
      </c>
      <c r="O149" s="14">
        <f>N149*VLOOKUP('Données projet'!$B$9,Paramètres!$A$1:$I$89,3,0)*VLOOKUP('Données projet'!$B$9,Paramètres!$A$1:$I$89,5,0)</f>
        <v>-5.3471467253984886E-13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493.70175665335978</v>
      </c>
      <c r="T149" s="62">
        <f t="shared" si="142"/>
        <v>325.12357781685949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1.064108801074326E-13</v>
      </c>
      <c r="AK149" s="14">
        <f t="shared" si="143"/>
        <v>1.5870730813698654E-12</v>
      </c>
      <c r="AL149" s="22">
        <f t="shared" si="112"/>
        <v>2.9494845662396269E-12</v>
      </c>
      <c r="AM149" s="62">
        <f t="shared" si="113"/>
        <v>293.33333333333627</v>
      </c>
      <c r="AN149" s="62">
        <f ca="1">AVERAGE(OFFSET($AM$3,0,0,'Données projet'!$E$10+1,1))-AVERAGE(OFFSET($H$3,0,0,'Données projet'!$E$10+1,1))</f>
        <v>284.0976902574692</v>
      </c>
      <c r="AO149" s="62">
        <f t="shared" si="144"/>
        <v>190.4880882944471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256.42031999999921</v>
      </c>
      <c r="BF149" s="14">
        <f t="shared" si="145"/>
        <v>61.958720258016747</v>
      </c>
      <c r="BG149" s="22">
        <f t="shared" si="115"/>
        <v>554.51016178271107</v>
      </c>
      <c r="BH149" s="62">
        <f t="shared" si="116"/>
        <v>847.84349511604432</v>
      </c>
      <c r="BI149" s="62">
        <f ca="1">AVERAGE(OFFSET($BH$3,0,0,'Données projet'!$E$11+1,1))-AVERAGE(OFFSET($H$3,0,0,'Données projet'!$E$11+1,1))</f>
        <v>428.8489304403459</v>
      </c>
      <c r="BJ149" s="62">
        <f t="shared" si="146"/>
        <v>247.01165577562966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144.05409916132993</v>
      </c>
      <c r="CE149" s="62">
        <f t="shared" si="148"/>
        <v>409.2784174616832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7.282361433426507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7.282361433426507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6.3550942286383367E-14</v>
      </c>
      <c r="CV149" s="14">
        <f t="shared" si="149"/>
        <v>1.0064464192543978E-12</v>
      </c>
      <c r="CW149" s="22">
        <f t="shared" si="121"/>
        <v>1.8635787380168604E-12</v>
      </c>
      <c r="CX149" s="62">
        <f t="shared" si="122"/>
        <v>293.33333333333519</v>
      </c>
      <c r="CY149" s="62">
        <f ca="1">AVERAGE(OFFSET($CX$3,0,0,'Données projet'!$E$13+1,1))-AVERAGE(OFFSET($H$3,0,0,'Données projet'!$E$13+1,1))</f>
        <v>321.13335003345236</v>
      </c>
      <c r="CZ149" s="62">
        <f t="shared" si="150"/>
        <v>301.26825075712128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0.82693733940043423</v>
      </c>
      <c r="DH149" s="23">
        <f>EXP(-LN(2)/2)*DH148+(1-EXP(-LN(2)/2))/(LN(2)/2)*DB149*DE149*VLOOKUP('Données projet'!$B$13,Paramètres!$A$1:$I$89,3,0)*0.475*44/12</f>
        <v>3.4212846683473205E-17</v>
      </c>
      <c r="DI149" s="24">
        <f t="shared" si="123"/>
        <v>0.82693733940043423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-5.1159076974727213E-13</v>
      </c>
      <c r="O150" s="14">
        <f>N150*VLOOKUP('Données projet'!$B$9,Paramètres!$A$1:$I$89,3,0)*VLOOKUP('Données projet'!$B$9,Paramètres!$A$1:$I$89,5,0)</f>
        <v>-5.3471467253984886E-13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493.70175665335978</v>
      </c>
      <c r="T150" s="62">
        <f t="shared" si="142"/>
        <v>325.12357781685949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1.064108801074326E-13</v>
      </c>
      <c r="AK150" s="14">
        <f t="shared" si="143"/>
        <v>1.5870730813698654E-12</v>
      </c>
      <c r="AL150" s="22">
        <f t="shared" si="112"/>
        <v>2.9494845662396269E-12</v>
      </c>
      <c r="AM150" s="62">
        <f t="shared" si="113"/>
        <v>293.33333333333627</v>
      </c>
      <c r="AN150" s="62">
        <f ca="1">AVERAGE(OFFSET($AM$3,0,0,'Données projet'!$E$10+1,1))-AVERAGE(OFFSET($H$3,0,0,'Données projet'!$E$10+1,1))</f>
        <v>284.0976902574692</v>
      </c>
      <c r="AO150" s="62">
        <f t="shared" si="144"/>
        <v>190.4880882944471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258.59183999999919</v>
      </c>
      <c r="BF150" s="14">
        <f t="shared" si="145"/>
        <v>62.422120343276475</v>
      </c>
      <c r="BG150" s="22">
        <f t="shared" si="115"/>
        <v>559.09931426453841</v>
      </c>
      <c r="BH150" s="62">
        <f t="shared" si="116"/>
        <v>852.43264759787166</v>
      </c>
      <c r="BI150" s="62">
        <f ca="1">AVERAGE(OFFSET($BH$3,0,0,'Données projet'!$E$11+1,1))-AVERAGE(OFFSET($H$3,0,0,'Données projet'!$E$11+1,1))</f>
        <v>428.8489304403459</v>
      </c>
      <c r="BJ150" s="62">
        <f t="shared" si="146"/>
        <v>247.01165577562966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144.05409916132993</v>
      </c>
      <c r="CE150" s="62">
        <f t="shared" si="148"/>
        <v>409.2784174616832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7.1395587675188965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7.1395587675188965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6.3550942286383367E-14</v>
      </c>
      <c r="CV150" s="14">
        <f t="shared" si="149"/>
        <v>1.0064464192543978E-12</v>
      </c>
      <c r="CW150" s="22">
        <f t="shared" si="121"/>
        <v>1.8635787380168604E-12</v>
      </c>
      <c r="CX150" s="62">
        <f t="shared" si="122"/>
        <v>293.33333333333519</v>
      </c>
      <c r="CY150" s="62">
        <f ca="1">AVERAGE(OFFSET($CX$3,0,0,'Données projet'!$E$13+1,1))-AVERAGE(OFFSET($H$3,0,0,'Données projet'!$E$13+1,1))</f>
        <v>321.13335003345236</v>
      </c>
      <c r="CZ150" s="62">
        <f t="shared" si="150"/>
        <v>301.26825075712128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0.80432469436778464</v>
      </c>
      <c r="DH150" s="23">
        <f>EXP(-LN(2)/2)*DH149+(1-EXP(-LN(2)/2))/(LN(2)/2)*DB150*DE150*VLOOKUP('Données projet'!$B$13,Paramètres!$A$1:$I$89,3,0)*0.475*44/12</f>
        <v>2.4192135893579586E-17</v>
      </c>
      <c r="DI150" s="24">
        <f t="shared" si="123"/>
        <v>0.80432469436778464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-5.1159076974727213E-13</v>
      </c>
      <c r="O151" s="14">
        <f>N151*VLOOKUP('Données projet'!$B$9,Paramètres!$A$1:$I$89,3,0)*VLOOKUP('Données projet'!$B$9,Paramètres!$A$1:$I$89,5,0)</f>
        <v>-5.3471467253984886E-13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493.70175665335978</v>
      </c>
      <c r="T151" s="62">
        <f t="shared" si="142"/>
        <v>325.12357781685949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1.064108801074326E-13</v>
      </c>
      <c r="AK151" s="14">
        <f t="shared" si="143"/>
        <v>1.5870730813698654E-12</v>
      </c>
      <c r="AL151" s="22">
        <f t="shared" si="112"/>
        <v>2.9494845662396269E-12</v>
      </c>
      <c r="AM151" s="62">
        <f t="shared" si="113"/>
        <v>293.33333333333627</v>
      </c>
      <c r="AN151" s="62">
        <f ca="1">AVERAGE(OFFSET($AM$3,0,0,'Données projet'!$E$10+1,1))-AVERAGE(OFFSET($H$3,0,0,'Données projet'!$E$10+1,1))</f>
        <v>284.0976902574692</v>
      </c>
      <c r="AO151" s="62">
        <f t="shared" si="144"/>
        <v>190.4880882944471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260.76335999999918</v>
      </c>
      <c r="BF151" s="14">
        <f t="shared" si="145"/>
        <v>62.885067686031789</v>
      </c>
      <c r="BG151" s="22">
        <f t="shared" si="115"/>
        <v>563.68767821983727</v>
      </c>
      <c r="BH151" s="62">
        <f t="shared" si="116"/>
        <v>857.02101155317064</v>
      </c>
      <c r="BI151" s="62">
        <f ca="1">AVERAGE(OFFSET($BH$3,0,0,'Données projet'!$E$11+1,1))-AVERAGE(OFFSET($H$3,0,0,'Données projet'!$E$11+1,1))</f>
        <v>428.8489304403459</v>
      </c>
      <c r="BJ151" s="62">
        <f t="shared" si="146"/>
        <v>247.01165577562966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144.05409916132993</v>
      </c>
      <c r="CE151" s="62">
        <f t="shared" si="148"/>
        <v>409.2784174616832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6.9995563747887077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6.9995563747887077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6.3550942286383367E-14</v>
      </c>
      <c r="CV151" s="14">
        <f t="shared" si="149"/>
        <v>1.0064464192543978E-12</v>
      </c>
      <c r="CW151" s="22">
        <f t="shared" si="121"/>
        <v>1.8635787380168604E-12</v>
      </c>
      <c r="CX151" s="62">
        <f t="shared" si="122"/>
        <v>293.33333333333519</v>
      </c>
      <c r="CY151" s="62">
        <f ca="1">AVERAGE(OFFSET($CX$3,0,0,'Données projet'!$E$13+1,1))-AVERAGE(OFFSET($H$3,0,0,'Données projet'!$E$13+1,1))</f>
        <v>321.13335003345236</v>
      </c>
      <c r="CZ151" s="62">
        <f t="shared" si="150"/>
        <v>301.26825075712128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0.78233039330270016</v>
      </c>
      <c r="DH151" s="23">
        <f>EXP(-LN(2)/2)*DH150+(1-EXP(-LN(2)/2))/(LN(2)/2)*DB151*DE151*VLOOKUP('Données projet'!$B$13,Paramètres!$A$1:$I$89,3,0)*0.475*44/12</f>
        <v>1.7106423341736602E-17</v>
      </c>
      <c r="DI151" s="24">
        <f t="shared" si="123"/>
        <v>0.78233039330270016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-5.1159076974727213E-13</v>
      </c>
      <c r="O152" s="14">
        <f>N152*VLOOKUP('Données projet'!$B$9,Paramètres!$A$1:$I$89,3,0)*VLOOKUP('Données projet'!$B$9,Paramètres!$A$1:$I$89,5,0)</f>
        <v>-5.3471467253984886E-13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493.70175665335978</v>
      </c>
      <c r="T152" s="62">
        <f t="shared" si="142"/>
        <v>325.12357781685949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1.064108801074326E-13</v>
      </c>
      <c r="AK152" s="14">
        <f t="shared" si="143"/>
        <v>1.5870730813698654E-12</v>
      </c>
      <c r="AL152" s="22">
        <f t="shared" si="112"/>
        <v>2.9494845662396269E-12</v>
      </c>
      <c r="AM152" s="62">
        <f t="shared" si="113"/>
        <v>293.33333333333627</v>
      </c>
      <c r="AN152" s="62">
        <f ca="1">AVERAGE(OFFSET($AM$3,0,0,'Données projet'!$E$10+1,1))-AVERAGE(OFFSET($H$3,0,0,'Données projet'!$E$10+1,1))</f>
        <v>284.0976902574692</v>
      </c>
      <c r="AO152" s="62">
        <f t="shared" si="144"/>
        <v>190.4880882944471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262.93487999999911</v>
      </c>
      <c r="BF152" s="14">
        <f t="shared" si="145"/>
        <v>63.347566493432595</v>
      </c>
      <c r="BG152" s="22">
        <f t="shared" si="115"/>
        <v>568.27526097606028</v>
      </c>
      <c r="BH152" s="62">
        <f t="shared" si="116"/>
        <v>861.60859430939354</v>
      </c>
      <c r="BI152" s="62">
        <f ca="1">AVERAGE(OFFSET($BH$3,0,0,'Données projet'!$E$11+1,1))-AVERAGE(OFFSET($H$3,0,0,'Données projet'!$E$11+1,1))</f>
        <v>428.8489304403459</v>
      </c>
      <c r="BJ152" s="62">
        <f t="shared" si="146"/>
        <v>247.01165577562966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144.05409916132993</v>
      </c>
      <c r="CE152" s="62">
        <f t="shared" si="148"/>
        <v>409.2784174616832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6.8622993435869306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6.8622993435869306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6.3550942286383367E-14</v>
      </c>
      <c r="CV152" s="14">
        <f t="shared" si="149"/>
        <v>1.0064464192543978E-12</v>
      </c>
      <c r="CW152" s="22">
        <f t="shared" si="121"/>
        <v>1.8635787380168604E-12</v>
      </c>
      <c r="CX152" s="62">
        <f t="shared" si="122"/>
        <v>293.33333333333519</v>
      </c>
      <c r="CY152" s="62">
        <f ca="1">AVERAGE(OFFSET($CX$3,0,0,'Données projet'!$E$13+1,1))-AVERAGE(OFFSET($H$3,0,0,'Données projet'!$E$13+1,1))</f>
        <v>321.13335003345236</v>
      </c>
      <c r="CZ152" s="62">
        <f t="shared" si="150"/>
        <v>301.26825075712128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0.7609375275568705</v>
      </c>
      <c r="DH152" s="23">
        <f>EXP(-LN(2)/2)*DH151+(1-EXP(-LN(2)/2))/(LN(2)/2)*DB152*DE152*VLOOKUP('Données projet'!$B$13,Paramètres!$A$1:$I$89,3,0)*0.475*44/12</f>
        <v>1.2096067946789793E-17</v>
      </c>
      <c r="DI152" s="24">
        <f t="shared" si="123"/>
        <v>0.7609375275568705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-5.1159076974727213E-13</v>
      </c>
      <c r="O153" s="14">
        <f>N153*VLOOKUP('Données projet'!$B$9,Paramètres!$A$1:$I$89,3,0)*VLOOKUP('Données projet'!$B$9,Paramètres!$A$1:$I$89,5,0)</f>
        <v>-5.3471467253984886E-13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493.70175665335978</v>
      </c>
      <c r="T153" s="62">
        <f t="shared" si="142"/>
        <v>325.12357781685949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1.064108801074326E-13</v>
      </c>
      <c r="AK153" s="14">
        <f t="shared" si="143"/>
        <v>1.5870730813698654E-12</v>
      </c>
      <c r="AL153" s="22">
        <f t="shared" si="112"/>
        <v>2.9494845662396269E-12</v>
      </c>
      <c r="AM153" s="62">
        <f t="shared" si="113"/>
        <v>293.33333333333627</v>
      </c>
      <c r="AN153" s="62">
        <f ca="1">AVERAGE(OFFSET($AM$3,0,0,'Données projet'!$E$10+1,1))-AVERAGE(OFFSET($H$3,0,0,'Données projet'!$E$10+1,1))</f>
        <v>284.0976902574692</v>
      </c>
      <c r="AO153" s="62">
        <f t="shared" si="144"/>
        <v>190.4880882944471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265.1063999999991</v>
      </c>
      <c r="BF153" s="14">
        <f t="shared" si="145"/>
        <v>63.809620899125136</v>
      </c>
      <c r="BG153" s="22">
        <f t="shared" si="115"/>
        <v>572.86206973264132</v>
      </c>
      <c r="BH153" s="62">
        <f t="shared" si="116"/>
        <v>866.19540306597469</v>
      </c>
      <c r="BI153" s="62">
        <f ca="1">AVERAGE(OFFSET($BH$3,0,0,'Données projet'!$E$11+1,1))-AVERAGE(OFFSET($H$3,0,0,'Données projet'!$E$11+1,1))</f>
        <v>428.8489304403459</v>
      </c>
      <c r="BJ153" s="62">
        <f t="shared" si="146"/>
        <v>247.01165577562966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144.05409916132993</v>
      </c>
      <c r="CE153" s="62">
        <f t="shared" si="148"/>
        <v>409.2784174616832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6.727733839048498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6.727733839048498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6.3550942286383367E-14</v>
      </c>
      <c r="CV153" s="14">
        <f t="shared" si="149"/>
        <v>1.0064464192543978E-12</v>
      </c>
      <c r="CW153" s="22">
        <f t="shared" si="121"/>
        <v>1.8635787380168604E-12</v>
      </c>
      <c r="CX153" s="62">
        <f t="shared" si="122"/>
        <v>293.33333333333519</v>
      </c>
      <c r="CY153" s="62">
        <f ca="1">AVERAGE(OFFSET($CX$3,0,0,'Données projet'!$E$13+1,1))-AVERAGE(OFFSET($H$3,0,0,'Données projet'!$E$13+1,1))</f>
        <v>321.13335003345236</v>
      </c>
      <c r="CZ153" s="62">
        <f t="shared" si="150"/>
        <v>301.26825075712128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0.74012965084986249</v>
      </c>
      <c r="DH153" s="23">
        <f>EXP(-LN(2)/2)*DH152+(1-EXP(-LN(2)/2))/(LN(2)/2)*DB153*DE153*VLOOKUP('Données projet'!$B$13,Paramètres!$A$1:$I$89,3,0)*0.475*44/12</f>
        <v>8.5532116708683011E-18</v>
      </c>
      <c r="DI153" s="24">
        <f t="shared" si="123"/>
        <v>0.74012965084986249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-5.1159076974727213E-13</v>
      </c>
      <c r="O154" s="14">
        <f>N154*VLOOKUP('Données projet'!$B$9,Paramètres!$A$1:$I$89,3,0)*VLOOKUP('Données projet'!$B$9,Paramètres!$A$1:$I$89,5,0)</f>
        <v>-5.3471467253984886E-13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493.70175665335978</v>
      </c>
      <c r="T154" s="62">
        <f t="shared" si="142"/>
        <v>325.12357781685949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1.064108801074326E-13</v>
      </c>
      <c r="AK154" s="14">
        <f t="shared" ref="AK154:AK203" si="164">EXP(-1.0587+0.8836*LN(AJ154)+0.284)</f>
        <v>1.5870730813698654E-12</v>
      </c>
      <c r="AL154" s="22">
        <f t="shared" ref="AL154:AL203" si="165">(AJ154+AK154)*0.475*44/12</f>
        <v>2.9494845662396269E-12</v>
      </c>
      <c r="AM154" s="62">
        <f t="shared" si="113"/>
        <v>293.33333333333627</v>
      </c>
      <c r="AN154" s="62">
        <f ca="1">AVERAGE(OFFSET($AM$3,0,0,'Données projet'!$E$10+1,1))-AVERAGE(OFFSET($H$3,0,0,'Données projet'!$E$10+1,1))</f>
        <v>284.0976902574692</v>
      </c>
      <c r="AO154" s="62">
        <f t="shared" si="144"/>
        <v>190.4880882944471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-8.7434273154940449E-13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428.8489304403459</v>
      </c>
      <c r="BJ154" s="62">
        <f t="shared" si="146"/>
        <v>247.01165577562966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144.05409916132993</v>
      </c>
      <c r="CE154" s="62">
        <f t="shared" si="148"/>
        <v>409.2784174616832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6.5958070819772106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6.5958070819772106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6.3550942286383367E-14</v>
      </c>
      <c r="CV154" s="14">
        <f t="shared" ref="CV154:CV203" si="173">EXP(-1.0587+0.8836*LN(CU154)+0.284)</f>
        <v>1.0064464192543978E-12</v>
      </c>
      <c r="CW154" s="22">
        <f t="shared" ref="CW154:CW203" si="174">(CU154+CV154)*0.475*44/12</f>
        <v>1.8635787380168604E-12</v>
      </c>
      <c r="CX154" s="62">
        <f t="shared" si="122"/>
        <v>293.33333333333519</v>
      </c>
      <c r="CY154" s="62">
        <f ca="1">AVERAGE(OFFSET($CX$3,0,0,'Données projet'!$E$13+1,1))-AVERAGE(OFFSET($H$3,0,0,'Données projet'!$E$13+1,1))</f>
        <v>321.13335003345236</v>
      </c>
      <c r="CZ154" s="62">
        <f t="shared" si="150"/>
        <v>301.26825075712128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0.71989076662564622</v>
      </c>
      <c r="DH154" s="23">
        <f>EXP(-LN(2)/2)*DH153+(1-EXP(-LN(2)/2))/(LN(2)/2)*DB154*DE154*VLOOKUP('Données projet'!$B$13,Paramètres!$A$1:$I$89,3,0)*0.475*44/12</f>
        <v>6.0480339733948964E-18</v>
      </c>
      <c r="DI154" s="24">
        <f t="shared" ref="DI154:DI203" si="175">SUM(DF154:DH154)</f>
        <v>0.71989076662564622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-5.1159076974727213E-13</v>
      </c>
      <c r="O155" s="14">
        <f>N155*VLOOKUP('Données projet'!$B$9,Paramètres!$A$1:$I$89,3,0)*VLOOKUP('Données projet'!$B$9,Paramètres!$A$1:$I$89,5,0)</f>
        <v>-5.3471467253984886E-13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493.70175665335978</v>
      </c>
      <c r="T155" s="62">
        <f t="shared" si="142"/>
        <v>325.12357781685949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1.064108801074326E-13</v>
      </c>
      <c r="AK155" s="14">
        <f t="shared" si="164"/>
        <v>1.5870730813698654E-12</v>
      </c>
      <c r="AL155" s="22">
        <f t="shared" si="165"/>
        <v>2.9494845662396269E-12</v>
      </c>
      <c r="AM155" s="62">
        <f t="shared" si="113"/>
        <v>293.33333333333627</v>
      </c>
      <c r="AN155" s="62">
        <f ca="1">AVERAGE(OFFSET($AM$3,0,0,'Données projet'!$E$10+1,1))-AVERAGE(OFFSET($H$3,0,0,'Données projet'!$E$10+1,1))</f>
        <v>284.0976902574692</v>
      </c>
      <c r="AO155" s="62">
        <f t="shared" si="144"/>
        <v>190.4880882944471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-8.7434273154940449E-13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428.8489304403459</v>
      </c>
      <c r="BJ155" s="62">
        <f t="shared" si="146"/>
        <v>247.01165577562966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144.05409916132993</v>
      </c>
      <c r="CE155" s="62">
        <f t="shared" si="148"/>
        <v>409.2784174616832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6.4664673281447147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6.4664673281447147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6.3550942286383367E-14</v>
      </c>
      <c r="CV155" s="14">
        <f t="shared" si="173"/>
        <v>1.0064464192543978E-12</v>
      </c>
      <c r="CW155" s="22">
        <f t="shared" si="174"/>
        <v>1.8635787380168604E-12</v>
      </c>
      <c r="CX155" s="62">
        <f t="shared" si="122"/>
        <v>293.33333333333519</v>
      </c>
      <c r="CY155" s="62">
        <f ca="1">AVERAGE(OFFSET($CX$3,0,0,'Données projet'!$E$13+1,1))-AVERAGE(OFFSET($H$3,0,0,'Données projet'!$E$13+1,1))</f>
        <v>321.13335003345236</v>
      </c>
      <c r="CZ155" s="62">
        <f t="shared" si="150"/>
        <v>301.26825075712128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0.70020531575485778</v>
      </c>
      <c r="DH155" s="23">
        <f>EXP(-LN(2)/2)*DH154+(1-EXP(-LN(2)/2))/(LN(2)/2)*DB155*DE155*VLOOKUP('Données projet'!$B$13,Paramètres!$A$1:$I$89,3,0)*0.475*44/12</f>
        <v>4.2766058354341506E-18</v>
      </c>
      <c r="DI155" s="24">
        <f t="shared" si="175"/>
        <v>0.70020531575485778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-5.1159076974727213E-13</v>
      </c>
      <c r="O156" s="14">
        <f>N156*VLOOKUP('Données projet'!$B$9,Paramètres!$A$1:$I$89,3,0)*VLOOKUP('Données projet'!$B$9,Paramètres!$A$1:$I$89,5,0)</f>
        <v>-5.3471467253984886E-13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493.70175665335978</v>
      </c>
      <c r="T156" s="62">
        <f t="shared" si="142"/>
        <v>325.12357781685949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1.064108801074326E-13</v>
      </c>
      <c r="AK156" s="14">
        <f t="shared" si="164"/>
        <v>1.5870730813698654E-12</v>
      </c>
      <c r="AL156" s="22">
        <f t="shared" si="165"/>
        <v>2.9494845662396269E-12</v>
      </c>
      <c r="AM156" s="62">
        <f t="shared" si="113"/>
        <v>293.33333333333627</v>
      </c>
      <c r="AN156" s="62">
        <f ca="1">AVERAGE(OFFSET($AM$3,0,0,'Données projet'!$E$10+1,1))-AVERAGE(OFFSET($H$3,0,0,'Données projet'!$E$10+1,1))</f>
        <v>284.0976902574692</v>
      </c>
      <c r="AO156" s="62">
        <f t="shared" si="144"/>
        <v>190.4880882944471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-8.7434273154940449E-13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428.8489304403459</v>
      </c>
      <c r="BJ156" s="62">
        <f t="shared" si="146"/>
        <v>247.01165577562966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144.05409916132993</v>
      </c>
      <c r="CE156" s="62">
        <f t="shared" si="148"/>
        <v>409.2784174616832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6.3396638479954142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6.3396638479954142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6.3550942286383367E-14</v>
      </c>
      <c r="CV156" s="14">
        <f t="shared" si="173"/>
        <v>1.0064464192543978E-12</v>
      </c>
      <c r="CW156" s="22">
        <f t="shared" si="174"/>
        <v>1.8635787380168604E-12</v>
      </c>
      <c r="CX156" s="62">
        <f t="shared" si="122"/>
        <v>293.33333333333519</v>
      </c>
      <c r="CY156" s="62">
        <f ca="1">AVERAGE(OFFSET($CX$3,0,0,'Données projet'!$E$13+1,1))-AVERAGE(OFFSET($H$3,0,0,'Données projet'!$E$13+1,1))</f>
        <v>321.13335003345236</v>
      </c>
      <c r="CZ156" s="62">
        <f t="shared" si="150"/>
        <v>301.26825075712128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0.681058164573344</v>
      </c>
      <c r="DH156" s="23">
        <f>EXP(-LN(2)/2)*DH155+(1-EXP(-LN(2)/2))/(LN(2)/2)*DB156*DE156*VLOOKUP('Données projet'!$B$13,Paramètres!$A$1:$I$89,3,0)*0.475*44/12</f>
        <v>3.0240169866974482E-18</v>
      </c>
      <c r="DI156" s="24">
        <f t="shared" si="175"/>
        <v>0.681058164573344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-5.1159076974727213E-13</v>
      </c>
      <c r="O157" s="14">
        <f>N157*VLOOKUP('Données projet'!$B$9,Paramètres!$A$1:$I$89,3,0)*VLOOKUP('Données projet'!$B$9,Paramètres!$A$1:$I$89,5,0)</f>
        <v>-5.3471467253984886E-13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493.70175665335978</v>
      </c>
      <c r="T157" s="62">
        <f t="shared" si="142"/>
        <v>325.12357781685949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1.064108801074326E-13</v>
      </c>
      <c r="AK157" s="14">
        <f t="shared" si="164"/>
        <v>1.5870730813698654E-12</v>
      </c>
      <c r="AL157" s="22">
        <f t="shared" si="165"/>
        <v>2.9494845662396269E-12</v>
      </c>
      <c r="AM157" s="62">
        <f t="shared" si="113"/>
        <v>293.33333333333627</v>
      </c>
      <c r="AN157" s="62">
        <f ca="1">AVERAGE(OFFSET($AM$3,0,0,'Données projet'!$E$10+1,1))-AVERAGE(OFFSET($H$3,0,0,'Données projet'!$E$10+1,1))</f>
        <v>284.0976902574692</v>
      </c>
      <c r="AO157" s="62">
        <f t="shared" si="144"/>
        <v>190.4880882944471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-8.7434273154940449E-13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428.8489304403459</v>
      </c>
      <c r="BJ157" s="62">
        <f t="shared" si="146"/>
        <v>247.01165577562966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144.05409916132993</v>
      </c>
      <c r="CE157" s="62">
        <f t="shared" si="148"/>
        <v>409.2784174616832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6.215346906749355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6.215346906749355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6.3550942286383367E-14</v>
      </c>
      <c r="CV157" s="14">
        <f t="shared" si="173"/>
        <v>1.0064464192543978E-12</v>
      </c>
      <c r="CW157" s="22">
        <f t="shared" si="174"/>
        <v>1.8635787380168604E-12</v>
      </c>
      <c r="CX157" s="62">
        <f t="shared" si="122"/>
        <v>293.33333333333519</v>
      </c>
      <c r="CY157" s="62">
        <f ca="1">AVERAGE(OFFSET($CX$3,0,0,'Données projet'!$E$13+1,1))-AVERAGE(OFFSET($H$3,0,0,'Données projet'!$E$13+1,1))</f>
        <v>321.13335003345236</v>
      </c>
      <c r="CZ157" s="62">
        <f t="shared" si="150"/>
        <v>301.26825075712128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0.66243459324779363</v>
      </c>
      <c r="DH157" s="23">
        <f>EXP(-LN(2)/2)*DH156+(1-EXP(-LN(2)/2))/(LN(2)/2)*DB157*DE157*VLOOKUP('Données projet'!$B$13,Paramètres!$A$1:$I$89,3,0)*0.475*44/12</f>
        <v>2.1383029177170753E-18</v>
      </c>
      <c r="DI157" s="24">
        <f t="shared" si="175"/>
        <v>0.66243459324779363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-5.1159076974727213E-13</v>
      </c>
      <c r="O158" s="14">
        <f>N158*VLOOKUP('Données projet'!$B$9,Paramètres!$A$1:$I$89,3,0)*VLOOKUP('Données projet'!$B$9,Paramètres!$A$1:$I$89,5,0)</f>
        <v>-5.3471467253984886E-13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493.70175665335978</v>
      </c>
      <c r="T158" s="62">
        <f t="shared" si="142"/>
        <v>325.12357781685949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1.064108801074326E-13</v>
      </c>
      <c r="AK158" s="14">
        <f t="shared" si="164"/>
        <v>1.5870730813698654E-12</v>
      </c>
      <c r="AL158" s="22">
        <f t="shared" si="165"/>
        <v>2.9494845662396269E-12</v>
      </c>
      <c r="AM158" s="62">
        <f t="shared" si="113"/>
        <v>293.33333333333627</v>
      </c>
      <c r="AN158" s="62">
        <f ca="1">AVERAGE(OFFSET($AM$3,0,0,'Données projet'!$E$10+1,1))-AVERAGE(OFFSET($H$3,0,0,'Données projet'!$E$10+1,1))</f>
        <v>284.0976902574692</v>
      </c>
      <c r="AO158" s="62">
        <f t="shared" si="144"/>
        <v>190.4880882944471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-8.7434273154940449E-13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428.8489304403459</v>
      </c>
      <c r="BJ158" s="62">
        <f t="shared" si="146"/>
        <v>247.01165577562966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144.05409916132993</v>
      </c>
      <c r="CE158" s="62">
        <f t="shared" si="148"/>
        <v>409.2784174616832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6.0934677448952845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6.0934677448952845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6.3550942286383367E-14</v>
      </c>
      <c r="CV158" s="14">
        <f t="shared" si="173"/>
        <v>1.0064464192543978E-12</v>
      </c>
      <c r="CW158" s="22">
        <f t="shared" si="174"/>
        <v>1.8635787380168604E-12</v>
      </c>
      <c r="CX158" s="62">
        <f t="shared" si="122"/>
        <v>293.33333333333519</v>
      </c>
      <c r="CY158" s="62">
        <f ca="1">AVERAGE(OFFSET($CX$3,0,0,'Données projet'!$E$13+1,1))-AVERAGE(OFFSET($H$3,0,0,'Données projet'!$E$13+1,1))</f>
        <v>321.13335003345236</v>
      </c>
      <c r="CZ158" s="62">
        <f t="shared" si="150"/>
        <v>301.26825075712128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0.64432028445951151</v>
      </c>
      <c r="DH158" s="23">
        <f>EXP(-LN(2)/2)*DH157+(1-EXP(-LN(2)/2))/(LN(2)/2)*DB158*DE158*VLOOKUP('Données projet'!$B$13,Paramètres!$A$1:$I$89,3,0)*0.475*44/12</f>
        <v>1.5120084933487241E-18</v>
      </c>
      <c r="DI158" s="24">
        <f t="shared" si="175"/>
        <v>0.64432028445951151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-5.1159076974727213E-13</v>
      </c>
      <c r="O159" s="14">
        <f>N159*VLOOKUP('Données projet'!$B$9,Paramètres!$A$1:$I$89,3,0)*VLOOKUP('Données projet'!$B$9,Paramètres!$A$1:$I$89,5,0)</f>
        <v>-5.3471467253984886E-13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493.70175665335978</v>
      </c>
      <c r="T159" s="62">
        <f t="shared" si="142"/>
        <v>325.12357781685949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1.064108801074326E-13</v>
      </c>
      <c r="AK159" s="14">
        <f t="shared" si="164"/>
        <v>1.5870730813698654E-12</v>
      </c>
      <c r="AL159" s="22">
        <f t="shared" si="165"/>
        <v>2.9494845662396269E-12</v>
      </c>
      <c r="AM159" s="62">
        <f t="shared" si="113"/>
        <v>293.33333333333627</v>
      </c>
      <c r="AN159" s="62">
        <f ca="1">AVERAGE(OFFSET($AM$3,0,0,'Données projet'!$E$10+1,1))-AVERAGE(OFFSET($H$3,0,0,'Données projet'!$E$10+1,1))</f>
        <v>284.0976902574692</v>
      </c>
      <c r="AO159" s="62">
        <f t="shared" si="144"/>
        <v>190.4880882944471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-8.7434273154940449E-13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428.8489304403459</v>
      </c>
      <c r="BJ159" s="62">
        <f t="shared" si="146"/>
        <v>247.01165577562966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144.05409916132993</v>
      </c>
      <c r="CE159" s="62">
        <f t="shared" si="148"/>
        <v>409.2784174616832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5.9739785590662242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5.9739785590662242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6.3550942286383367E-14</v>
      </c>
      <c r="CV159" s="14">
        <f t="shared" si="173"/>
        <v>1.0064464192543978E-12</v>
      </c>
      <c r="CW159" s="22">
        <f t="shared" si="174"/>
        <v>1.8635787380168604E-12</v>
      </c>
      <c r="CX159" s="62">
        <f t="shared" si="122"/>
        <v>293.33333333333519</v>
      </c>
      <c r="CY159" s="62">
        <f ca="1">AVERAGE(OFFSET($CX$3,0,0,'Données projet'!$E$13+1,1))-AVERAGE(OFFSET($H$3,0,0,'Données projet'!$E$13+1,1))</f>
        <v>321.13335003345236</v>
      </c>
      <c r="CZ159" s="62">
        <f t="shared" si="150"/>
        <v>301.26825075712128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0.62670131239763505</v>
      </c>
      <c r="DH159" s="23">
        <f>EXP(-LN(2)/2)*DH158+(1-EXP(-LN(2)/2))/(LN(2)/2)*DB159*DE159*VLOOKUP('Données projet'!$B$13,Paramètres!$A$1:$I$89,3,0)*0.475*44/12</f>
        <v>1.0691514588585376E-18</v>
      </c>
      <c r="DI159" s="24">
        <f t="shared" si="175"/>
        <v>0.62670131239763505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-5.1159076974727213E-13</v>
      </c>
      <c r="O160" s="14">
        <f>N160*VLOOKUP('Données projet'!$B$9,Paramètres!$A$1:$I$89,3,0)*VLOOKUP('Données projet'!$B$9,Paramètres!$A$1:$I$89,5,0)</f>
        <v>-5.3471467253984886E-13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493.70175665335978</v>
      </c>
      <c r="T160" s="62">
        <f t="shared" si="142"/>
        <v>325.12357781685949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1.064108801074326E-13</v>
      </c>
      <c r="AK160" s="14">
        <f t="shared" si="164"/>
        <v>1.5870730813698654E-12</v>
      </c>
      <c r="AL160" s="22">
        <f t="shared" si="165"/>
        <v>2.9494845662396269E-12</v>
      </c>
      <c r="AM160" s="62">
        <f t="shared" si="113"/>
        <v>293.33333333333627</v>
      </c>
      <c r="AN160" s="62">
        <f ca="1">AVERAGE(OFFSET($AM$3,0,0,'Données projet'!$E$10+1,1))-AVERAGE(OFFSET($H$3,0,0,'Données projet'!$E$10+1,1))</f>
        <v>284.0976902574692</v>
      </c>
      <c r="AO160" s="62">
        <f t="shared" si="144"/>
        <v>190.4880882944471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-8.7434273154940449E-13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428.8489304403459</v>
      </c>
      <c r="BJ160" s="62">
        <f t="shared" si="146"/>
        <v>247.01165577562966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144.05409916132993</v>
      </c>
      <c r="CE160" s="62">
        <f t="shared" si="148"/>
        <v>409.2784174616832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5.8568324832900647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5.8568324832900647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6.3550942286383367E-14</v>
      </c>
      <c r="CV160" s="14">
        <f t="shared" si="173"/>
        <v>1.0064464192543978E-12</v>
      </c>
      <c r="CW160" s="22">
        <f t="shared" si="174"/>
        <v>1.8635787380168604E-12</v>
      </c>
      <c r="CX160" s="62">
        <f t="shared" si="122"/>
        <v>293.33333333333519</v>
      </c>
      <c r="CY160" s="62">
        <f ca="1">AVERAGE(OFFSET($CX$3,0,0,'Données projet'!$E$13+1,1))-AVERAGE(OFFSET($H$3,0,0,'Données projet'!$E$13+1,1))</f>
        <v>321.13335003345236</v>
      </c>
      <c r="CZ160" s="62">
        <f t="shared" si="150"/>
        <v>301.26825075712128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0.60956413205333204</v>
      </c>
      <c r="DH160" s="23">
        <f>EXP(-LN(2)/2)*DH159+(1-EXP(-LN(2)/2))/(LN(2)/2)*DB160*DE160*VLOOKUP('Données projet'!$B$13,Paramètres!$A$1:$I$89,3,0)*0.475*44/12</f>
        <v>7.5600424667436205E-19</v>
      </c>
      <c r="DI160" s="24">
        <f t="shared" si="175"/>
        <v>0.60956413205333204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-5.1159076974727213E-13</v>
      </c>
      <c r="O161" s="14">
        <f>N161*VLOOKUP('Données projet'!$B$9,Paramètres!$A$1:$I$89,3,0)*VLOOKUP('Données projet'!$B$9,Paramètres!$A$1:$I$89,5,0)</f>
        <v>-5.3471467253984886E-13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493.70175665335978</v>
      </c>
      <c r="T161" s="62">
        <f t="shared" si="142"/>
        <v>325.12357781685949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1.064108801074326E-13</v>
      </c>
      <c r="AK161" s="14">
        <f t="shared" si="164"/>
        <v>1.5870730813698654E-12</v>
      </c>
      <c r="AL161" s="22">
        <f t="shared" si="165"/>
        <v>2.9494845662396269E-12</v>
      </c>
      <c r="AM161" s="62">
        <f t="shared" si="113"/>
        <v>293.33333333333627</v>
      </c>
      <c r="AN161" s="62">
        <f ca="1">AVERAGE(OFFSET($AM$3,0,0,'Données projet'!$E$10+1,1))-AVERAGE(OFFSET($H$3,0,0,'Données projet'!$E$10+1,1))</f>
        <v>284.0976902574692</v>
      </c>
      <c r="AO161" s="62">
        <f t="shared" si="144"/>
        <v>190.4880882944471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-8.7434273154940449E-13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428.8489304403459</v>
      </c>
      <c r="BJ161" s="62">
        <f t="shared" si="146"/>
        <v>247.01165577562966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144.05409916132993</v>
      </c>
      <c r="CE161" s="62">
        <f t="shared" si="148"/>
        <v>409.2784174616832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5.7419835706078244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5.7419835706078244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6.3550942286383367E-14</v>
      </c>
      <c r="CV161" s="14">
        <f t="shared" si="173"/>
        <v>1.0064464192543978E-12</v>
      </c>
      <c r="CW161" s="22">
        <f t="shared" si="174"/>
        <v>1.8635787380168604E-12</v>
      </c>
      <c r="CX161" s="62">
        <f t="shared" si="122"/>
        <v>293.33333333333519</v>
      </c>
      <c r="CY161" s="62">
        <f ca="1">AVERAGE(OFFSET($CX$3,0,0,'Données projet'!$E$13+1,1))-AVERAGE(OFFSET($H$3,0,0,'Données projet'!$E$13+1,1))</f>
        <v>321.13335003345236</v>
      </c>
      <c r="CZ161" s="62">
        <f t="shared" si="150"/>
        <v>301.26825075712128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0.5928955688067491</v>
      </c>
      <c r="DH161" s="23">
        <f>EXP(-LN(2)/2)*DH160+(1-EXP(-LN(2)/2))/(LN(2)/2)*DB161*DE161*VLOOKUP('Données projet'!$B$13,Paramètres!$A$1:$I$89,3,0)*0.475*44/12</f>
        <v>5.3457572942926882E-19</v>
      </c>
      <c r="DI161" s="24">
        <f t="shared" si="175"/>
        <v>0.5928955688067491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-5.1159076974727213E-13</v>
      </c>
      <c r="O162" s="14">
        <f>N162*VLOOKUP('Données projet'!$B$9,Paramètres!$A$1:$I$89,3,0)*VLOOKUP('Données projet'!$B$9,Paramètres!$A$1:$I$89,5,0)</f>
        <v>-5.3471467253984886E-13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493.70175665335978</v>
      </c>
      <c r="T162" s="62">
        <f t="shared" si="142"/>
        <v>325.12357781685949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1.064108801074326E-13</v>
      </c>
      <c r="AK162" s="14">
        <f t="shared" si="164"/>
        <v>1.5870730813698654E-12</v>
      </c>
      <c r="AL162" s="22">
        <f t="shared" si="165"/>
        <v>2.9494845662396269E-12</v>
      </c>
      <c r="AM162" s="62">
        <f t="shared" si="113"/>
        <v>293.33333333333627</v>
      </c>
      <c r="AN162" s="62">
        <f ca="1">AVERAGE(OFFSET($AM$3,0,0,'Données projet'!$E$10+1,1))-AVERAGE(OFFSET($H$3,0,0,'Données projet'!$E$10+1,1))</f>
        <v>284.0976902574692</v>
      </c>
      <c r="AO162" s="62">
        <f t="shared" si="144"/>
        <v>190.4880882944471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-8.7434273154940449E-13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428.8489304403459</v>
      </c>
      <c r="BJ162" s="62">
        <f t="shared" si="146"/>
        <v>247.01165577562966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144.05409916132993</v>
      </c>
      <c r="CE162" s="62">
        <f t="shared" si="148"/>
        <v>409.2784174616832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5.629386775052363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5.629386775052363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6.3550942286383367E-14</v>
      </c>
      <c r="CV162" s="14">
        <f t="shared" si="173"/>
        <v>1.0064464192543978E-12</v>
      </c>
      <c r="CW162" s="22">
        <f t="shared" si="174"/>
        <v>1.8635787380168604E-12</v>
      </c>
      <c r="CX162" s="62">
        <f t="shared" si="122"/>
        <v>293.33333333333519</v>
      </c>
      <c r="CY162" s="62">
        <f ca="1">AVERAGE(OFFSET($CX$3,0,0,'Données projet'!$E$13+1,1))-AVERAGE(OFFSET($H$3,0,0,'Données projet'!$E$13+1,1))</f>
        <v>321.13335003345236</v>
      </c>
      <c r="CZ162" s="62">
        <f t="shared" si="150"/>
        <v>301.26825075712128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0.57668280829870566</v>
      </c>
      <c r="DH162" s="23">
        <f>EXP(-LN(2)/2)*DH161+(1-EXP(-LN(2)/2))/(LN(2)/2)*DB162*DE162*VLOOKUP('Données projet'!$B$13,Paramètres!$A$1:$I$89,3,0)*0.475*44/12</f>
        <v>3.7800212333718103E-19</v>
      </c>
      <c r="DI162" s="24">
        <f t="shared" si="175"/>
        <v>0.57668280829870566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-5.1159076974727213E-13</v>
      </c>
      <c r="O163" s="14">
        <f>N163*VLOOKUP('Données projet'!$B$9,Paramètres!$A$1:$I$89,3,0)*VLOOKUP('Données projet'!$B$9,Paramètres!$A$1:$I$89,5,0)</f>
        <v>-5.3471467253984886E-13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493.70175665335978</v>
      </c>
      <c r="T163" s="62">
        <f t="shared" si="142"/>
        <v>325.12357781685949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1.064108801074326E-13</v>
      </c>
      <c r="AK163" s="14">
        <f t="shared" si="164"/>
        <v>1.5870730813698654E-12</v>
      </c>
      <c r="AL163" s="22">
        <f t="shared" si="165"/>
        <v>2.9494845662396269E-12</v>
      </c>
      <c r="AM163" s="62">
        <f t="shared" si="113"/>
        <v>293.33333333333627</v>
      </c>
      <c r="AN163" s="62">
        <f ca="1">AVERAGE(OFFSET($AM$3,0,0,'Données projet'!$E$10+1,1))-AVERAGE(OFFSET($H$3,0,0,'Données projet'!$E$10+1,1))</f>
        <v>284.0976902574692</v>
      </c>
      <c r="AO163" s="62">
        <f t="shared" si="144"/>
        <v>190.4880882944471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-8.7434273154940449E-13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428.8489304403459</v>
      </c>
      <c r="BJ163" s="62">
        <f t="shared" si="146"/>
        <v>247.01165577562966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144.05409916132993</v>
      </c>
      <c r="CE163" s="62">
        <f t="shared" si="148"/>
        <v>409.2784174616832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5.5189979339804802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5.5189979339804802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6.3550942286383367E-14</v>
      </c>
      <c r="CV163" s="14">
        <f t="shared" si="173"/>
        <v>1.0064464192543978E-12</v>
      </c>
      <c r="CW163" s="22">
        <f t="shared" si="174"/>
        <v>1.8635787380168604E-12</v>
      </c>
      <c r="CX163" s="62">
        <f t="shared" si="122"/>
        <v>293.33333333333519</v>
      </c>
      <c r="CY163" s="62">
        <f ca="1">AVERAGE(OFFSET($CX$3,0,0,'Données projet'!$E$13+1,1))-AVERAGE(OFFSET($H$3,0,0,'Données projet'!$E$13+1,1))</f>
        <v>321.13335003345236</v>
      </c>
      <c r="CZ163" s="62">
        <f t="shared" si="150"/>
        <v>301.26825075712128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0.56091338657934664</v>
      </c>
      <c r="DH163" s="23">
        <f>EXP(-LN(2)/2)*DH162+(1-EXP(-LN(2)/2))/(LN(2)/2)*DB163*DE163*VLOOKUP('Données projet'!$B$13,Paramètres!$A$1:$I$89,3,0)*0.475*44/12</f>
        <v>2.6728786471463441E-19</v>
      </c>
      <c r="DI163" s="24">
        <f t="shared" si="175"/>
        <v>0.56091338657934664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-5.1159076974727213E-13</v>
      </c>
      <c r="O164" s="14">
        <f>N164*VLOOKUP('Données projet'!$B$9,Paramètres!$A$1:$I$89,3,0)*VLOOKUP('Données projet'!$B$9,Paramètres!$A$1:$I$89,5,0)</f>
        <v>-5.3471467253984886E-13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493.70175665335978</v>
      </c>
      <c r="T164" s="62">
        <f t="shared" si="142"/>
        <v>325.12357781685949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1.064108801074326E-13</v>
      </c>
      <c r="AK164" s="14">
        <f t="shared" si="164"/>
        <v>1.5870730813698654E-12</v>
      </c>
      <c r="AL164" s="22">
        <f t="shared" si="165"/>
        <v>2.9494845662396269E-12</v>
      </c>
      <c r="AM164" s="62">
        <f t="shared" si="113"/>
        <v>293.33333333333627</v>
      </c>
      <c r="AN164" s="62">
        <f ca="1">AVERAGE(OFFSET($AM$3,0,0,'Données projet'!$E$10+1,1))-AVERAGE(OFFSET($H$3,0,0,'Données projet'!$E$10+1,1))</f>
        <v>284.0976902574692</v>
      </c>
      <c r="AO164" s="62">
        <f t="shared" si="144"/>
        <v>190.4880882944471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-8.7434273154940449E-13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428.8489304403459</v>
      </c>
      <c r="BJ164" s="62">
        <f t="shared" si="146"/>
        <v>247.01165577562966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144.05409916132993</v>
      </c>
      <c r="CE164" s="62">
        <f t="shared" si="148"/>
        <v>409.2784174616832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5.4107737507514724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5.4107737507514724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6.3550942286383367E-14</v>
      </c>
      <c r="CV164" s="14">
        <f t="shared" si="173"/>
        <v>1.0064464192543978E-12</v>
      </c>
      <c r="CW164" s="22">
        <f t="shared" si="174"/>
        <v>1.8635787380168604E-12</v>
      </c>
      <c r="CX164" s="62">
        <f t="shared" si="122"/>
        <v>293.33333333333519</v>
      </c>
      <c r="CY164" s="62">
        <f ca="1">AVERAGE(OFFSET($CX$3,0,0,'Données projet'!$E$13+1,1))-AVERAGE(OFFSET($H$3,0,0,'Données projet'!$E$13+1,1))</f>
        <v>321.13335003345236</v>
      </c>
      <c r="CZ164" s="62">
        <f t="shared" si="150"/>
        <v>301.26825075712128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0.54557518052618137</v>
      </c>
      <c r="DH164" s="23">
        <f>EXP(-LN(2)/2)*DH163+(1-EXP(-LN(2)/2))/(LN(2)/2)*DB164*DE164*VLOOKUP('Données projet'!$B$13,Paramètres!$A$1:$I$89,3,0)*0.475*44/12</f>
        <v>1.8900106166859051E-19</v>
      </c>
      <c r="DI164" s="24">
        <f t="shared" si="175"/>
        <v>0.54557518052618137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-5.1159076974727213E-13</v>
      </c>
      <c r="O165" s="14">
        <f>N165*VLOOKUP('Données projet'!$B$9,Paramètres!$A$1:$I$89,3,0)*VLOOKUP('Données projet'!$B$9,Paramètres!$A$1:$I$89,5,0)</f>
        <v>-5.3471467253984886E-13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493.70175665335978</v>
      </c>
      <c r="T165" s="62">
        <f t="shared" si="142"/>
        <v>325.12357781685949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1.064108801074326E-13</v>
      </c>
      <c r="AK165" s="14">
        <f t="shared" si="164"/>
        <v>1.5870730813698654E-12</v>
      </c>
      <c r="AL165" s="22">
        <f t="shared" si="165"/>
        <v>2.9494845662396269E-12</v>
      </c>
      <c r="AM165" s="62">
        <f t="shared" si="113"/>
        <v>293.33333333333627</v>
      </c>
      <c r="AN165" s="62">
        <f ca="1">AVERAGE(OFFSET($AM$3,0,0,'Données projet'!$E$10+1,1))-AVERAGE(OFFSET($H$3,0,0,'Données projet'!$E$10+1,1))</f>
        <v>284.0976902574692</v>
      </c>
      <c r="AO165" s="62">
        <f t="shared" si="144"/>
        <v>190.4880882944471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-8.7434273154940449E-13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428.8489304403459</v>
      </c>
      <c r="BJ165" s="62">
        <f t="shared" si="146"/>
        <v>247.01165577562966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144.05409916132993</v>
      </c>
      <c r="CE165" s="62">
        <f t="shared" si="148"/>
        <v>409.2784174616832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5.3046717777453516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5.3046717777453516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6.3550942286383367E-14</v>
      </c>
      <c r="CV165" s="14">
        <f t="shared" si="173"/>
        <v>1.0064464192543978E-12</v>
      </c>
      <c r="CW165" s="22">
        <f t="shared" si="174"/>
        <v>1.8635787380168604E-12</v>
      </c>
      <c r="CX165" s="62">
        <f t="shared" si="122"/>
        <v>293.33333333333519</v>
      </c>
      <c r="CY165" s="62">
        <f ca="1">AVERAGE(OFFSET($CX$3,0,0,'Données projet'!$E$13+1,1))-AVERAGE(OFFSET($H$3,0,0,'Données projet'!$E$13+1,1))</f>
        <v>321.13335003345236</v>
      </c>
      <c r="CZ165" s="62">
        <f t="shared" si="150"/>
        <v>301.26825075712128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0.53065639852414115</v>
      </c>
      <c r="DH165" s="23">
        <f>EXP(-LN(2)/2)*DH164+(1-EXP(-LN(2)/2))/(LN(2)/2)*DB165*DE165*VLOOKUP('Données projet'!$B$13,Paramètres!$A$1:$I$89,3,0)*0.475*44/12</f>
        <v>1.3364393235731721E-19</v>
      </c>
      <c r="DI165" s="24">
        <f t="shared" si="175"/>
        <v>0.53065639852414115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-5.1159076974727213E-13</v>
      </c>
      <c r="O166" s="14">
        <f>N166*VLOOKUP('Données projet'!$B$9,Paramètres!$A$1:$I$89,3,0)*VLOOKUP('Données projet'!$B$9,Paramètres!$A$1:$I$89,5,0)</f>
        <v>-5.3471467253984886E-13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493.70175665335978</v>
      </c>
      <c r="T166" s="62">
        <f t="shared" si="142"/>
        <v>325.12357781685949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1.064108801074326E-13</v>
      </c>
      <c r="AK166" s="14">
        <f t="shared" si="164"/>
        <v>1.5870730813698654E-12</v>
      </c>
      <c r="AL166" s="22">
        <f t="shared" si="165"/>
        <v>2.9494845662396269E-12</v>
      </c>
      <c r="AM166" s="62">
        <f t="shared" si="113"/>
        <v>293.33333333333627</v>
      </c>
      <c r="AN166" s="62">
        <f ca="1">AVERAGE(OFFSET($AM$3,0,0,'Données projet'!$E$10+1,1))-AVERAGE(OFFSET($H$3,0,0,'Données projet'!$E$10+1,1))</f>
        <v>284.0976902574692</v>
      </c>
      <c r="AO166" s="62">
        <f t="shared" si="144"/>
        <v>190.4880882944471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-8.7434273154940449E-13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428.8489304403459</v>
      </c>
      <c r="BJ166" s="62">
        <f t="shared" si="146"/>
        <v>247.01165577562966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144.05409916132993</v>
      </c>
      <c r="CE166" s="62">
        <f t="shared" si="148"/>
        <v>409.2784174616832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5.2006503997140676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5.2006503997140676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6.3550942286383367E-14</v>
      </c>
      <c r="CV166" s="14">
        <f t="shared" si="173"/>
        <v>1.0064464192543978E-12</v>
      </c>
      <c r="CW166" s="22">
        <f t="shared" si="174"/>
        <v>1.8635787380168604E-12</v>
      </c>
      <c r="CX166" s="62">
        <f t="shared" si="122"/>
        <v>293.33333333333519</v>
      </c>
      <c r="CY166" s="62">
        <f ca="1">AVERAGE(OFFSET($CX$3,0,0,'Données projet'!$E$13+1,1))-AVERAGE(OFFSET($H$3,0,0,'Données projet'!$E$13+1,1))</f>
        <v>321.13335003345236</v>
      </c>
      <c r="CZ166" s="62">
        <f t="shared" si="150"/>
        <v>301.26825075712128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0.51614557140049133</v>
      </c>
      <c r="DH166" s="23">
        <f>EXP(-LN(2)/2)*DH165+(1-EXP(-LN(2)/2))/(LN(2)/2)*DB166*DE166*VLOOKUP('Données projet'!$B$13,Paramètres!$A$1:$I$89,3,0)*0.475*44/12</f>
        <v>9.4500530834295257E-20</v>
      </c>
      <c r="DI166" s="24">
        <f t="shared" si="175"/>
        <v>0.51614557140049133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-5.1159076974727213E-13</v>
      </c>
      <c r="O167" s="14">
        <f>N167*VLOOKUP('Données projet'!$B$9,Paramètres!$A$1:$I$89,3,0)*VLOOKUP('Données projet'!$B$9,Paramètres!$A$1:$I$89,5,0)</f>
        <v>-5.3471467253984886E-13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493.70175665335978</v>
      </c>
      <c r="T167" s="62">
        <f t="shared" si="142"/>
        <v>325.12357781685949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1.064108801074326E-13</v>
      </c>
      <c r="AK167" s="14">
        <f t="shared" si="164"/>
        <v>1.5870730813698654E-12</v>
      </c>
      <c r="AL167" s="22">
        <f t="shared" si="165"/>
        <v>2.9494845662396269E-12</v>
      </c>
      <c r="AM167" s="62">
        <f t="shared" si="113"/>
        <v>293.33333333333627</v>
      </c>
      <c r="AN167" s="62">
        <f ca="1">AVERAGE(OFFSET($AM$3,0,0,'Données projet'!$E$10+1,1))-AVERAGE(OFFSET($H$3,0,0,'Données projet'!$E$10+1,1))</f>
        <v>284.0976902574692</v>
      </c>
      <c r="AO167" s="62">
        <f t="shared" si="144"/>
        <v>190.4880882944471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-8.7434273154940449E-13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428.8489304403459</v>
      </c>
      <c r="BJ167" s="62">
        <f t="shared" si="146"/>
        <v>247.01165577562966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144.05409916132993</v>
      </c>
      <c r="CE167" s="62">
        <f t="shared" si="148"/>
        <v>409.2784174616832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5.0986688174592016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5.0986688174592016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6.3550942286383367E-14</v>
      </c>
      <c r="CV167" s="14">
        <f t="shared" si="173"/>
        <v>1.0064464192543978E-12</v>
      </c>
      <c r="CW167" s="22">
        <f t="shared" si="174"/>
        <v>1.8635787380168604E-12</v>
      </c>
      <c r="CX167" s="62">
        <f t="shared" si="122"/>
        <v>293.33333333333519</v>
      </c>
      <c r="CY167" s="62">
        <f ca="1">AVERAGE(OFFSET($CX$3,0,0,'Données projet'!$E$13+1,1))-AVERAGE(OFFSET($H$3,0,0,'Données projet'!$E$13+1,1))</f>
        <v>321.13335003345236</v>
      </c>
      <c r="CZ167" s="62">
        <f t="shared" si="150"/>
        <v>301.26825075712128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0.50203154360762892</v>
      </c>
      <c r="DH167" s="23">
        <f>EXP(-LN(2)/2)*DH166+(1-EXP(-LN(2)/2))/(LN(2)/2)*DB167*DE167*VLOOKUP('Données projet'!$B$13,Paramètres!$A$1:$I$89,3,0)*0.475*44/12</f>
        <v>6.6821966178658603E-20</v>
      </c>
      <c r="DI167" s="24">
        <f t="shared" si="175"/>
        <v>0.50203154360762892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-5.1159076974727213E-13</v>
      </c>
      <c r="O168" s="14">
        <f>N168*VLOOKUP('Données projet'!$B$9,Paramètres!$A$1:$I$89,3,0)*VLOOKUP('Données projet'!$B$9,Paramètres!$A$1:$I$89,5,0)</f>
        <v>-5.3471467253984886E-13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493.70175665335978</v>
      </c>
      <c r="T168" s="62">
        <f t="shared" si="142"/>
        <v>325.12357781685949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1.064108801074326E-13</v>
      </c>
      <c r="AK168" s="14">
        <f t="shared" si="164"/>
        <v>1.5870730813698654E-12</v>
      </c>
      <c r="AL168" s="22">
        <f t="shared" si="165"/>
        <v>2.9494845662396269E-12</v>
      </c>
      <c r="AM168" s="62">
        <f t="shared" si="113"/>
        <v>293.33333333333627</v>
      </c>
      <c r="AN168" s="62">
        <f ca="1">AVERAGE(OFFSET($AM$3,0,0,'Données projet'!$E$10+1,1))-AVERAGE(OFFSET($H$3,0,0,'Données projet'!$E$10+1,1))</f>
        <v>284.0976902574692</v>
      </c>
      <c r="AO168" s="62">
        <f t="shared" si="144"/>
        <v>190.4880882944471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-8.7434273154940449E-13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428.8489304403459</v>
      </c>
      <c r="BJ168" s="62">
        <f t="shared" si="146"/>
        <v>247.01165577562966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144.05409916132993</v>
      </c>
      <c r="CE168" s="62">
        <f t="shared" si="148"/>
        <v>409.2784174616832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4.9986870318297303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4.9986870318297303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6.3550942286383367E-14</v>
      </c>
      <c r="CV168" s="14">
        <f t="shared" si="173"/>
        <v>1.0064464192543978E-12</v>
      </c>
      <c r="CW168" s="22">
        <f t="shared" si="174"/>
        <v>1.8635787380168604E-12</v>
      </c>
      <c r="CX168" s="62">
        <f t="shared" si="122"/>
        <v>293.33333333333519</v>
      </c>
      <c r="CY168" s="62">
        <f ca="1">AVERAGE(OFFSET($CX$3,0,0,'Données projet'!$E$13+1,1))-AVERAGE(OFFSET($H$3,0,0,'Données projet'!$E$13+1,1))</f>
        <v>321.13335003345236</v>
      </c>
      <c r="CZ168" s="62">
        <f t="shared" si="150"/>
        <v>301.26825075712128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0.48830346464698682</v>
      </c>
      <c r="DH168" s="23">
        <f>EXP(-LN(2)/2)*DH167+(1-EXP(-LN(2)/2))/(LN(2)/2)*DB168*DE168*VLOOKUP('Données projet'!$B$13,Paramètres!$A$1:$I$89,3,0)*0.475*44/12</f>
        <v>4.7250265417147628E-20</v>
      </c>
      <c r="DI168" s="24">
        <f t="shared" si="175"/>
        <v>0.48830346464698682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-5.1159076974727213E-13</v>
      </c>
      <c r="O169" s="14">
        <f>N169*VLOOKUP('Données projet'!$B$9,Paramètres!$A$1:$I$89,3,0)*VLOOKUP('Données projet'!$B$9,Paramètres!$A$1:$I$89,5,0)</f>
        <v>-5.3471467253984886E-13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493.70175665335978</v>
      </c>
      <c r="T169" s="62">
        <f t="shared" si="142"/>
        <v>325.12357781685949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1.064108801074326E-13</v>
      </c>
      <c r="AK169" s="14">
        <f t="shared" si="164"/>
        <v>1.5870730813698654E-12</v>
      </c>
      <c r="AL169" s="22">
        <f t="shared" si="165"/>
        <v>2.9494845662396269E-12</v>
      </c>
      <c r="AM169" s="62">
        <f t="shared" si="113"/>
        <v>293.33333333333627</v>
      </c>
      <c r="AN169" s="62">
        <f ca="1">AVERAGE(OFFSET($AM$3,0,0,'Données projet'!$E$10+1,1))-AVERAGE(OFFSET($H$3,0,0,'Données projet'!$E$10+1,1))</f>
        <v>284.0976902574692</v>
      </c>
      <c r="AO169" s="62">
        <f t="shared" si="144"/>
        <v>190.4880882944471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-8.7434273154940449E-13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428.8489304403459</v>
      </c>
      <c r="BJ169" s="62">
        <f t="shared" si="146"/>
        <v>247.01165577562966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144.05409916132993</v>
      </c>
      <c r="CE169" s="62">
        <f t="shared" si="148"/>
        <v>409.2784174616832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4.9006658280335849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4.9006658280335849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6.3550942286383367E-14</v>
      </c>
      <c r="CV169" s="14">
        <f t="shared" si="173"/>
        <v>1.0064464192543978E-12</v>
      </c>
      <c r="CW169" s="22">
        <f t="shared" si="174"/>
        <v>1.8635787380168604E-12</v>
      </c>
      <c r="CX169" s="62">
        <f t="shared" si="122"/>
        <v>293.33333333333519</v>
      </c>
      <c r="CY169" s="62">
        <f ca="1">AVERAGE(OFFSET($CX$3,0,0,'Données projet'!$E$13+1,1))-AVERAGE(OFFSET($H$3,0,0,'Données projet'!$E$13+1,1))</f>
        <v>321.13335003345236</v>
      </c>
      <c r="CZ169" s="62">
        <f t="shared" si="150"/>
        <v>301.26825075712128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0.47495078072745178</v>
      </c>
      <c r="DH169" s="23">
        <f>EXP(-LN(2)/2)*DH168+(1-EXP(-LN(2)/2))/(LN(2)/2)*DB169*DE169*VLOOKUP('Données projet'!$B$13,Paramètres!$A$1:$I$89,3,0)*0.475*44/12</f>
        <v>3.3410983089329301E-20</v>
      </c>
      <c r="DI169" s="24">
        <f t="shared" si="175"/>
        <v>0.47495078072745178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-5.1159076974727213E-13</v>
      </c>
      <c r="O170" s="14">
        <f>N170*VLOOKUP('Données projet'!$B$9,Paramètres!$A$1:$I$89,3,0)*VLOOKUP('Données projet'!$B$9,Paramètres!$A$1:$I$89,5,0)</f>
        <v>-5.3471467253984886E-13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493.70175665335978</v>
      </c>
      <c r="T170" s="62">
        <f t="shared" si="142"/>
        <v>325.12357781685949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1.064108801074326E-13</v>
      </c>
      <c r="AK170" s="14">
        <f t="shared" si="164"/>
        <v>1.5870730813698654E-12</v>
      </c>
      <c r="AL170" s="22">
        <f t="shared" si="165"/>
        <v>2.9494845662396269E-12</v>
      </c>
      <c r="AM170" s="62">
        <f t="shared" si="113"/>
        <v>293.33333333333627</v>
      </c>
      <c r="AN170" s="62">
        <f ca="1">AVERAGE(OFFSET($AM$3,0,0,'Données projet'!$E$10+1,1))-AVERAGE(OFFSET($H$3,0,0,'Données projet'!$E$10+1,1))</f>
        <v>284.0976902574692</v>
      </c>
      <c r="AO170" s="62">
        <f t="shared" si="144"/>
        <v>190.4880882944471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-8.7434273154940449E-13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428.8489304403459</v>
      </c>
      <c r="BJ170" s="62">
        <f t="shared" si="146"/>
        <v>247.01165577562966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144.05409916132993</v>
      </c>
      <c r="CE170" s="62">
        <f t="shared" si="148"/>
        <v>409.2784174616832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4.8045667602568516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4.8045667602568516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6.3550942286383367E-14</v>
      </c>
      <c r="CV170" s="14">
        <f t="shared" si="173"/>
        <v>1.0064464192543978E-12</v>
      </c>
      <c r="CW170" s="22">
        <f t="shared" si="174"/>
        <v>1.8635787380168604E-12</v>
      </c>
      <c r="CX170" s="62">
        <f t="shared" si="122"/>
        <v>293.33333333333519</v>
      </c>
      <c r="CY170" s="62">
        <f ca="1">AVERAGE(OFFSET($CX$3,0,0,'Données projet'!$E$13+1,1))-AVERAGE(OFFSET($H$3,0,0,'Données projet'!$E$13+1,1))</f>
        <v>321.13335003345236</v>
      </c>
      <c r="CZ170" s="62">
        <f t="shared" si="150"/>
        <v>301.26825075712128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0.46196322665188355</v>
      </c>
      <c r="DH170" s="23">
        <f>EXP(-LN(2)/2)*DH169+(1-EXP(-LN(2)/2))/(LN(2)/2)*DB170*DE170*VLOOKUP('Données projet'!$B$13,Paramètres!$A$1:$I$89,3,0)*0.475*44/12</f>
        <v>2.3625132708573814E-20</v>
      </c>
      <c r="DI170" s="24">
        <f t="shared" si="175"/>
        <v>0.46196322665188355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-5.1159076974727213E-13</v>
      </c>
      <c r="O171" s="14">
        <f>N171*VLOOKUP('Données projet'!$B$9,Paramètres!$A$1:$I$89,3,0)*VLOOKUP('Données projet'!$B$9,Paramètres!$A$1:$I$89,5,0)</f>
        <v>-5.3471467253984886E-13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493.70175665335978</v>
      </c>
      <c r="T171" s="62">
        <f t="shared" si="142"/>
        <v>325.12357781685949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1.064108801074326E-13</v>
      </c>
      <c r="AK171" s="14">
        <f t="shared" si="164"/>
        <v>1.5870730813698654E-12</v>
      </c>
      <c r="AL171" s="22">
        <f t="shared" si="165"/>
        <v>2.9494845662396269E-12</v>
      </c>
      <c r="AM171" s="62">
        <f t="shared" si="113"/>
        <v>293.33333333333627</v>
      </c>
      <c r="AN171" s="62">
        <f ca="1">AVERAGE(OFFSET($AM$3,0,0,'Données projet'!$E$10+1,1))-AVERAGE(OFFSET($H$3,0,0,'Données projet'!$E$10+1,1))</f>
        <v>284.0976902574692</v>
      </c>
      <c r="AO171" s="62">
        <f t="shared" si="144"/>
        <v>190.4880882944471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-8.7434273154940449E-13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428.8489304403459</v>
      </c>
      <c r="BJ171" s="62">
        <f t="shared" si="146"/>
        <v>247.01165577562966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144.05409916132993</v>
      </c>
      <c r="CE171" s="62">
        <f t="shared" si="148"/>
        <v>409.2784174616832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4.710352136584576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4.710352136584576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6.3550942286383367E-14</v>
      </c>
      <c r="CV171" s="14">
        <f t="shared" si="173"/>
        <v>1.0064464192543978E-12</v>
      </c>
      <c r="CW171" s="22">
        <f t="shared" si="174"/>
        <v>1.8635787380168604E-12</v>
      </c>
      <c r="CX171" s="62">
        <f t="shared" si="122"/>
        <v>293.33333333333519</v>
      </c>
      <c r="CY171" s="62">
        <f ca="1">AVERAGE(OFFSET($CX$3,0,0,'Données projet'!$E$13+1,1))-AVERAGE(OFFSET($H$3,0,0,'Données projet'!$E$13+1,1))</f>
        <v>321.13335003345236</v>
      </c>
      <c r="CZ171" s="62">
        <f t="shared" si="150"/>
        <v>301.26825075712128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0.44933081792549756</v>
      </c>
      <c r="DH171" s="23">
        <f>EXP(-LN(2)/2)*DH170+(1-EXP(-LN(2)/2))/(LN(2)/2)*DB171*DE171*VLOOKUP('Données projet'!$B$13,Paramètres!$A$1:$I$89,3,0)*0.475*44/12</f>
        <v>1.6705491544664651E-20</v>
      </c>
      <c r="DI171" s="24">
        <f t="shared" si="175"/>
        <v>0.44933081792549756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-5.1159076974727213E-13</v>
      </c>
      <c r="O172" s="14">
        <f>N172*VLOOKUP('Données projet'!$B$9,Paramètres!$A$1:$I$89,3,0)*VLOOKUP('Données projet'!$B$9,Paramètres!$A$1:$I$89,5,0)</f>
        <v>-5.3471467253984886E-13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493.70175665335978</v>
      </c>
      <c r="T172" s="62">
        <f t="shared" si="142"/>
        <v>325.12357781685949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1.064108801074326E-13</v>
      </c>
      <c r="AK172" s="14">
        <f t="shared" si="164"/>
        <v>1.5870730813698654E-12</v>
      </c>
      <c r="AL172" s="22">
        <f t="shared" si="165"/>
        <v>2.9494845662396269E-12</v>
      </c>
      <c r="AM172" s="62">
        <f t="shared" si="113"/>
        <v>293.33333333333627</v>
      </c>
      <c r="AN172" s="62">
        <f ca="1">AVERAGE(OFFSET($AM$3,0,0,'Données projet'!$E$10+1,1))-AVERAGE(OFFSET($H$3,0,0,'Données projet'!$E$10+1,1))</f>
        <v>284.0976902574692</v>
      </c>
      <c r="AO172" s="62">
        <f t="shared" si="144"/>
        <v>190.4880882944471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-8.7434273154940449E-13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428.8489304403459</v>
      </c>
      <c r="BJ172" s="62">
        <f t="shared" si="146"/>
        <v>247.01165577562966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144.05409916132993</v>
      </c>
      <c r="CE172" s="62">
        <f t="shared" si="148"/>
        <v>409.2784174616832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4.6179850042172674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4.6179850042172674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6.3550942286383367E-14</v>
      </c>
      <c r="CV172" s="14">
        <f t="shared" si="173"/>
        <v>1.0064464192543978E-12</v>
      </c>
      <c r="CW172" s="22">
        <f t="shared" si="174"/>
        <v>1.8635787380168604E-12</v>
      </c>
      <c r="CX172" s="62">
        <f t="shared" si="122"/>
        <v>293.33333333333519</v>
      </c>
      <c r="CY172" s="62">
        <f ca="1">AVERAGE(OFFSET($CX$3,0,0,'Données projet'!$E$13+1,1))-AVERAGE(OFFSET($H$3,0,0,'Données projet'!$E$13+1,1))</f>
        <v>321.13335003345236</v>
      </c>
      <c r="CZ172" s="62">
        <f t="shared" si="150"/>
        <v>301.26825075712128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0.43704384308004407</v>
      </c>
      <c r="DH172" s="23">
        <f>EXP(-LN(2)/2)*DH171+(1-EXP(-LN(2)/2))/(LN(2)/2)*DB172*DE172*VLOOKUP('Données projet'!$B$13,Paramètres!$A$1:$I$89,3,0)*0.475*44/12</f>
        <v>1.1812566354286907E-20</v>
      </c>
      <c r="DI172" s="24">
        <f t="shared" si="175"/>
        <v>0.43704384308004407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-5.1159076974727213E-13</v>
      </c>
      <c r="O173" s="14">
        <f>N173*VLOOKUP('Données projet'!$B$9,Paramètres!$A$1:$I$89,3,0)*VLOOKUP('Données projet'!$B$9,Paramètres!$A$1:$I$89,5,0)</f>
        <v>-5.3471467253984886E-13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493.70175665335978</v>
      </c>
      <c r="T173" s="62">
        <f t="shared" si="142"/>
        <v>325.12357781685949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1.064108801074326E-13</v>
      </c>
      <c r="AK173" s="14">
        <f t="shared" si="164"/>
        <v>1.5870730813698654E-12</v>
      </c>
      <c r="AL173" s="22">
        <f t="shared" si="165"/>
        <v>2.9494845662396269E-12</v>
      </c>
      <c r="AM173" s="62">
        <f t="shared" si="113"/>
        <v>293.33333333333627</v>
      </c>
      <c r="AN173" s="62">
        <f ca="1">AVERAGE(OFFSET($AM$3,0,0,'Données projet'!$E$10+1,1))-AVERAGE(OFFSET($H$3,0,0,'Données projet'!$E$10+1,1))</f>
        <v>284.0976902574692</v>
      </c>
      <c r="AO173" s="62">
        <f t="shared" si="144"/>
        <v>190.4880882944471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-8.7434273154940449E-13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428.8489304403459</v>
      </c>
      <c r="BJ173" s="62">
        <f t="shared" si="146"/>
        <v>247.01165577562966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144.05409916132993</v>
      </c>
      <c r="CE173" s="62">
        <f t="shared" si="148"/>
        <v>409.2784174616832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4.5274291349772939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4.5274291349772939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6.3550942286383367E-14</v>
      </c>
      <c r="CV173" s="14">
        <f t="shared" si="173"/>
        <v>1.0064464192543978E-12</v>
      </c>
      <c r="CW173" s="22">
        <f t="shared" si="174"/>
        <v>1.8635787380168604E-12</v>
      </c>
      <c r="CX173" s="62">
        <f t="shared" si="122"/>
        <v>293.33333333333519</v>
      </c>
      <c r="CY173" s="62">
        <f ca="1">AVERAGE(OFFSET($CX$3,0,0,'Données projet'!$E$13+1,1))-AVERAGE(OFFSET($H$3,0,0,'Données projet'!$E$13+1,1))</f>
        <v>321.13335003345236</v>
      </c>
      <c r="CZ173" s="62">
        <f t="shared" si="150"/>
        <v>301.26825075712128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0.42509285620788345</v>
      </c>
      <c r="DH173" s="23">
        <f>EXP(-LN(2)/2)*DH172+(1-EXP(-LN(2)/2))/(LN(2)/2)*DB173*DE173*VLOOKUP('Données projet'!$B$13,Paramètres!$A$1:$I$89,3,0)*0.475*44/12</f>
        <v>8.3527457723323253E-21</v>
      </c>
      <c r="DI173" s="24">
        <f t="shared" si="175"/>
        <v>0.42509285620788345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-5.1159076974727213E-13</v>
      </c>
      <c r="O174" s="14">
        <f>N174*VLOOKUP('Données projet'!$B$9,Paramètres!$A$1:$I$89,3,0)*VLOOKUP('Données projet'!$B$9,Paramètres!$A$1:$I$89,5,0)</f>
        <v>-5.3471467253984886E-13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493.70175665335978</v>
      </c>
      <c r="T174" s="62">
        <f t="shared" si="142"/>
        <v>325.12357781685949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1.064108801074326E-13</v>
      </c>
      <c r="AK174" s="14">
        <f t="shared" si="164"/>
        <v>1.5870730813698654E-12</v>
      </c>
      <c r="AL174" s="22">
        <f t="shared" si="165"/>
        <v>2.9494845662396269E-12</v>
      </c>
      <c r="AM174" s="62">
        <f t="shared" si="113"/>
        <v>293.33333333333627</v>
      </c>
      <c r="AN174" s="62">
        <f ca="1">AVERAGE(OFFSET($AM$3,0,0,'Données projet'!$E$10+1,1))-AVERAGE(OFFSET($H$3,0,0,'Données projet'!$E$10+1,1))</f>
        <v>284.0976902574692</v>
      </c>
      <c r="AO174" s="62">
        <f t="shared" si="144"/>
        <v>190.4880882944471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-8.7434273154940449E-13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428.8489304403459</v>
      </c>
      <c r="BJ174" s="62">
        <f t="shared" si="146"/>
        <v>247.01165577562966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144.05409916132993</v>
      </c>
      <c r="CE174" s="62">
        <f t="shared" si="148"/>
        <v>409.2784174616832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4.4386490110994901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4.4386490110994901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6.3550942286383367E-14</v>
      </c>
      <c r="CV174" s="14">
        <f t="shared" si="173"/>
        <v>1.0064464192543978E-12</v>
      </c>
      <c r="CW174" s="22">
        <f t="shared" si="174"/>
        <v>1.8635787380168604E-12</v>
      </c>
      <c r="CX174" s="62">
        <f t="shared" si="122"/>
        <v>293.33333333333519</v>
      </c>
      <c r="CY174" s="62">
        <f ca="1">AVERAGE(OFFSET($CX$3,0,0,'Données projet'!$E$13+1,1))-AVERAGE(OFFSET($H$3,0,0,'Données projet'!$E$13+1,1))</f>
        <v>321.13335003345236</v>
      </c>
      <c r="CZ174" s="62">
        <f t="shared" si="150"/>
        <v>301.26825075712128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0.41346866970021712</v>
      </c>
      <c r="DH174" s="23">
        <f>EXP(-LN(2)/2)*DH173+(1-EXP(-LN(2)/2))/(LN(2)/2)*DB174*DE174*VLOOKUP('Données projet'!$B$13,Paramètres!$A$1:$I$89,3,0)*0.475*44/12</f>
        <v>5.9062831771434535E-21</v>
      </c>
      <c r="DI174" s="24">
        <f t="shared" si="175"/>
        <v>0.41346866970021712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-5.1159076974727213E-13</v>
      </c>
      <c r="O175" s="14">
        <f>N175*VLOOKUP('Données projet'!$B$9,Paramètres!$A$1:$I$89,3,0)*VLOOKUP('Données projet'!$B$9,Paramètres!$A$1:$I$89,5,0)</f>
        <v>-5.3471467253984886E-13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493.70175665335978</v>
      </c>
      <c r="T175" s="62">
        <f t="shared" si="142"/>
        <v>325.12357781685949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1.064108801074326E-13</v>
      </c>
      <c r="AK175" s="14">
        <f t="shared" si="164"/>
        <v>1.5870730813698654E-12</v>
      </c>
      <c r="AL175" s="22">
        <f t="shared" si="165"/>
        <v>2.9494845662396269E-12</v>
      </c>
      <c r="AM175" s="62">
        <f t="shared" si="113"/>
        <v>293.33333333333627</v>
      </c>
      <c r="AN175" s="62">
        <f ca="1">AVERAGE(OFFSET($AM$3,0,0,'Données projet'!$E$10+1,1))-AVERAGE(OFFSET($H$3,0,0,'Données projet'!$E$10+1,1))</f>
        <v>284.0976902574692</v>
      </c>
      <c r="AO175" s="62">
        <f t="shared" si="144"/>
        <v>190.4880882944471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-8.7434273154940449E-13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428.8489304403459</v>
      </c>
      <c r="BJ175" s="62">
        <f t="shared" si="146"/>
        <v>247.01165577562966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144.05409916132993</v>
      </c>
      <c r="CE175" s="62">
        <f t="shared" si="148"/>
        <v>409.2784174616832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4.3516098113004009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4.3516098113004009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6.3550942286383367E-14</v>
      </c>
      <c r="CV175" s="14">
        <f t="shared" si="173"/>
        <v>1.0064464192543978E-12</v>
      </c>
      <c r="CW175" s="22">
        <f t="shared" si="174"/>
        <v>1.8635787380168604E-12</v>
      </c>
      <c r="CX175" s="62">
        <f t="shared" si="122"/>
        <v>293.33333333333519</v>
      </c>
      <c r="CY175" s="62">
        <f ca="1">AVERAGE(OFFSET($CX$3,0,0,'Données projet'!$E$13+1,1))-AVERAGE(OFFSET($H$3,0,0,'Données projet'!$E$13+1,1))</f>
        <v>321.13335003345236</v>
      </c>
      <c r="CZ175" s="62">
        <f t="shared" si="150"/>
        <v>301.26825075712128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0.40216234718389232</v>
      </c>
      <c r="DH175" s="23">
        <f>EXP(-LN(2)/2)*DH174+(1-EXP(-LN(2)/2))/(LN(2)/2)*DB175*DE175*VLOOKUP('Données projet'!$B$13,Paramètres!$A$1:$I$89,3,0)*0.475*44/12</f>
        <v>4.1763728861661627E-21</v>
      </c>
      <c r="DI175" s="24">
        <f t="shared" si="175"/>
        <v>0.40216234718389232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-5.1159076974727213E-13</v>
      </c>
      <c r="O176" s="14">
        <f>N176*VLOOKUP('Données projet'!$B$9,Paramètres!$A$1:$I$89,3,0)*VLOOKUP('Données projet'!$B$9,Paramètres!$A$1:$I$89,5,0)</f>
        <v>-5.3471467253984886E-13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493.70175665335978</v>
      </c>
      <c r="T176" s="62">
        <f t="shared" si="142"/>
        <v>325.12357781685949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1.064108801074326E-13</v>
      </c>
      <c r="AK176" s="14">
        <f t="shared" si="164"/>
        <v>1.5870730813698654E-12</v>
      </c>
      <c r="AL176" s="22">
        <f t="shared" si="165"/>
        <v>2.9494845662396269E-12</v>
      </c>
      <c r="AM176" s="62">
        <f t="shared" si="113"/>
        <v>293.33333333333627</v>
      </c>
      <c r="AN176" s="62">
        <f ca="1">AVERAGE(OFFSET($AM$3,0,0,'Données projet'!$E$10+1,1))-AVERAGE(OFFSET($H$3,0,0,'Données projet'!$E$10+1,1))</f>
        <v>284.0976902574692</v>
      </c>
      <c r="AO176" s="62">
        <f t="shared" si="144"/>
        <v>190.4880882944471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-8.7434273154940449E-13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428.8489304403459</v>
      </c>
      <c r="BJ176" s="62">
        <f t="shared" si="146"/>
        <v>247.01165577562966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144.05409916132993</v>
      </c>
      <c r="CE176" s="62">
        <f t="shared" si="148"/>
        <v>409.2784174616832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4.2662773971207022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4.2662773971207022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6.3550942286383367E-14</v>
      </c>
      <c r="CV176" s="14">
        <f t="shared" si="173"/>
        <v>1.0064464192543978E-12</v>
      </c>
      <c r="CW176" s="22">
        <f t="shared" si="174"/>
        <v>1.8635787380168604E-12</v>
      </c>
      <c r="CX176" s="62">
        <f t="shared" si="122"/>
        <v>293.33333333333519</v>
      </c>
      <c r="CY176" s="62">
        <f ca="1">AVERAGE(OFFSET($CX$3,0,0,'Données projet'!$E$13+1,1))-AVERAGE(OFFSET($H$3,0,0,'Données projet'!$E$13+1,1))</f>
        <v>321.13335003345236</v>
      </c>
      <c r="CZ176" s="62">
        <f t="shared" si="150"/>
        <v>301.26825075712128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0.39116519665135008</v>
      </c>
      <c r="DH176" s="23">
        <f>EXP(-LN(2)/2)*DH175+(1-EXP(-LN(2)/2))/(LN(2)/2)*DB176*DE176*VLOOKUP('Données projet'!$B$13,Paramètres!$A$1:$I$89,3,0)*0.475*44/12</f>
        <v>2.9531415885717268E-21</v>
      </c>
      <c r="DI176" s="24">
        <f t="shared" si="175"/>
        <v>0.39116519665135008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-5.1159076974727213E-13</v>
      </c>
      <c r="O177" s="14">
        <f>N177*VLOOKUP('Données projet'!$B$9,Paramètres!$A$1:$I$89,3,0)*VLOOKUP('Données projet'!$B$9,Paramètres!$A$1:$I$89,5,0)</f>
        <v>-5.3471467253984886E-13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493.70175665335978</v>
      </c>
      <c r="T177" s="62">
        <f t="shared" si="142"/>
        <v>325.12357781685949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1.064108801074326E-13</v>
      </c>
      <c r="AK177" s="14">
        <f t="shared" si="164"/>
        <v>1.5870730813698654E-12</v>
      </c>
      <c r="AL177" s="22">
        <f t="shared" si="165"/>
        <v>2.9494845662396269E-12</v>
      </c>
      <c r="AM177" s="62">
        <f t="shared" si="113"/>
        <v>293.33333333333627</v>
      </c>
      <c r="AN177" s="62">
        <f ca="1">AVERAGE(OFFSET($AM$3,0,0,'Données projet'!$E$10+1,1))-AVERAGE(OFFSET($H$3,0,0,'Données projet'!$E$10+1,1))</f>
        <v>284.0976902574692</v>
      </c>
      <c r="AO177" s="62">
        <f t="shared" si="144"/>
        <v>190.4880882944471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-8.7434273154940449E-13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428.8489304403459</v>
      </c>
      <c r="BJ177" s="62">
        <f t="shared" si="146"/>
        <v>247.01165577562966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144.05409916132993</v>
      </c>
      <c r="CE177" s="62">
        <f t="shared" si="148"/>
        <v>409.2784174616832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4.1826182995354344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4.1826182995354344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6.3550942286383367E-14</v>
      </c>
      <c r="CV177" s="14">
        <f t="shared" si="173"/>
        <v>1.0064464192543978E-12</v>
      </c>
      <c r="CW177" s="22">
        <f t="shared" si="174"/>
        <v>1.8635787380168604E-12</v>
      </c>
      <c r="CX177" s="62">
        <f t="shared" si="122"/>
        <v>293.33333333333519</v>
      </c>
      <c r="CY177" s="62">
        <f ca="1">AVERAGE(OFFSET($CX$3,0,0,'Données projet'!$E$13+1,1))-AVERAGE(OFFSET($H$3,0,0,'Données projet'!$E$13+1,1))</f>
        <v>321.13335003345236</v>
      </c>
      <c r="CZ177" s="62">
        <f t="shared" si="150"/>
        <v>301.26825075712128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0.38046876377843525</v>
      </c>
      <c r="DH177" s="23">
        <f>EXP(-LN(2)/2)*DH176+(1-EXP(-LN(2)/2))/(LN(2)/2)*DB177*DE177*VLOOKUP('Données projet'!$B$13,Paramètres!$A$1:$I$89,3,0)*0.475*44/12</f>
        <v>2.0881864430830813E-21</v>
      </c>
      <c r="DI177" s="24">
        <f t="shared" si="175"/>
        <v>0.38046876377843525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-5.1159076974727213E-13</v>
      </c>
      <c r="O178" s="14">
        <f>N178*VLOOKUP('Données projet'!$B$9,Paramètres!$A$1:$I$89,3,0)*VLOOKUP('Données projet'!$B$9,Paramètres!$A$1:$I$89,5,0)</f>
        <v>-5.3471467253984886E-13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493.70175665335978</v>
      </c>
      <c r="T178" s="62">
        <f t="shared" si="142"/>
        <v>325.12357781685949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1.064108801074326E-13</v>
      </c>
      <c r="AK178" s="14">
        <f t="shared" si="164"/>
        <v>1.5870730813698654E-12</v>
      </c>
      <c r="AL178" s="22">
        <f t="shared" si="165"/>
        <v>2.9494845662396269E-12</v>
      </c>
      <c r="AM178" s="62">
        <f t="shared" si="113"/>
        <v>293.33333333333627</v>
      </c>
      <c r="AN178" s="62">
        <f ca="1">AVERAGE(OFFSET($AM$3,0,0,'Données projet'!$E$10+1,1))-AVERAGE(OFFSET($H$3,0,0,'Données projet'!$E$10+1,1))</f>
        <v>284.0976902574692</v>
      </c>
      <c r="AO178" s="62">
        <f t="shared" si="144"/>
        <v>190.4880882944471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-8.7434273154940449E-13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428.8489304403459</v>
      </c>
      <c r="BJ178" s="62">
        <f t="shared" si="146"/>
        <v>247.01165577562966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144.05409916132993</v>
      </c>
      <c r="CE178" s="62">
        <f t="shared" si="148"/>
        <v>409.2784174616832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4.1005997058268022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4.1005997058268022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6.3550942286383367E-14</v>
      </c>
      <c r="CV178" s="14">
        <f t="shared" si="173"/>
        <v>1.0064464192543978E-12</v>
      </c>
      <c r="CW178" s="22">
        <f t="shared" si="174"/>
        <v>1.8635787380168604E-12</v>
      </c>
      <c r="CX178" s="62">
        <f t="shared" si="122"/>
        <v>293.33333333333519</v>
      </c>
      <c r="CY178" s="62">
        <f ca="1">AVERAGE(OFFSET($CX$3,0,0,'Données projet'!$E$13+1,1))-AVERAGE(OFFSET($H$3,0,0,'Données projet'!$E$13+1,1))</f>
        <v>321.13335003345236</v>
      </c>
      <c r="CZ178" s="62">
        <f t="shared" si="150"/>
        <v>301.26825075712128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0.37006482542493124</v>
      </c>
      <c r="DH178" s="23">
        <f>EXP(-LN(2)/2)*DH177+(1-EXP(-LN(2)/2))/(LN(2)/2)*DB178*DE178*VLOOKUP('Données projet'!$B$13,Paramètres!$A$1:$I$89,3,0)*0.475*44/12</f>
        <v>1.4765707942858634E-21</v>
      </c>
      <c r="DI178" s="24">
        <f t="shared" si="175"/>
        <v>0.37006482542493124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-5.1159076974727213E-13</v>
      </c>
      <c r="O179" s="14">
        <f>N179*VLOOKUP('Données projet'!$B$9,Paramètres!$A$1:$I$89,3,0)*VLOOKUP('Données projet'!$B$9,Paramètres!$A$1:$I$89,5,0)</f>
        <v>-5.3471467253984886E-13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493.70175665335978</v>
      </c>
      <c r="T179" s="62">
        <f t="shared" si="142"/>
        <v>325.12357781685949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1.064108801074326E-13</v>
      </c>
      <c r="AK179" s="14">
        <f t="shared" si="164"/>
        <v>1.5870730813698654E-12</v>
      </c>
      <c r="AL179" s="22">
        <f t="shared" si="165"/>
        <v>2.9494845662396269E-12</v>
      </c>
      <c r="AM179" s="62">
        <f t="shared" si="113"/>
        <v>293.33333333333627</v>
      </c>
      <c r="AN179" s="62">
        <f ca="1">AVERAGE(OFFSET($AM$3,0,0,'Données projet'!$E$10+1,1))-AVERAGE(OFFSET($H$3,0,0,'Données projet'!$E$10+1,1))</f>
        <v>284.0976902574692</v>
      </c>
      <c r="AO179" s="62">
        <f t="shared" si="144"/>
        <v>190.4880882944471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-8.7434273154940449E-13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428.8489304403459</v>
      </c>
      <c r="BJ179" s="62">
        <f t="shared" si="146"/>
        <v>247.01165577562966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144.05409916132993</v>
      </c>
      <c r="CE179" s="62">
        <f t="shared" si="148"/>
        <v>409.2784174616832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4.0201894467143946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4.0201894467143946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6.3550942286383367E-14</v>
      </c>
      <c r="CV179" s="14">
        <f t="shared" si="173"/>
        <v>1.0064464192543978E-12</v>
      </c>
      <c r="CW179" s="22">
        <f t="shared" si="174"/>
        <v>1.8635787380168604E-12</v>
      </c>
      <c r="CX179" s="62">
        <f t="shared" si="122"/>
        <v>293.33333333333519</v>
      </c>
      <c r="CY179" s="62">
        <f ca="1">AVERAGE(OFFSET($CX$3,0,0,'Données projet'!$E$13+1,1))-AVERAGE(OFFSET($H$3,0,0,'Données projet'!$E$13+1,1))</f>
        <v>321.13335003345236</v>
      </c>
      <c r="CZ179" s="62">
        <f t="shared" si="150"/>
        <v>301.26825075712128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0.35994538331282311</v>
      </c>
      <c r="DH179" s="23">
        <f>EXP(-LN(2)/2)*DH178+(1-EXP(-LN(2)/2))/(LN(2)/2)*DB179*DE179*VLOOKUP('Données projet'!$B$13,Paramètres!$A$1:$I$89,3,0)*0.475*44/12</f>
        <v>1.0440932215415407E-21</v>
      </c>
      <c r="DI179" s="24">
        <f t="shared" si="175"/>
        <v>0.35994538331282311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-5.1159076974727213E-13</v>
      </c>
      <c r="O180" s="14">
        <f>N180*VLOOKUP('Données projet'!$B$9,Paramètres!$A$1:$I$89,3,0)*VLOOKUP('Données projet'!$B$9,Paramètres!$A$1:$I$89,5,0)</f>
        <v>-5.3471467253984886E-13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493.70175665335978</v>
      </c>
      <c r="T180" s="62">
        <f t="shared" si="142"/>
        <v>325.12357781685949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1.064108801074326E-13</v>
      </c>
      <c r="AK180" s="14">
        <f t="shared" si="164"/>
        <v>1.5870730813698654E-12</v>
      </c>
      <c r="AL180" s="22">
        <f t="shared" si="165"/>
        <v>2.9494845662396269E-12</v>
      </c>
      <c r="AM180" s="62">
        <f t="shared" si="113"/>
        <v>293.33333333333627</v>
      </c>
      <c r="AN180" s="62">
        <f ca="1">AVERAGE(OFFSET($AM$3,0,0,'Données projet'!$E$10+1,1))-AVERAGE(OFFSET($H$3,0,0,'Données projet'!$E$10+1,1))</f>
        <v>284.0976902574692</v>
      </c>
      <c r="AO180" s="62">
        <f t="shared" si="144"/>
        <v>190.4880882944471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-8.7434273154940449E-13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428.8489304403459</v>
      </c>
      <c r="BJ180" s="62">
        <f t="shared" si="146"/>
        <v>247.01165577562966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144.05409916132993</v>
      </c>
      <c r="CE180" s="62">
        <f t="shared" si="148"/>
        <v>409.2784174616832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3.9413559837377656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3.9413559837377656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6.3550942286383367E-14</v>
      </c>
      <c r="CV180" s="14">
        <f t="shared" si="173"/>
        <v>1.0064464192543978E-12</v>
      </c>
      <c r="CW180" s="22">
        <f t="shared" si="174"/>
        <v>1.8635787380168604E-12</v>
      </c>
      <c r="CX180" s="62">
        <f t="shared" si="122"/>
        <v>293.33333333333519</v>
      </c>
      <c r="CY180" s="62">
        <f ca="1">AVERAGE(OFFSET($CX$3,0,0,'Données projet'!$E$13+1,1))-AVERAGE(OFFSET($H$3,0,0,'Données projet'!$E$13+1,1))</f>
        <v>321.13335003345236</v>
      </c>
      <c r="CZ180" s="62">
        <f t="shared" si="150"/>
        <v>301.26825075712128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0.35010265787742889</v>
      </c>
      <c r="DH180" s="23">
        <f>EXP(-LN(2)/2)*DH179+(1-EXP(-LN(2)/2))/(LN(2)/2)*DB180*DE180*VLOOKUP('Données projet'!$B$13,Paramètres!$A$1:$I$89,3,0)*0.475*44/12</f>
        <v>7.3828539714293169E-22</v>
      </c>
      <c r="DI180" s="24">
        <f t="shared" si="175"/>
        <v>0.35010265787742889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-5.1159076974727213E-13</v>
      </c>
      <c r="O181" s="14">
        <f>N181*VLOOKUP('Données projet'!$B$9,Paramètres!$A$1:$I$89,3,0)*VLOOKUP('Données projet'!$B$9,Paramètres!$A$1:$I$89,5,0)</f>
        <v>-5.3471467253984886E-13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493.70175665335978</v>
      </c>
      <c r="T181" s="62">
        <f t="shared" si="142"/>
        <v>325.12357781685949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1.064108801074326E-13</v>
      </c>
      <c r="AK181" s="14">
        <f t="shared" si="164"/>
        <v>1.5870730813698654E-12</v>
      </c>
      <c r="AL181" s="22">
        <f t="shared" si="165"/>
        <v>2.9494845662396269E-12</v>
      </c>
      <c r="AM181" s="62">
        <f t="shared" si="113"/>
        <v>293.33333333333627</v>
      </c>
      <c r="AN181" s="62">
        <f ca="1">AVERAGE(OFFSET($AM$3,0,0,'Données projet'!$E$10+1,1))-AVERAGE(OFFSET($H$3,0,0,'Données projet'!$E$10+1,1))</f>
        <v>284.0976902574692</v>
      </c>
      <c r="AO181" s="62">
        <f t="shared" si="144"/>
        <v>190.4880882944471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-8.7434273154940449E-13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428.8489304403459</v>
      </c>
      <c r="BJ181" s="62">
        <f t="shared" si="146"/>
        <v>247.01165577562966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144.05409916132993</v>
      </c>
      <c r="CE181" s="62">
        <f t="shared" si="148"/>
        <v>409.2784174616832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3.8640683968864438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3.8640683968864438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6.3550942286383367E-14</v>
      </c>
      <c r="CV181" s="14">
        <f t="shared" si="173"/>
        <v>1.0064464192543978E-12</v>
      </c>
      <c r="CW181" s="22">
        <f t="shared" si="174"/>
        <v>1.8635787380168604E-12</v>
      </c>
      <c r="CX181" s="62">
        <f t="shared" si="122"/>
        <v>293.33333333333519</v>
      </c>
      <c r="CY181" s="62">
        <f ca="1">AVERAGE(OFFSET($CX$3,0,0,'Données projet'!$E$13+1,1))-AVERAGE(OFFSET($H$3,0,0,'Données projet'!$E$13+1,1))</f>
        <v>321.13335003345236</v>
      </c>
      <c r="CZ181" s="62">
        <f t="shared" si="150"/>
        <v>301.26825075712128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0.340529082286672</v>
      </c>
      <c r="DH181" s="23">
        <f>EXP(-LN(2)/2)*DH180+(1-EXP(-LN(2)/2))/(LN(2)/2)*DB181*DE181*VLOOKUP('Données projet'!$B$13,Paramètres!$A$1:$I$89,3,0)*0.475*44/12</f>
        <v>5.2204661077077033E-22</v>
      </c>
      <c r="DI181" s="24">
        <f t="shared" si="175"/>
        <v>0.340529082286672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-5.1159076974727213E-13</v>
      </c>
      <c r="O182" s="14">
        <f>N182*VLOOKUP('Données projet'!$B$9,Paramètres!$A$1:$I$89,3,0)*VLOOKUP('Données projet'!$B$9,Paramètres!$A$1:$I$89,5,0)</f>
        <v>-5.3471467253984886E-13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493.70175665335978</v>
      </c>
      <c r="T182" s="62">
        <f t="shared" si="142"/>
        <v>325.12357781685949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1.064108801074326E-13</v>
      </c>
      <c r="AK182" s="14">
        <f t="shared" si="164"/>
        <v>1.5870730813698654E-12</v>
      </c>
      <c r="AL182" s="22">
        <f t="shared" si="165"/>
        <v>2.9494845662396269E-12</v>
      </c>
      <c r="AM182" s="62">
        <f t="shared" si="113"/>
        <v>293.33333333333627</v>
      </c>
      <c r="AN182" s="62">
        <f ca="1">AVERAGE(OFFSET($AM$3,0,0,'Données projet'!$E$10+1,1))-AVERAGE(OFFSET($H$3,0,0,'Données projet'!$E$10+1,1))</f>
        <v>284.0976902574692</v>
      </c>
      <c r="AO182" s="62">
        <f t="shared" si="144"/>
        <v>190.4880882944471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-8.7434273154940449E-13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428.8489304403459</v>
      </c>
      <c r="BJ182" s="62">
        <f t="shared" si="146"/>
        <v>247.01165577562966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144.05409916132993</v>
      </c>
      <c r="CE182" s="62">
        <f t="shared" si="148"/>
        <v>409.2784174616832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3.7882963724725034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3.7882963724725034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6.3550942286383367E-14</v>
      </c>
      <c r="CV182" s="14">
        <f t="shared" si="173"/>
        <v>1.0064464192543978E-12</v>
      </c>
      <c r="CW182" s="22">
        <f t="shared" si="174"/>
        <v>1.8635787380168604E-12</v>
      </c>
      <c r="CX182" s="62">
        <f t="shared" si="122"/>
        <v>293.33333333333519</v>
      </c>
      <c r="CY182" s="62">
        <f ca="1">AVERAGE(OFFSET($CX$3,0,0,'Données projet'!$E$13+1,1))-AVERAGE(OFFSET($H$3,0,0,'Données projet'!$E$13+1,1))</f>
        <v>321.13335003345236</v>
      </c>
      <c r="CZ182" s="62">
        <f t="shared" si="150"/>
        <v>301.26825075712128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0.33121729662389682</v>
      </c>
      <c r="DH182" s="23">
        <f>EXP(-LN(2)/2)*DH181+(1-EXP(-LN(2)/2))/(LN(2)/2)*DB182*DE182*VLOOKUP('Données projet'!$B$13,Paramètres!$A$1:$I$89,3,0)*0.475*44/12</f>
        <v>3.6914269857146585E-22</v>
      </c>
      <c r="DI182" s="24">
        <f t="shared" si="175"/>
        <v>0.33121729662389682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-5.1159076974727213E-13</v>
      </c>
      <c r="O183" s="14">
        <f>N183*VLOOKUP('Données projet'!$B$9,Paramètres!$A$1:$I$89,3,0)*VLOOKUP('Données projet'!$B$9,Paramètres!$A$1:$I$89,5,0)</f>
        <v>-5.3471467253984886E-13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493.70175665335978</v>
      </c>
      <c r="T183" s="62">
        <f t="shared" si="142"/>
        <v>325.12357781685949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1.064108801074326E-13</v>
      </c>
      <c r="AK183" s="14">
        <f t="shared" si="164"/>
        <v>1.5870730813698654E-12</v>
      </c>
      <c r="AL183" s="22">
        <f t="shared" si="165"/>
        <v>2.9494845662396269E-12</v>
      </c>
      <c r="AM183" s="62">
        <f t="shared" si="113"/>
        <v>293.33333333333627</v>
      </c>
      <c r="AN183" s="62">
        <f ca="1">AVERAGE(OFFSET($AM$3,0,0,'Données projet'!$E$10+1,1))-AVERAGE(OFFSET($H$3,0,0,'Données projet'!$E$10+1,1))</f>
        <v>284.0976902574692</v>
      </c>
      <c r="AO183" s="62">
        <f t="shared" si="144"/>
        <v>190.4880882944471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-8.7434273154940449E-13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428.8489304403459</v>
      </c>
      <c r="BJ183" s="62">
        <f t="shared" si="146"/>
        <v>247.01165577562966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144.05409916132993</v>
      </c>
      <c r="CE183" s="62">
        <f t="shared" si="148"/>
        <v>409.2784174616832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3.7140101912409489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3.7140101912409489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6.3550942286383367E-14</v>
      </c>
      <c r="CV183" s="14">
        <f t="shared" si="173"/>
        <v>1.0064464192543978E-12</v>
      </c>
      <c r="CW183" s="22">
        <f t="shared" si="174"/>
        <v>1.8635787380168604E-12</v>
      </c>
      <c r="CX183" s="62">
        <f t="shared" si="122"/>
        <v>293.33333333333519</v>
      </c>
      <c r="CY183" s="62">
        <f ca="1">AVERAGE(OFFSET($CX$3,0,0,'Données projet'!$E$13+1,1))-AVERAGE(OFFSET($H$3,0,0,'Données projet'!$E$13+1,1))</f>
        <v>321.13335003345236</v>
      </c>
      <c r="CZ183" s="62">
        <f t="shared" si="150"/>
        <v>301.26825075712128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0.32216014222975575</v>
      </c>
      <c r="DH183" s="23">
        <f>EXP(-LN(2)/2)*DH182+(1-EXP(-LN(2)/2))/(LN(2)/2)*DB183*DE183*VLOOKUP('Données projet'!$B$13,Paramètres!$A$1:$I$89,3,0)*0.475*44/12</f>
        <v>2.6102330538538517E-22</v>
      </c>
      <c r="DI183" s="24">
        <f t="shared" si="175"/>
        <v>0.32216014222975575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-5.1159076974727213E-13</v>
      </c>
      <c r="O184" s="14">
        <f>N184*VLOOKUP('Données projet'!$B$9,Paramètres!$A$1:$I$89,3,0)*VLOOKUP('Données projet'!$B$9,Paramètres!$A$1:$I$89,5,0)</f>
        <v>-5.3471467253984886E-13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493.70175665335978</v>
      </c>
      <c r="T184" s="62">
        <f t="shared" si="142"/>
        <v>325.12357781685949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1.064108801074326E-13</v>
      </c>
      <c r="AK184" s="14">
        <f t="shared" si="164"/>
        <v>1.5870730813698654E-12</v>
      </c>
      <c r="AL184" s="22">
        <f t="shared" si="165"/>
        <v>2.9494845662396269E-12</v>
      </c>
      <c r="AM184" s="62">
        <f t="shared" si="113"/>
        <v>293.33333333333627</v>
      </c>
      <c r="AN184" s="62">
        <f ca="1">AVERAGE(OFFSET($AM$3,0,0,'Données projet'!$E$10+1,1))-AVERAGE(OFFSET($H$3,0,0,'Données projet'!$E$10+1,1))</f>
        <v>284.0976902574692</v>
      </c>
      <c r="AO184" s="62">
        <f t="shared" si="144"/>
        <v>190.4880882944471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-8.7434273154940449E-13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428.8489304403459</v>
      </c>
      <c r="BJ184" s="62">
        <f t="shared" si="146"/>
        <v>247.01165577562966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144.05409916132993</v>
      </c>
      <c r="CE184" s="62">
        <f t="shared" si="148"/>
        <v>409.2784174616832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3.6411807167132486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3.6411807167132486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6.3550942286383367E-14</v>
      </c>
      <c r="CV184" s="14">
        <f t="shared" si="173"/>
        <v>1.0064464192543978E-12</v>
      </c>
      <c r="CW184" s="22">
        <f t="shared" si="174"/>
        <v>1.8635787380168604E-12</v>
      </c>
      <c r="CX184" s="62">
        <f t="shared" si="122"/>
        <v>293.33333333333519</v>
      </c>
      <c r="CY184" s="62">
        <f ca="1">AVERAGE(OFFSET($CX$3,0,0,'Données projet'!$E$13+1,1))-AVERAGE(OFFSET($H$3,0,0,'Données projet'!$E$13+1,1))</f>
        <v>321.13335003345236</v>
      </c>
      <c r="CZ184" s="62">
        <f t="shared" si="150"/>
        <v>301.26825075712128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0.31335065619881752</v>
      </c>
      <c r="DH184" s="23">
        <f>EXP(-LN(2)/2)*DH183+(1-EXP(-LN(2)/2))/(LN(2)/2)*DB184*DE184*VLOOKUP('Données projet'!$B$13,Paramètres!$A$1:$I$89,3,0)*0.475*44/12</f>
        <v>1.8457134928573292E-22</v>
      </c>
      <c r="DI184" s="24">
        <f t="shared" si="175"/>
        <v>0.31335065619881752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-5.1159076974727213E-13</v>
      </c>
      <c r="O185" s="14">
        <f>N185*VLOOKUP('Données projet'!$B$9,Paramètres!$A$1:$I$89,3,0)*VLOOKUP('Données projet'!$B$9,Paramètres!$A$1:$I$89,5,0)</f>
        <v>-5.3471467253984886E-13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493.70175665335978</v>
      </c>
      <c r="T185" s="62">
        <f t="shared" si="142"/>
        <v>325.12357781685949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1.064108801074326E-13</v>
      </c>
      <c r="AK185" s="14">
        <f t="shared" si="164"/>
        <v>1.5870730813698654E-12</v>
      </c>
      <c r="AL185" s="22">
        <f t="shared" si="165"/>
        <v>2.9494845662396269E-12</v>
      </c>
      <c r="AM185" s="62">
        <f t="shared" si="113"/>
        <v>293.33333333333627</v>
      </c>
      <c r="AN185" s="62">
        <f ca="1">AVERAGE(OFFSET($AM$3,0,0,'Données projet'!$E$10+1,1))-AVERAGE(OFFSET($H$3,0,0,'Données projet'!$E$10+1,1))</f>
        <v>284.0976902574692</v>
      </c>
      <c r="AO185" s="62">
        <f t="shared" si="144"/>
        <v>190.4880882944471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-8.7434273154940449E-13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428.8489304403459</v>
      </c>
      <c r="BJ185" s="62">
        <f t="shared" si="146"/>
        <v>247.01165577562966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144.05409916132993</v>
      </c>
      <c r="CE185" s="62">
        <f t="shared" si="148"/>
        <v>409.2784174616832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3.5697793837594434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3.5697793837594434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6.3550942286383367E-14</v>
      </c>
      <c r="CV185" s="14">
        <f t="shared" si="173"/>
        <v>1.0064464192543978E-12</v>
      </c>
      <c r="CW185" s="22">
        <f t="shared" si="174"/>
        <v>1.8635787380168604E-12</v>
      </c>
      <c r="CX185" s="62">
        <f t="shared" si="122"/>
        <v>293.33333333333519</v>
      </c>
      <c r="CY185" s="62">
        <f ca="1">AVERAGE(OFFSET($CX$3,0,0,'Données projet'!$E$13+1,1))-AVERAGE(OFFSET($H$3,0,0,'Données projet'!$E$13+1,1))</f>
        <v>321.13335003345236</v>
      </c>
      <c r="CZ185" s="62">
        <f t="shared" si="150"/>
        <v>301.26825075712128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0.30478206602666602</v>
      </c>
      <c r="DH185" s="23">
        <f>EXP(-LN(2)/2)*DH184+(1-EXP(-LN(2)/2))/(LN(2)/2)*DB185*DE185*VLOOKUP('Données projet'!$B$13,Paramètres!$A$1:$I$89,3,0)*0.475*44/12</f>
        <v>1.3051165269269258E-22</v>
      </c>
      <c r="DI185" s="24">
        <f t="shared" si="175"/>
        <v>0.30478206602666602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-5.1159076974727213E-13</v>
      </c>
      <c r="O186" s="14">
        <f>N186*VLOOKUP('Données projet'!$B$9,Paramètres!$A$1:$I$89,3,0)*VLOOKUP('Données projet'!$B$9,Paramètres!$A$1:$I$89,5,0)</f>
        <v>-5.3471467253984886E-13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493.70175665335978</v>
      </c>
      <c r="T186" s="62">
        <f t="shared" si="142"/>
        <v>325.12357781685949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1.064108801074326E-13</v>
      </c>
      <c r="AK186" s="14">
        <f t="shared" si="164"/>
        <v>1.5870730813698654E-12</v>
      </c>
      <c r="AL186" s="22">
        <f t="shared" si="165"/>
        <v>2.9494845662396269E-12</v>
      </c>
      <c r="AM186" s="62">
        <f t="shared" si="113"/>
        <v>293.33333333333627</v>
      </c>
      <c r="AN186" s="62">
        <f ca="1">AVERAGE(OFFSET($AM$3,0,0,'Données projet'!$E$10+1,1))-AVERAGE(OFFSET($H$3,0,0,'Données projet'!$E$10+1,1))</f>
        <v>284.0976902574692</v>
      </c>
      <c r="AO186" s="62">
        <f t="shared" si="144"/>
        <v>190.4880882944471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-8.7434273154940449E-13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428.8489304403459</v>
      </c>
      <c r="BJ186" s="62">
        <f t="shared" si="146"/>
        <v>247.01165577562966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144.05409916132993</v>
      </c>
      <c r="CE186" s="62">
        <f t="shared" si="148"/>
        <v>409.2784174616832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3.4997781873943494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3.4997781873943494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6.3550942286383367E-14</v>
      </c>
      <c r="CV186" s="14">
        <f t="shared" si="173"/>
        <v>1.0064464192543978E-12</v>
      </c>
      <c r="CW186" s="22">
        <f t="shared" si="174"/>
        <v>1.8635787380168604E-12</v>
      </c>
      <c r="CX186" s="62">
        <f t="shared" si="122"/>
        <v>293.33333333333519</v>
      </c>
      <c r="CY186" s="62">
        <f ca="1">AVERAGE(OFFSET($CX$3,0,0,'Données projet'!$E$13+1,1))-AVERAGE(OFFSET($H$3,0,0,'Données projet'!$E$13+1,1))</f>
        <v>321.13335003345236</v>
      </c>
      <c r="CZ186" s="62">
        <f t="shared" si="150"/>
        <v>301.26825075712128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0.29644778440337455</v>
      </c>
      <c r="DH186" s="23">
        <f>EXP(-LN(2)/2)*DH185+(1-EXP(-LN(2)/2))/(LN(2)/2)*DB186*DE186*VLOOKUP('Données projet'!$B$13,Paramètres!$A$1:$I$89,3,0)*0.475*44/12</f>
        <v>9.2285674642866462E-23</v>
      </c>
      <c r="DI186" s="24">
        <f t="shared" si="175"/>
        <v>0.29644778440337455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-5.1159076974727213E-13</v>
      </c>
      <c r="O187" s="14">
        <f>N187*VLOOKUP('Données projet'!$B$9,Paramètres!$A$1:$I$89,3,0)*VLOOKUP('Données projet'!$B$9,Paramètres!$A$1:$I$89,5,0)</f>
        <v>-5.3471467253984886E-13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493.70175665335978</v>
      </c>
      <c r="T187" s="62">
        <f t="shared" si="142"/>
        <v>325.12357781685949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1.064108801074326E-13</v>
      </c>
      <c r="AK187" s="14">
        <f t="shared" si="164"/>
        <v>1.5870730813698654E-12</v>
      </c>
      <c r="AL187" s="22">
        <f t="shared" si="165"/>
        <v>2.9494845662396269E-12</v>
      </c>
      <c r="AM187" s="62">
        <f t="shared" si="113"/>
        <v>293.33333333333627</v>
      </c>
      <c r="AN187" s="62">
        <f ca="1">AVERAGE(OFFSET($AM$3,0,0,'Données projet'!$E$10+1,1))-AVERAGE(OFFSET($H$3,0,0,'Données projet'!$E$10+1,1))</f>
        <v>284.0976902574692</v>
      </c>
      <c r="AO187" s="62">
        <f t="shared" si="144"/>
        <v>190.4880882944471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-8.7434273154940449E-13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428.8489304403459</v>
      </c>
      <c r="BJ187" s="62">
        <f t="shared" si="146"/>
        <v>247.01165577562966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144.05409916132993</v>
      </c>
      <c r="CE187" s="62">
        <f t="shared" si="148"/>
        <v>409.2784174616832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3.4311496717934609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3.4311496717934609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6.3550942286383367E-14</v>
      </c>
      <c r="CV187" s="14">
        <f t="shared" si="173"/>
        <v>1.0064464192543978E-12</v>
      </c>
      <c r="CW187" s="22">
        <f t="shared" si="174"/>
        <v>1.8635787380168604E-12</v>
      </c>
      <c r="CX187" s="62">
        <f t="shared" si="122"/>
        <v>293.33333333333519</v>
      </c>
      <c r="CY187" s="62">
        <f ca="1">AVERAGE(OFFSET($CX$3,0,0,'Données projet'!$E$13+1,1))-AVERAGE(OFFSET($H$3,0,0,'Données projet'!$E$13+1,1))</f>
        <v>321.13335003345236</v>
      </c>
      <c r="CZ187" s="62">
        <f t="shared" si="150"/>
        <v>301.26825075712128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0.28834140414935283</v>
      </c>
      <c r="DH187" s="23">
        <f>EXP(-LN(2)/2)*DH186+(1-EXP(-LN(2)/2))/(LN(2)/2)*DB187*DE187*VLOOKUP('Données projet'!$B$13,Paramètres!$A$1:$I$89,3,0)*0.475*44/12</f>
        <v>6.5255826346346292E-23</v>
      </c>
      <c r="DI187" s="24">
        <f t="shared" si="175"/>
        <v>0.28834140414935283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-5.1159076974727213E-13</v>
      </c>
      <c r="O188" s="14">
        <f>N188*VLOOKUP('Données projet'!$B$9,Paramètres!$A$1:$I$89,3,0)*VLOOKUP('Données projet'!$B$9,Paramètres!$A$1:$I$89,5,0)</f>
        <v>-5.3471467253984886E-13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493.70175665335978</v>
      </c>
      <c r="T188" s="62">
        <f t="shared" si="142"/>
        <v>325.12357781685949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1.064108801074326E-13</v>
      </c>
      <c r="AK188" s="14">
        <f t="shared" si="164"/>
        <v>1.5870730813698654E-12</v>
      </c>
      <c r="AL188" s="22">
        <f t="shared" si="165"/>
        <v>2.9494845662396269E-12</v>
      </c>
      <c r="AM188" s="62">
        <f t="shared" si="113"/>
        <v>293.33333333333627</v>
      </c>
      <c r="AN188" s="62">
        <f ca="1">AVERAGE(OFFSET($AM$3,0,0,'Données projet'!$E$10+1,1))-AVERAGE(OFFSET($H$3,0,0,'Données projet'!$E$10+1,1))</f>
        <v>284.0976902574692</v>
      </c>
      <c r="AO188" s="62">
        <f t="shared" si="144"/>
        <v>190.4880882944471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-8.7434273154940449E-13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428.8489304403459</v>
      </c>
      <c r="BJ188" s="62">
        <f t="shared" si="146"/>
        <v>247.01165577562966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144.05409916132993</v>
      </c>
      <c r="CE188" s="62">
        <f t="shared" si="148"/>
        <v>409.2784174616832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3.3638669195242445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3.3638669195242445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6.3550942286383367E-14</v>
      </c>
      <c r="CV188" s="14">
        <f t="shared" si="173"/>
        <v>1.0064464192543978E-12</v>
      </c>
      <c r="CW188" s="22">
        <f t="shared" si="174"/>
        <v>1.8635787380168604E-12</v>
      </c>
      <c r="CX188" s="62">
        <f t="shared" si="122"/>
        <v>293.33333333333519</v>
      </c>
      <c r="CY188" s="62">
        <f ca="1">AVERAGE(OFFSET($CX$3,0,0,'Données projet'!$E$13+1,1))-AVERAGE(OFFSET($H$3,0,0,'Données projet'!$E$13+1,1))</f>
        <v>321.13335003345236</v>
      </c>
      <c r="CZ188" s="62">
        <f t="shared" si="150"/>
        <v>301.26825075712128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0.28045669328967332</v>
      </c>
      <c r="DH188" s="23">
        <f>EXP(-LN(2)/2)*DH187+(1-EXP(-LN(2)/2))/(LN(2)/2)*DB188*DE188*VLOOKUP('Données projet'!$B$13,Paramètres!$A$1:$I$89,3,0)*0.475*44/12</f>
        <v>4.6142837321433231E-23</v>
      </c>
      <c r="DI188" s="24">
        <f t="shared" si="175"/>
        <v>0.28045669328967332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-5.1159076974727213E-13</v>
      </c>
      <c r="O189" s="14">
        <f>N189*VLOOKUP('Données projet'!$B$9,Paramètres!$A$1:$I$89,3,0)*VLOOKUP('Données projet'!$B$9,Paramètres!$A$1:$I$89,5,0)</f>
        <v>-5.3471467253984886E-13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493.70175665335978</v>
      </c>
      <c r="T189" s="62">
        <f t="shared" si="142"/>
        <v>325.12357781685949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1.064108801074326E-13</v>
      </c>
      <c r="AK189" s="14">
        <f t="shared" si="164"/>
        <v>1.5870730813698654E-12</v>
      </c>
      <c r="AL189" s="22">
        <f t="shared" si="165"/>
        <v>2.9494845662396269E-12</v>
      </c>
      <c r="AM189" s="62">
        <f t="shared" si="113"/>
        <v>293.33333333333627</v>
      </c>
      <c r="AN189" s="62">
        <f ca="1">AVERAGE(OFFSET($AM$3,0,0,'Données projet'!$E$10+1,1))-AVERAGE(OFFSET($H$3,0,0,'Données projet'!$E$10+1,1))</f>
        <v>284.0976902574692</v>
      </c>
      <c r="AO189" s="62">
        <f t="shared" si="144"/>
        <v>190.4880882944471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-8.7434273154940449E-13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428.8489304403459</v>
      </c>
      <c r="BJ189" s="62">
        <f t="shared" si="146"/>
        <v>247.01165577562966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144.05409916132993</v>
      </c>
      <c r="CE189" s="62">
        <f t="shared" si="148"/>
        <v>409.2784174616832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3.2979035409886008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3.2979035409886008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6.3550942286383367E-14</v>
      </c>
      <c r="CV189" s="14">
        <f t="shared" si="173"/>
        <v>1.0064464192543978E-12</v>
      </c>
      <c r="CW189" s="22">
        <f t="shared" si="174"/>
        <v>1.8635787380168604E-12</v>
      </c>
      <c r="CX189" s="62">
        <f t="shared" si="122"/>
        <v>293.33333333333519</v>
      </c>
      <c r="CY189" s="62">
        <f ca="1">AVERAGE(OFFSET($CX$3,0,0,'Données projet'!$E$13+1,1))-AVERAGE(OFFSET($H$3,0,0,'Données projet'!$E$13+1,1))</f>
        <v>321.13335003345236</v>
      </c>
      <c r="CZ189" s="62">
        <f t="shared" si="150"/>
        <v>301.26825075712128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0.27278759026309068</v>
      </c>
      <c r="DH189" s="23">
        <f>EXP(-LN(2)/2)*DH188+(1-EXP(-LN(2)/2))/(LN(2)/2)*DB189*DE189*VLOOKUP('Données projet'!$B$13,Paramètres!$A$1:$I$89,3,0)*0.475*44/12</f>
        <v>3.2627913173173146E-23</v>
      </c>
      <c r="DI189" s="24">
        <f t="shared" si="175"/>
        <v>0.27278759026309068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-5.1159076974727213E-13</v>
      </c>
      <c r="O190" s="14">
        <f>N190*VLOOKUP('Données projet'!$B$9,Paramètres!$A$1:$I$89,3,0)*VLOOKUP('Données projet'!$B$9,Paramètres!$A$1:$I$89,5,0)</f>
        <v>-5.3471467253984886E-13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493.70175665335978</v>
      </c>
      <c r="T190" s="62">
        <f t="shared" si="142"/>
        <v>325.12357781685949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1.064108801074326E-13</v>
      </c>
      <c r="AK190" s="14">
        <f t="shared" si="164"/>
        <v>1.5870730813698654E-12</v>
      </c>
      <c r="AL190" s="22">
        <f t="shared" si="165"/>
        <v>2.9494845662396269E-12</v>
      </c>
      <c r="AM190" s="62">
        <f t="shared" si="113"/>
        <v>293.33333333333627</v>
      </c>
      <c r="AN190" s="62">
        <f ca="1">AVERAGE(OFFSET($AM$3,0,0,'Données projet'!$E$10+1,1))-AVERAGE(OFFSET($H$3,0,0,'Données projet'!$E$10+1,1))</f>
        <v>284.0976902574692</v>
      </c>
      <c r="AO190" s="62">
        <f t="shared" si="144"/>
        <v>190.4880882944471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-8.7434273154940449E-13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428.8489304403459</v>
      </c>
      <c r="BJ190" s="62">
        <f t="shared" si="146"/>
        <v>247.01165577562966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144.05409916132993</v>
      </c>
      <c r="CE190" s="62">
        <f t="shared" si="148"/>
        <v>409.2784174616832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3.2332336640723529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3.2332336640723529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6.3550942286383367E-14</v>
      </c>
      <c r="CV190" s="14">
        <f t="shared" si="173"/>
        <v>1.0064464192543978E-12</v>
      </c>
      <c r="CW190" s="22">
        <f t="shared" si="174"/>
        <v>1.8635787380168604E-12</v>
      </c>
      <c r="CX190" s="62">
        <f t="shared" si="122"/>
        <v>293.33333333333519</v>
      </c>
      <c r="CY190" s="62">
        <f ca="1">AVERAGE(OFFSET($CX$3,0,0,'Données projet'!$E$13+1,1))-AVERAGE(OFFSET($H$3,0,0,'Données projet'!$E$13+1,1))</f>
        <v>321.13335003345236</v>
      </c>
      <c r="CZ190" s="62">
        <f t="shared" si="150"/>
        <v>301.26825075712128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0.26532819926207057</v>
      </c>
      <c r="DH190" s="23">
        <f>EXP(-LN(2)/2)*DH189+(1-EXP(-LN(2)/2))/(LN(2)/2)*DB190*DE190*VLOOKUP('Données projet'!$B$13,Paramètres!$A$1:$I$89,3,0)*0.475*44/12</f>
        <v>2.3071418660716615E-23</v>
      </c>
      <c r="DI190" s="24">
        <f t="shared" si="175"/>
        <v>0.26532819926207057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-5.1159076974727213E-13</v>
      </c>
      <c r="O191" s="14">
        <f>N191*VLOOKUP('Données projet'!$B$9,Paramètres!$A$1:$I$89,3,0)*VLOOKUP('Données projet'!$B$9,Paramètres!$A$1:$I$89,5,0)</f>
        <v>-5.3471467253984886E-13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493.70175665335978</v>
      </c>
      <c r="T191" s="62">
        <f t="shared" si="142"/>
        <v>325.12357781685949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1.064108801074326E-13</v>
      </c>
      <c r="AK191" s="14">
        <f t="shared" si="164"/>
        <v>1.5870730813698654E-12</v>
      </c>
      <c r="AL191" s="22">
        <f t="shared" si="165"/>
        <v>2.9494845662396269E-12</v>
      </c>
      <c r="AM191" s="62">
        <f t="shared" si="113"/>
        <v>293.33333333333627</v>
      </c>
      <c r="AN191" s="62">
        <f ca="1">AVERAGE(OFFSET($AM$3,0,0,'Données projet'!$E$10+1,1))-AVERAGE(OFFSET($H$3,0,0,'Données projet'!$E$10+1,1))</f>
        <v>284.0976902574692</v>
      </c>
      <c r="AO191" s="62">
        <f t="shared" si="144"/>
        <v>190.4880882944471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-8.7434273154940449E-13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428.8489304403459</v>
      </c>
      <c r="BJ191" s="62">
        <f t="shared" si="146"/>
        <v>247.01165577562966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144.05409916132993</v>
      </c>
      <c r="CE191" s="62">
        <f t="shared" si="148"/>
        <v>409.2784174616832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3.1698319239977026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3.1698319239977026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6.3550942286383367E-14</v>
      </c>
      <c r="CV191" s="14">
        <f t="shared" si="173"/>
        <v>1.0064464192543978E-12</v>
      </c>
      <c r="CW191" s="22">
        <f t="shared" si="174"/>
        <v>1.8635787380168604E-12</v>
      </c>
      <c r="CX191" s="62">
        <f t="shared" si="122"/>
        <v>293.33333333333519</v>
      </c>
      <c r="CY191" s="62">
        <f ca="1">AVERAGE(OFFSET($CX$3,0,0,'Données projet'!$E$13+1,1))-AVERAGE(OFFSET($H$3,0,0,'Données projet'!$E$13+1,1))</f>
        <v>321.13335003345236</v>
      </c>
      <c r="CZ191" s="62">
        <f t="shared" si="150"/>
        <v>301.26825075712128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0.25807278570024567</v>
      </c>
      <c r="DH191" s="23">
        <f>EXP(-LN(2)/2)*DH190+(1-EXP(-LN(2)/2))/(LN(2)/2)*DB191*DE191*VLOOKUP('Données projet'!$B$13,Paramètres!$A$1:$I$89,3,0)*0.475*44/12</f>
        <v>1.6313956586586573E-23</v>
      </c>
      <c r="DI191" s="24">
        <f t="shared" si="175"/>
        <v>0.25807278570024567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-5.1159076974727213E-13</v>
      </c>
      <c r="O192" s="14">
        <f>N192*VLOOKUP('Données projet'!$B$9,Paramètres!$A$1:$I$89,3,0)*VLOOKUP('Données projet'!$B$9,Paramètres!$A$1:$I$89,5,0)</f>
        <v>-5.3471467253984886E-13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493.70175665335978</v>
      </c>
      <c r="T192" s="62">
        <f t="shared" si="142"/>
        <v>325.12357781685949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1.064108801074326E-13</v>
      </c>
      <c r="AK192" s="14">
        <f t="shared" si="164"/>
        <v>1.5870730813698654E-12</v>
      </c>
      <c r="AL192" s="22">
        <f t="shared" si="165"/>
        <v>2.9494845662396269E-12</v>
      </c>
      <c r="AM192" s="62">
        <f t="shared" si="113"/>
        <v>293.33333333333627</v>
      </c>
      <c r="AN192" s="62">
        <f ca="1">AVERAGE(OFFSET($AM$3,0,0,'Données projet'!$E$10+1,1))-AVERAGE(OFFSET($H$3,0,0,'Données projet'!$E$10+1,1))</f>
        <v>284.0976902574692</v>
      </c>
      <c r="AO192" s="62">
        <f t="shared" si="144"/>
        <v>190.4880882944471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-8.7434273154940449E-13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428.8489304403459</v>
      </c>
      <c r="BJ192" s="62">
        <f t="shared" si="146"/>
        <v>247.01165577562966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144.05409916132993</v>
      </c>
      <c r="CE192" s="62">
        <f t="shared" si="148"/>
        <v>409.2784174616832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3.1076734533746735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3.1076734533746735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6.3550942286383367E-14</v>
      </c>
      <c r="CV192" s="14">
        <f t="shared" si="173"/>
        <v>1.0064464192543978E-12</v>
      </c>
      <c r="CW192" s="22">
        <f t="shared" si="174"/>
        <v>1.8635787380168604E-12</v>
      </c>
      <c r="CX192" s="62">
        <f t="shared" si="122"/>
        <v>293.33333333333519</v>
      </c>
      <c r="CY192" s="62">
        <f ca="1">AVERAGE(OFFSET($CX$3,0,0,'Données projet'!$E$13+1,1))-AVERAGE(OFFSET($H$3,0,0,'Données projet'!$E$13+1,1))</f>
        <v>321.13335003345236</v>
      </c>
      <c r="CZ192" s="62">
        <f t="shared" si="150"/>
        <v>301.26825075712128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0.25101577180381446</v>
      </c>
      <c r="DH192" s="23">
        <f>EXP(-LN(2)/2)*DH191+(1-EXP(-LN(2)/2))/(LN(2)/2)*DB192*DE192*VLOOKUP('Données projet'!$B$13,Paramètres!$A$1:$I$89,3,0)*0.475*44/12</f>
        <v>1.1535709330358308E-23</v>
      </c>
      <c r="DI192" s="24">
        <f t="shared" si="175"/>
        <v>0.25101577180381446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-5.1159076974727213E-13</v>
      </c>
      <c r="O193" s="14">
        <f>N193*VLOOKUP('Données projet'!$B$9,Paramètres!$A$1:$I$89,3,0)*VLOOKUP('Données projet'!$B$9,Paramètres!$A$1:$I$89,5,0)</f>
        <v>-5.3471467253984886E-13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493.70175665335978</v>
      </c>
      <c r="T193" s="62">
        <f t="shared" si="142"/>
        <v>325.12357781685949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1.064108801074326E-13</v>
      </c>
      <c r="AK193" s="14">
        <f t="shared" si="164"/>
        <v>1.5870730813698654E-12</v>
      </c>
      <c r="AL193" s="22">
        <f t="shared" si="165"/>
        <v>2.9494845662396269E-12</v>
      </c>
      <c r="AM193" s="62">
        <f t="shared" si="113"/>
        <v>293.33333333333627</v>
      </c>
      <c r="AN193" s="62">
        <f ca="1">AVERAGE(OFFSET($AM$3,0,0,'Données projet'!$E$10+1,1))-AVERAGE(OFFSET($H$3,0,0,'Données projet'!$E$10+1,1))</f>
        <v>284.0976902574692</v>
      </c>
      <c r="AO193" s="62">
        <f t="shared" si="144"/>
        <v>190.4880882944471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-8.7434273154940449E-13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428.8489304403459</v>
      </c>
      <c r="BJ193" s="62">
        <f t="shared" si="146"/>
        <v>247.01165577562966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144.05409916132993</v>
      </c>
      <c r="CE193" s="62">
        <f t="shared" si="148"/>
        <v>409.2784174616832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3.0467338724476383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3.0467338724476383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6.3550942286383367E-14</v>
      </c>
      <c r="CV193" s="14">
        <f t="shared" si="173"/>
        <v>1.0064464192543978E-12</v>
      </c>
      <c r="CW193" s="22">
        <f t="shared" si="174"/>
        <v>1.8635787380168604E-12</v>
      </c>
      <c r="CX193" s="62">
        <f t="shared" si="122"/>
        <v>293.33333333333519</v>
      </c>
      <c r="CY193" s="62">
        <f ca="1">AVERAGE(OFFSET($CX$3,0,0,'Données projet'!$E$13+1,1))-AVERAGE(OFFSET($H$3,0,0,'Données projet'!$E$13+1,1))</f>
        <v>321.13335003345236</v>
      </c>
      <c r="CZ193" s="62">
        <f t="shared" si="150"/>
        <v>301.26825075712128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0.24415173232349341</v>
      </c>
      <c r="DH193" s="23">
        <f>EXP(-LN(2)/2)*DH192+(1-EXP(-LN(2)/2))/(LN(2)/2)*DB193*DE193*VLOOKUP('Données projet'!$B$13,Paramètres!$A$1:$I$89,3,0)*0.475*44/12</f>
        <v>8.1569782932932864E-24</v>
      </c>
      <c r="DI193" s="24">
        <f t="shared" si="175"/>
        <v>0.24415173232349341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-5.1159076974727213E-13</v>
      </c>
      <c r="O194" s="14">
        <f>N194*VLOOKUP('Données projet'!$B$9,Paramètres!$A$1:$I$89,3,0)*VLOOKUP('Données projet'!$B$9,Paramètres!$A$1:$I$89,5,0)</f>
        <v>-5.3471467253984886E-13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493.70175665335978</v>
      </c>
      <c r="T194" s="62">
        <f t="shared" si="142"/>
        <v>325.12357781685949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1.064108801074326E-13</v>
      </c>
      <c r="AK194" s="14">
        <f t="shared" si="164"/>
        <v>1.5870730813698654E-12</v>
      </c>
      <c r="AL194" s="22">
        <f t="shared" si="165"/>
        <v>2.9494845662396269E-12</v>
      </c>
      <c r="AM194" s="62">
        <f t="shared" si="113"/>
        <v>293.33333333333627</v>
      </c>
      <c r="AN194" s="62">
        <f ca="1">AVERAGE(OFFSET($AM$3,0,0,'Données projet'!$E$10+1,1))-AVERAGE(OFFSET($H$3,0,0,'Données projet'!$E$10+1,1))</f>
        <v>284.0976902574692</v>
      </c>
      <c r="AO194" s="62">
        <f t="shared" si="144"/>
        <v>190.4880882944471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-8.7434273154940449E-13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428.8489304403459</v>
      </c>
      <c r="BJ194" s="62">
        <f t="shared" si="146"/>
        <v>247.01165577562966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144.05409916132993</v>
      </c>
      <c r="CE194" s="62">
        <f t="shared" si="148"/>
        <v>409.2784174616832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2.9869892795331081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2.9869892795331081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6.3550942286383367E-14</v>
      </c>
      <c r="CV194" s="14">
        <f t="shared" si="173"/>
        <v>1.0064464192543978E-12</v>
      </c>
      <c r="CW194" s="22">
        <f t="shared" si="174"/>
        <v>1.8635787380168604E-12</v>
      </c>
      <c r="CX194" s="62">
        <f t="shared" si="122"/>
        <v>293.33333333333519</v>
      </c>
      <c r="CY194" s="62">
        <f ca="1">AVERAGE(OFFSET($CX$3,0,0,'Données projet'!$E$13+1,1))-AVERAGE(OFFSET($H$3,0,0,'Données projet'!$E$13+1,1))</f>
        <v>321.13335003345236</v>
      </c>
      <c r="CZ194" s="62">
        <f t="shared" si="150"/>
        <v>301.26825075712128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0.23747539036372589</v>
      </c>
      <c r="DH194" s="23">
        <f>EXP(-LN(2)/2)*DH193+(1-EXP(-LN(2)/2))/(LN(2)/2)*DB194*DE194*VLOOKUP('Données projet'!$B$13,Paramètres!$A$1:$I$89,3,0)*0.475*44/12</f>
        <v>5.7678546651791539E-24</v>
      </c>
      <c r="DI194" s="24">
        <f t="shared" si="175"/>
        <v>0.23747539036372589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-5.1159076974727213E-13</v>
      </c>
      <c r="O195" s="14">
        <f>N195*VLOOKUP('Données projet'!$B$9,Paramètres!$A$1:$I$89,3,0)*VLOOKUP('Données projet'!$B$9,Paramètres!$A$1:$I$89,5,0)</f>
        <v>-5.3471467253984886E-13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493.70175665335978</v>
      </c>
      <c r="T195" s="62">
        <f t="shared" si="142"/>
        <v>325.12357781685949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1.064108801074326E-13</v>
      </c>
      <c r="AK195" s="14">
        <f t="shared" si="164"/>
        <v>1.5870730813698654E-12</v>
      </c>
      <c r="AL195" s="22">
        <f t="shared" si="165"/>
        <v>2.9494845662396269E-12</v>
      </c>
      <c r="AM195" s="62">
        <f t="shared" si="113"/>
        <v>293.33333333333627</v>
      </c>
      <c r="AN195" s="62">
        <f ca="1">AVERAGE(OFFSET($AM$3,0,0,'Données projet'!$E$10+1,1))-AVERAGE(OFFSET($H$3,0,0,'Données projet'!$E$10+1,1))</f>
        <v>284.0976902574692</v>
      </c>
      <c r="AO195" s="62">
        <f t="shared" si="144"/>
        <v>190.4880882944471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-8.7434273154940449E-13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428.8489304403459</v>
      </c>
      <c r="BJ195" s="62">
        <f t="shared" si="146"/>
        <v>247.01165577562966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144.05409916132993</v>
      </c>
      <c r="CE195" s="62">
        <f t="shared" si="148"/>
        <v>409.2784174616832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2.9284162416450283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2.9284162416450283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6.3550942286383367E-14</v>
      </c>
      <c r="CV195" s="14">
        <f t="shared" si="173"/>
        <v>1.0064464192543978E-12</v>
      </c>
      <c r="CW195" s="22">
        <f t="shared" si="174"/>
        <v>1.8635787380168604E-12</v>
      </c>
      <c r="CX195" s="62">
        <f t="shared" si="122"/>
        <v>293.33333333333519</v>
      </c>
      <c r="CY195" s="62">
        <f ca="1">AVERAGE(OFFSET($CX$3,0,0,'Données projet'!$E$13+1,1))-AVERAGE(OFFSET($H$3,0,0,'Données projet'!$E$13+1,1))</f>
        <v>321.13335003345236</v>
      </c>
      <c r="CZ195" s="62">
        <f t="shared" si="150"/>
        <v>301.26825075712128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0.23098161332594178</v>
      </c>
      <c r="DH195" s="23">
        <f>EXP(-LN(2)/2)*DH194+(1-EXP(-LN(2)/2))/(LN(2)/2)*DB195*DE195*VLOOKUP('Données projet'!$B$13,Paramètres!$A$1:$I$89,3,0)*0.475*44/12</f>
        <v>4.0784891466466432E-24</v>
      </c>
      <c r="DI195" s="24">
        <f t="shared" si="175"/>
        <v>0.23098161332594178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-5.1159076974727213E-13</v>
      </c>
      <c r="O196" s="14">
        <f>N196*VLOOKUP('Données projet'!$B$9,Paramètres!$A$1:$I$89,3,0)*VLOOKUP('Données projet'!$B$9,Paramètres!$A$1:$I$89,5,0)</f>
        <v>-5.3471467253984886E-13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493.70175665335978</v>
      </c>
      <c r="T196" s="62">
        <f t="shared" si="142"/>
        <v>325.12357781685949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1.064108801074326E-13</v>
      </c>
      <c r="AK196" s="14">
        <f t="shared" si="164"/>
        <v>1.5870730813698654E-12</v>
      </c>
      <c r="AL196" s="22">
        <f t="shared" si="165"/>
        <v>2.9494845662396269E-12</v>
      </c>
      <c r="AM196" s="62">
        <f t="shared" ref="AM196:AM203" si="193">AL196+(AD196+AE196)*44/12</f>
        <v>293.33333333333627</v>
      </c>
      <c r="AN196" s="62">
        <f ca="1">AVERAGE(OFFSET($AM$3,0,0,'Données projet'!$E$10+1,1))-AVERAGE(OFFSET($H$3,0,0,'Données projet'!$E$10+1,1))</f>
        <v>284.0976902574692</v>
      </c>
      <c r="AO196" s="62">
        <f t="shared" si="144"/>
        <v>190.4880882944471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-8.7434273154940449E-13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428.8489304403459</v>
      </c>
      <c r="BJ196" s="62">
        <f t="shared" si="146"/>
        <v>247.01165577562966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144.05409916132993</v>
      </c>
      <c r="CE196" s="62">
        <f t="shared" si="148"/>
        <v>409.2784174616832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2.8709917853039082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2.8709917853039082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6.3550942286383367E-14</v>
      </c>
      <c r="CV196" s="14">
        <f t="shared" si="173"/>
        <v>1.0064464192543978E-12</v>
      </c>
      <c r="CW196" s="22">
        <f t="shared" si="174"/>
        <v>1.8635787380168604E-12</v>
      </c>
      <c r="CX196" s="62">
        <f t="shared" ref="CX196:CX203" si="196">CW196+(CO196+CP196)*44/12</f>
        <v>293.33333333333519</v>
      </c>
      <c r="CY196" s="62">
        <f ca="1">AVERAGE(OFFSET($CX$3,0,0,'Données projet'!$E$13+1,1))-AVERAGE(OFFSET($H$3,0,0,'Données projet'!$E$13+1,1))</f>
        <v>321.13335003345236</v>
      </c>
      <c r="CZ196" s="62">
        <f t="shared" si="150"/>
        <v>301.26825075712128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0.22466540896274878</v>
      </c>
      <c r="DH196" s="23">
        <f>EXP(-LN(2)/2)*DH195+(1-EXP(-LN(2)/2))/(LN(2)/2)*DB196*DE196*VLOOKUP('Données projet'!$B$13,Paramètres!$A$1:$I$89,3,0)*0.475*44/12</f>
        <v>2.8839273325895769E-24</v>
      </c>
      <c r="DI196" s="24">
        <f t="shared" si="175"/>
        <v>0.22466540896274878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-5.1159076974727213E-13</v>
      </c>
      <c r="O197" s="14">
        <f>N197*VLOOKUP('Données projet'!$B$9,Paramètres!$A$1:$I$89,3,0)*VLOOKUP('Données projet'!$B$9,Paramètres!$A$1:$I$89,5,0)</f>
        <v>-5.3471467253984886E-13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493.70175665335978</v>
      </c>
      <c r="T197" s="62">
        <f t="shared" ref="T197:T203" si="204">$T$3</f>
        <v>325.12357781685949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1.064108801074326E-13</v>
      </c>
      <c r="AK197" s="14">
        <f t="shared" si="164"/>
        <v>1.5870730813698654E-12</v>
      </c>
      <c r="AL197" s="22">
        <f t="shared" si="165"/>
        <v>2.9494845662396269E-12</v>
      </c>
      <c r="AM197" s="62">
        <f t="shared" si="193"/>
        <v>293.33333333333627</v>
      </c>
      <c r="AN197" s="62">
        <f ca="1">AVERAGE(OFFSET($AM$3,0,0,'Données projet'!$E$10+1,1))-AVERAGE(OFFSET($H$3,0,0,'Données projet'!$E$10+1,1))</f>
        <v>284.0976902574692</v>
      </c>
      <c r="AO197" s="62">
        <f t="shared" ref="AO197:AO203" si="205">$AO$3</f>
        <v>190.4880882944471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-8.7434273154940449E-13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428.8489304403459</v>
      </c>
      <c r="BJ197" s="62">
        <f t="shared" ref="BJ197:BJ203" si="206">$BJ$3</f>
        <v>247.01165577562966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144.05409916132993</v>
      </c>
      <c r="CE197" s="62">
        <f t="shared" ref="CE197:CE203" si="207">$CE$3</f>
        <v>409.2784174616832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2.8146933875261775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2.8146933875261775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6.3550942286383367E-14</v>
      </c>
      <c r="CV197" s="14">
        <f t="shared" si="173"/>
        <v>1.0064464192543978E-12</v>
      </c>
      <c r="CW197" s="22">
        <f t="shared" si="174"/>
        <v>1.8635787380168604E-12</v>
      </c>
      <c r="CX197" s="62">
        <f t="shared" si="196"/>
        <v>293.33333333333519</v>
      </c>
      <c r="CY197" s="62">
        <f ca="1">AVERAGE(OFFSET($CX$3,0,0,'Données projet'!$E$13+1,1))-AVERAGE(OFFSET($H$3,0,0,'Données projet'!$E$13+1,1))</f>
        <v>321.13335003345236</v>
      </c>
      <c r="CZ197" s="62">
        <f t="shared" ref="CZ197:CZ203" si="208">$CZ$3</f>
        <v>301.26825075712128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0.21852192154002203</v>
      </c>
      <c r="DH197" s="23">
        <f>EXP(-LN(2)/2)*DH196+(1-EXP(-LN(2)/2))/(LN(2)/2)*DB197*DE197*VLOOKUP('Données projet'!$B$13,Paramètres!$A$1:$I$89,3,0)*0.475*44/12</f>
        <v>2.0392445733233216E-24</v>
      </c>
      <c r="DI197" s="24">
        <f t="shared" si="175"/>
        <v>0.21852192154002203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-5.1159076974727213E-13</v>
      </c>
      <c r="O198" s="14">
        <f>N198*VLOOKUP('Données projet'!$B$9,Paramètres!$A$1:$I$89,3,0)*VLOOKUP('Données projet'!$B$9,Paramètres!$A$1:$I$89,5,0)</f>
        <v>-5.3471467253984886E-13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493.70175665335978</v>
      </c>
      <c r="T198" s="62">
        <f t="shared" si="204"/>
        <v>325.12357781685949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1.064108801074326E-13</v>
      </c>
      <c r="AK198" s="14">
        <f t="shared" si="164"/>
        <v>1.5870730813698654E-12</v>
      </c>
      <c r="AL198" s="22">
        <f t="shared" si="165"/>
        <v>2.9494845662396269E-12</v>
      </c>
      <c r="AM198" s="62">
        <f t="shared" si="193"/>
        <v>293.33333333333627</v>
      </c>
      <c r="AN198" s="62">
        <f ca="1">AVERAGE(OFFSET($AM$3,0,0,'Données projet'!$E$10+1,1))-AVERAGE(OFFSET($H$3,0,0,'Données projet'!$E$10+1,1))</f>
        <v>284.0976902574692</v>
      </c>
      <c r="AO198" s="62">
        <f t="shared" si="205"/>
        <v>190.4880882944471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-8.7434273154940449E-13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428.8489304403459</v>
      </c>
      <c r="BJ198" s="62">
        <f t="shared" si="206"/>
        <v>247.01165577562966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144.05409916132993</v>
      </c>
      <c r="CE198" s="62">
        <f t="shared" si="207"/>
        <v>409.2784174616832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2.7594989669902361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2.7594989669902361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6.3550942286383367E-14</v>
      </c>
      <c r="CV198" s="14">
        <f t="shared" si="173"/>
        <v>1.0064464192543978E-12</v>
      </c>
      <c r="CW198" s="22">
        <f t="shared" si="174"/>
        <v>1.8635787380168604E-12</v>
      </c>
      <c r="CX198" s="62">
        <f t="shared" si="196"/>
        <v>293.33333333333519</v>
      </c>
      <c r="CY198" s="62">
        <f ca="1">AVERAGE(OFFSET($CX$3,0,0,'Données projet'!$E$13+1,1))-AVERAGE(OFFSET($H$3,0,0,'Données projet'!$E$13+1,1))</f>
        <v>321.13335003345236</v>
      </c>
      <c r="CZ198" s="62">
        <f t="shared" si="208"/>
        <v>301.26825075712128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0.21254642810394173</v>
      </c>
      <c r="DH198" s="23">
        <f>EXP(-LN(2)/2)*DH197+(1-EXP(-LN(2)/2))/(LN(2)/2)*DB198*DE198*VLOOKUP('Données projet'!$B$13,Paramètres!$A$1:$I$89,3,0)*0.475*44/12</f>
        <v>1.4419636662947885E-24</v>
      </c>
      <c r="DI198" s="24">
        <f t="shared" si="175"/>
        <v>0.21254642810394173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-5.1159076974727213E-13</v>
      </c>
      <c r="O199" s="14">
        <f>N199*VLOOKUP('Données projet'!$B$9,Paramètres!$A$1:$I$89,3,0)*VLOOKUP('Données projet'!$B$9,Paramètres!$A$1:$I$89,5,0)</f>
        <v>-5.3471467253984886E-13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493.70175665335978</v>
      </c>
      <c r="T199" s="62">
        <f t="shared" si="204"/>
        <v>325.12357781685949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1.064108801074326E-13</v>
      </c>
      <c r="AK199" s="14">
        <f t="shared" si="164"/>
        <v>1.5870730813698654E-12</v>
      </c>
      <c r="AL199" s="22">
        <f t="shared" si="165"/>
        <v>2.9494845662396269E-12</v>
      </c>
      <c r="AM199" s="62">
        <f t="shared" si="193"/>
        <v>293.33333333333627</v>
      </c>
      <c r="AN199" s="62">
        <f ca="1">AVERAGE(OFFSET($AM$3,0,0,'Données projet'!$E$10+1,1))-AVERAGE(OFFSET($H$3,0,0,'Données projet'!$E$10+1,1))</f>
        <v>284.0976902574692</v>
      </c>
      <c r="AO199" s="62">
        <f t="shared" si="205"/>
        <v>190.4880882944471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-8.7434273154940449E-13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428.8489304403459</v>
      </c>
      <c r="BJ199" s="62">
        <f t="shared" si="206"/>
        <v>247.01165577562966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144.05409916132993</v>
      </c>
      <c r="CE199" s="62">
        <f t="shared" si="207"/>
        <v>409.2784174616832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2.7053868753757322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2.7053868753757322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6.3550942286383367E-14</v>
      </c>
      <c r="CV199" s="14">
        <f t="shared" si="173"/>
        <v>1.0064464192543978E-12</v>
      </c>
      <c r="CW199" s="22">
        <f t="shared" si="174"/>
        <v>1.8635787380168604E-12</v>
      </c>
      <c r="CX199" s="62">
        <f t="shared" si="196"/>
        <v>293.33333333333519</v>
      </c>
      <c r="CY199" s="62">
        <f ca="1">AVERAGE(OFFSET($CX$3,0,0,'Données projet'!$E$13+1,1))-AVERAGE(OFFSET($H$3,0,0,'Données projet'!$E$13+1,1))</f>
        <v>321.13335003345236</v>
      </c>
      <c r="CZ199" s="62">
        <f t="shared" si="208"/>
        <v>301.26825075712128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0.20673433485010856</v>
      </c>
      <c r="DH199" s="23">
        <f>EXP(-LN(2)/2)*DH198+(1-EXP(-LN(2)/2))/(LN(2)/2)*DB199*DE199*VLOOKUP('Données projet'!$B$13,Paramètres!$A$1:$I$89,3,0)*0.475*44/12</f>
        <v>1.0196222866616608E-24</v>
      </c>
      <c r="DI199" s="24">
        <f t="shared" si="175"/>
        <v>0.20673433485010856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-5.1159076974727213E-13</v>
      </c>
      <c r="O200" s="14">
        <f>N200*VLOOKUP('Données projet'!$B$9,Paramètres!$A$1:$I$89,3,0)*VLOOKUP('Données projet'!$B$9,Paramètres!$A$1:$I$89,5,0)</f>
        <v>-5.3471467253984886E-13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493.70175665335978</v>
      </c>
      <c r="T200" s="62">
        <f t="shared" si="204"/>
        <v>325.12357781685949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1.064108801074326E-13</v>
      </c>
      <c r="AK200" s="14">
        <f t="shared" si="164"/>
        <v>1.5870730813698654E-12</v>
      </c>
      <c r="AL200" s="22">
        <f t="shared" si="165"/>
        <v>2.9494845662396269E-12</v>
      </c>
      <c r="AM200" s="62">
        <f t="shared" si="193"/>
        <v>293.33333333333627</v>
      </c>
      <c r="AN200" s="62">
        <f ca="1">AVERAGE(OFFSET($AM$3,0,0,'Données projet'!$E$10+1,1))-AVERAGE(OFFSET($H$3,0,0,'Données projet'!$E$10+1,1))</f>
        <v>284.0976902574692</v>
      </c>
      <c r="AO200" s="62">
        <f t="shared" si="205"/>
        <v>190.4880882944471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-8.7434273154940449E-13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428.8489304403459</v>
      </c>
      <c r="BJ200" s="62">
        <f t="shared" si="206"/>
        <v>247.01165577562966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144.05409916132993</v>
      </c>
      <c r="CE200" s="62">
        <f t="shared" si="207"/>
        <v>409.2784174616832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2.6523358888726718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2.6523358888726718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6.3550942286383367E-14</v>
      </c>
      <c r="CV200" s="14">
        <f t="shared" si="173"/>
        <v>1.0064464192543978E-12</v>
      </c>
      <c r="CW200" s="22">
        <f t="shared" si="174"/>
        <v>1.8635787380168604E-12</v>
      </c>
      <c r="CX200" s="62">
        <f t="shared" si="196"/>
        <v>293.33333333333519</v>
      </c>
      <c r="CY200" s="62">
        <f ca="1">AVERAGE(OFFSET($CX$3,0,0,'Données projet'!$E$13+1,1))-AVERAGE(OFFSET($H$3,0,0,'Données projet'!$E$13+1,1))</f>
        <v>321.13335003345236</v>
      </c>
      <c r="CZ200" s="62">
        <f t="shared" si="208"/>
        <v>301.26825075712128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0.20108117359194616</v>
      </c>
      <c r="DH200" s="23">
        <f>EXP(-LN(2)/2)*DH199+(1-EXP(-LN(2)/2))/(LN(2)/2)*DB200*DE200*VLOOKUP('Données projet'!$B$13,Paramètres!$A$1:$I$89,3,0)*0.475*44/12</f>
        <v>7.2098183314739423E-25</v>
      </c>
      <c r="DI200" s="24">
        <f t="shared" si="175"/>
        <v>0.20108117359194616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-5.1159076974727213E-13</v>
      </c>
      <c r="O201" s="14">
        <f>N201*VLOOKUP('Données projet'!$B$9,Paramètres!$A$1:$I$89,3,0)*VLOOKUP('Données projet'!$B$9,Paramètres!$A$1:$I$89,5,0)</f>
        <v>-5.3471467253984886E-13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493.70175665335978</v>
      </c>
      <c r="T201" s="62">
        <f t="shared" si="204"/>
        <v>325.12357781685949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1.064108801074326E-13</v>
      </c>
      <c r="AK201" s="14">
        <f t="shared" si="164"/>
        <v>1.5870730813698654E-12</v>
      </c>
      <c r="AL201" s="22">
        <f t="shared" si="165"/>
        <v>2.9494845662396269E-12</v>
      </c>
      <c r="AM201" s="62">
        <f t="shared" si="193"/>
        <v>293.33333333333627</v>
      </c>
      <c r="AN201" s="62">
        <f ca="1">AVERAGE(OFFSET($AM$3,0,0,'Données projet'!$E$10+1,1))-AVERAGE(OFFSET($H$3,0,0,'Données projet'!$E$10+1,1))</f>
        <v>284.0976902574692</v>
      </c>
      <c r="AO201" s="62">
        <f t="shared" si="205"/>
        <v>190.4880882944471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-8.7434273154940449E-13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428.8489304403459</v>
      </c>
      <c r="BJ201" s="62">
        <f t="shared" si="206"/>
        <v>247.01165577562966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144.05409916132993</v>
      </c>
      <c r="CE201" s="62">
        <f t="shared" si="207"/>
        <v>409.2784174616832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2.6003251998570298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2.6003251998570298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6.3550942286383367E-14</v>
      </c>
      <c r="CV201" s="14">
        <f t="shared" si="173"/>
        <v>1.0064464192543978E-12</v>
      </c>
      <c r="CW201" s="22">
        <f t="shared" si="174"/>
        <v>1.8635787380168604E-12</v>
      </c>
      <c r="CX201" s="62">
        <f t="shared" si="196"/>
        <v>293.33333333333519</v>
      </c>
      <c r="CY201" s="62">
        <f ca="1">AVERAGE(OFFSET($CX$3,0,0,'Données projet'!$E$13+1,1))-AVERAGE(OFFSET($H$3,0,0,'Données projet'!$E$13+1,1))</f>
        <v>321.13335003345236</v>
      </c>
      <c r="CZ201" s="62">
        <f t="shared" si="208"/>
        <v>301.26825075712128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0.19558259832567504</v>
      </c>
      <c r="DH201" s="23">
        <f>EXP(-LN(2)/2)*DH200+(1-EXP(-LN(2)/2))/(LN(2)/2)*DB201*DE201*VLOOKUP('Données projet'!$B$13,Paramètres!$A$1:$I$89,3,0)*0.475*44/12</f>
        <v>5.098111433308304E-25</v>
      </c>
      <c r="DI201" s="24">
        <f t="shared" si="175"/>
        <v>0.19558259832567504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-5.1159076974727213E-13</v>
      </c>
      <c r="O202" s="14">
        <f>N202*VLOOKUP('Données projet'!$B$9,Paramètres!$A$1:$I$89,3,0)*VLOOKUP('Données projet'!$B$9,Paramètres!$A$1:$I$89,5,0)</f>
        <v>-5.3471467253984886E-13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493.70175665335978</v>
      </c>
      <c r="T202" s="62">
        <f t="shared" si="204"/>
        <v>325.12357781685949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1.064108801074326E-13</v>
      </c>
      <c r="AK202" s="14">
        <f t="shared" si="164"/>
        <v>1.5870730813698654E-12</v>
      </c>
      <c r="AL202" s="22">
        <f t="shared" si="165"/>
        <v>2.9494845662396269E-12</v>
      </c>
      <c r="AM202" s="62">
        <f t="shared" si="193"/>
        <v>293.33333333333627</v>
      </c>
      <c r="AN202" s="62">
        <f ca="1">AVERAGE(OFFSET($AM$3,0,0,'Données projet'!$E$10+1,1))-AVERAGE(OFFSET($H$3,0,0,'Données projet'!$E$10+1,1))</f>
        <v>284.0976902574692</v>
      </c>
      <c r="AO202" s="62">
        <f t="shared" si="205"/>
        <v>190.4880882944471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-8.7434273154940449E-13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428.8489304403459</v>
      </c>
      <c r="BJ202" s="62">
        <f t="shared" si="206"/>
        <v>247.01165577562966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144.05409916132993</v>
      </c>
      <c r="CE202" s="62">
        <f t="shared" si="207"/>
        <v>409.2784174616832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2.5493344087295968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2.5493344087295968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6.3550942286383367E-14</v>
      </c>
      <c r="CV202" s="14">
        <f t="shared" si="173"/>
        <v>1.0064464192543978E-12</v>
      </c>
      <c r="CW202" s="22">
        <f t="shared" si="174"/>
        <v>1.8635787380168604E-12</v>
      </c>
      <c r="CX202" s="62">
        <f t="shared" si="196"/>
        <v>293.33333333333519</v>
      </c>
      <c r="CY202" s="62">
        <f ca="1">AVERAGE(OFFSET($CX$3,0,0,'Données projet'!$E$13+1,1))-AVERAGE(OFFSET($H$3,0,0,'Données projet'!$E$13+1,1))</f>
        <v>321.13335003345236</v>
      </c>
      <c r="CZ202" s="62">
        <f t="shared" si="208"/>
        <v>301.26825075712128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0.19023438188921762</v>
      </c>
      <c r="DH202" s="23">
        <f>EXP(-LN(2)/2)*DH201+(1-EXP(-LN(2)/2))/(LN(2)/2)*DB202*DE202*VLOOKUP('Données projet'!$B$13,Paramètres!$A$1:$I$89,3,0)*0.475*44/12</f>
        <v>3.6049091657369712E-25</v>
      </c>
      <c r="DI202" s="24">
        <f t="shared" si="175"/>
        <v>0.19023438188921762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-5.1159076974727213E-13</v>
      </c>
      <c r="O203" s="14">
        <f>N203*VLOOKUP('Données projet'!$B$9,Paramètres!$A$1:$I$89,3,0)*VLOOKUP('Données projet'!$B$9,Paramètres!$A$1:$I$89,5,0)</f>
        <v>-5.3471467253984886E-13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493.70175665335978</v>
      </c>
      <c r="T203" s="62">
        <f t="shared" si="204"/>
        <v>325.12357781685949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1.064108801074326E-13</v>
      </c>
      <c r="AK203" s="14">
        <f t="shared" si="164"/>
        <v>1.5870730813698654E-12</v>
      </c>
      <c r="AL203" s="22">
        <f t="shared" si="165"/>
        <v>2.9494845662396269E-12</v>
      </c>
      <c r="AM203" s="62">
        <f t="shared" si="193"/>
        <v>293.33333333333627</v>
      </c>
      <c r="AN203" s="62">
        <f ca="1">AVERAGE(OFFSET($AM$3,0,0,'Données projet'!$E$10+1,1))-AVERAGE(OFFSET($H$3,0,0,'Données projet'!$E$10+1,1))</f>
        <v>284.0976902574692</v>
      </c>
      <c r="AO203" s="62">
        <f t="shared" si="205"/>
        <v>190.4880882944471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-8.7434273154940449E-13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428.8489304403459</v>
      </c>
      <c r="BJ203" s="62">
        <f t="shared" si="206"/>
        <v>247.01165577562966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144.05409916132993</v>
      </c>
      <c r="CE203" s="62">
        <f t="shared" si="207"/>
        <v>409.2784174616832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2.4993435159148611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2.4993435159148611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6.3550942286383367E-14</v>
      </c>
      <c r="CV203" s="14">
        <f t="shared" si="173"/>
        <v>1.0064464192543978E-12</v>
      </c>
      <c r="CW203" s="22">
        <f t="shared" si="174"/>
        <v>1.8635787380168604E-12</v>
      </c>
      <c r="CX203" s="62">
        <f t="shared" si="196"/>
        <v>293.33333333333519</v>
      </c>
      <c r="CY203" s="62">
        <f ca="1">AVERAGE(OFFSET($CX$3,0,0,'Données projet'!$E$13+1,1))-AVERAGE(OFFSET($H$3,0,0,'Données projet'!$E$13+1,1))</f>
        <v>321.13335003345236</v>
      </c>
      <c r="CZ203" s="62">
        <f t="shared" si="208"/>
        <v>301.26825075712128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0.18503241271246562</v>
      </c>
      <c r="DH203" s="23">
        <f>EXP(-LN(2)/2)*DH202+(1-EXP(-LN(2)/2))/(LN(2)/2)*DB203*DE203*VLOOKUP('Données projet'!$B$13,Paramètres!$A$1:$I$89,3,0)*0.475*44/12</f>
        <v>2.549055716654152E-25</v>
      </c>
      <c r="DI203" s="24">
        <f t="shared" si="175"/>
        <v>0.18503241271246562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1.2548684989282006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1.1810516433311786</v>
      </c>
      <c r="BA205" s="88">
        <f>EXP(LN('Données projet'!B88)/'Données projet'!A88)</f>
        <v>1.2054868146447177</v>
      </c>
      <c r="BV205" s="88">
        <f>EXP(LN('Données projet'!B114)/'Données projet'!A114)</f>
        <v>1.5154905741783802</v>
      </c>
      <c r="CQ205" s="88">
        <f>EXP(LN('Données projet'!B140)/'Données projet'!A140)</f>
        <v>1.2805631431945952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F15" sqref="F1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chevelu</v>
      </c>
      <c r="B6" s="155">
        <f>'Données projet'!D9</f>
        <v>0.38445000000000001</v>
      </c>
      <c r="C6" s="156">
        <f ca="1">IF(OR('Données projet'!B9="",'Données projet'!C9="",'Données projet'!C9=0%),0,Calculateur!S3)</f>
        <v>493.70175665335978</v>
      </c>
      <c r="D6" s="156">
        <f>IF(OR('Données projet'!B9="",'Données projet'!C9="",'Données projet'!C9=0%),0,Calculateur!T3)</f>
        <v>325.12357781685949</v>
      </c>
      <c r="E6" s="156">
        <f ca="1">MIN(C6,D6)</f>
        <v>325.12357781685949</v>
      </c>
      <c r="F6" s="156">
        <f ca="1">E6*B6</f>
        <v>124.99375949169163</v>
      </c>
      <c r="G6" s="156">
        <f ca="1">F6*(100%-'Données projet'!$C$24)*(100%-'Données projet'!$C$25)*(100%-'Données projet'!$C$26)*(100%-'Données projet'!$C$27)</f>
        <v>106.86966436539635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2.7108653846153845</v>
      </c>
      <c r="K6" s="160">
        <f>J6*(100%-'Données projet'!$C$24)*(100%-'Données projet'!$C$25)*(100%-'Données projet'!$C$26)*(100%-'Données projet'!$C$27)</f>
        <v>2.3177899038461538</v>
      </c>
      <c r="L6" s="161">
        <f ca="1">G6+I6+K6</f>
        <v>109.18745426924249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0.32834999999999998</v>
      </c>
      <c r="C7" s="156">
        <f ca="1">IF(OR('Données projet'!B10="",'Données projet'!C10="",'Données projet'!C10=0%),0,Calculateur!AN3)</f>
        <v>284.0976902574692</v>
      </c>
      <c r="D7" s="156">
        <f>IF(OR('Données projet'!B10="",'Données projet'!C10="",'Données projet'!C10=0%),0,Calculateur!AO3)</f>
        <v>190.4880882944471</v>
      </c>
      <c r="E7" s="156">
        <f t="shared" ref="E7:E15" ca="1" si="0">MIN(C7,D7)</f>
        <v>190.4880882944471</v>
      </c>
      <c r="F7" s="156">
        <f t="shared" ref="F7:F15" ca="1" si="1">E7*B7</f>
        <v>62.546763791481702</v>
      </c>
      <c r="G7" s="156">
        <f ca="1">F7*(100%-'Données projet'!$C$24)*(100%-'Données projet'!$C$25)*(100%-'Données projet'!$C$26)*(100%-'Données projet'!$C$27)</f>
        <v>53.477483041716852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53.477483041716852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sessile</v>
      </c>
      <c r="B8" s="163">
        <f>'Données projet'!D11</f>
        <v>0.18809999999999999</v>
      </c>
      <c r="C8" s="156">
        <f ca="1">IF(OR('Données projet'!B11="",'Données projet'!C11="",'Données projet'!C11=0%),0,Calculateur!BI3)</f>
        <v>428.8489304403459</v>
      </c>
      <c r="D8" s="156">
        <f>IF(OR('Données projet'!B11="",'Données projet'!C11="",'Données projet'!C11=0%),0,Calculateur!BJ3)</f>
        <v>247.01165577562966</v>
      </c>
      <c r="E8" s="156">
        <f t="shared" ca="1" si="0"/>
        <v>247.01165577562966</v>
      </c>
      <c r="F8" s="156">
        <f t="shared" ca="1" si="1"/>
        <v>46.462892451395938</v>
      </c>
      <c r="G8" s="156">
        <f ca="1">F8*(100%-'Données projet'!$C$24)*(100%-'Données projet'!$C$25)*(100%-'Données projet'!$C$26)*(100%-'Données projet'!$C$27)</f>
        <v>39.725773045943527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1.3637249999999999</v>
      </c>
      <c r="K8" s="160">
        <f>J8*(100%-'Données projet'!$C$24)*(100%-'Données projet'!$C$25)*(100%-'Données projet'!$C$26)*(100%-'Données projet'!$C$27)</f>
        <v>1.1659848749999997</v>
      </c>
      <c r="L8" s="161">
        <f t="shared" ca="1" si="2"/>
        <v>40.891757920943526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Peuplier Soligo</v>
      </c>
      <c r="B9" s="163">
        <f>'Données projet'!D12</f>
        <v>0.67484999999999995</v>
      </c>
      <c r="C9" s="156">
        <f ca="1">IF(OR('Données projet'!B12="",'Données projet'!C12="",'Données projet'!C12=0%),0,Calculateur!CD3)</f>
        <v>144.05409916132993</v>
      </c>
      <c r="D9" s="156">
        <f>IF(OR('Données projet'!B12="",'Données projet'!C12="",'Données projet'!C12=0%),0,Calculateur!CE3)</f>
        <v>409.2784174616832</v>
      </c>
      <c r="E9" s="156">
        <f t="shared" ca="1" si="0"/>
        <v>144.05409916132993</v>
      </c>
      <c r="F9" s="156">
        <f t="shared" ca="1" si="1"/>
        <v>97.214908819023492</v>
      </c>
      <c r="G9" s="156">
        <f ca="1">F9*(100%-'Données projet'!$C$24)*(100%-'Données projet'!$C$25)*(100%-'Données projet'!$C$26)*(100%-'Données projet'!$C$27)</f>
        <v>83.118747040265092</v>
      </c>
      <c r="H9" s="164">
        <f>IF(OR('Données projet'!B12="",'Données projet'!C12="",'Données projet'!C12=0%),0,AVERAGE(Calculateur!$CN$3:$CN$33)*B9)</f>
        <v>23.150339638182615</v>
      </c>
      <c r="I9" s="158">
        <f>H9*(100%-'Données projet'!$C$24)*(100%-'Données projet'!$C$25)*(100%-'Données projet'!$C$26)*(100%-'Données projet'!$C$27)</f>
        <v>19.793540390646132</v>
      </c>
      <c r="J9" s="159">
        <f>IF(OR('Données projet'!B12="",'Données projet'!C12="",'Données projet'!C12=0%),0,SUM(Calculateur!$CG$3:$CG$33)*VLOOKUP('Données projet'!$B$12,Paramètres!$A$1:$I$89,9,0)*B9)</f>
        <v>219.78919709999997</v>
      </c>
      <c r="K9" s="160">
        <f>J9*(100%-'Données projet'!$C$24)*(100%-'Données projet'!$C$25)*(100%-'Données projet'!$C$26)*(100%-'Données projet'!$C$27)</f>
        <v>187.91976352049997</v>
      </c>
      <c r="L9" s="161">
        <f t="shared" ca="1" si="2"/>
        <v>290.83205095141119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Douglas</v>
      </c>
      <c r="B10" s="163">
        <f>'Données projet'!D13</f>
        <v>7.4249999999999997E-2</v>
      </c>
      <c r="C10" s="156">
        <f ca="1">IF(OR('Données projet'!B13="",'Données projet'!C13="",'Données projet'!C13=0%),0,Calculateur!CY3)</f>
        <v>321.13335003345236</v>
      </c>
      <c r="D10" s="156">
        <f>IF(OR('Données projet'!B13="",'Données projet'!C13="",'Données projet'!C13=0%),0,Calculateur!CZ3)</f>
        <v>301.26825075712128</v>
      </c>
      <c r="E10" s="156">
        <f t="shared" ca="1" si="0"/>
        <v>301.26825075712128</v>
      </c>
      <c r="F10" s="156">
        <f t="shared" ca="1" si="1"/>
        <v>22.369167618716254</v>
      </c>
      <c r="G10" s="156">
        <f ca="1">F10*(100%-'Données projet'!$C$24)*(100%-'Données projet'!$C$25)*(100%-'Données projet'!$C$26)*(100%-'Données projet'!$C$27)</f>
        <v>19.125638314002394</v>
      </c>
      <c r="H10" s="164">
        <f>IF(OR('Données projet'!B13="",'Données projet'!C13="",'Données projet'!C13=0%),0,AVERAGE(Calculateur!$DI$3:$DI$33)*B10)</f>
        <v>0.59290837249240036</v>
      </c>
      <c r="I10" s="158">
        <f>H10*(100%-'Données projet'!$C$24)*(100%-'Données projet'!$C$25)*(100%-'Données projet'!$C$26)*(100%-'Données projet'!$C$27)</f>
        <v>0.50693665848100233</v>
      </c>
      <c r="J10" s="159">
        <f>IF(OR('Données projet'!B13="",'Données projet'!C13="",'Données projet'!C13=0%),0,SUM(Calculateur!$DB$3:$DB$33)*VLOOKUP('Données projet'!$B$13,Paramètres!$A$1:$I$89,9,0)*B10)</f>
        <v>3.770146557692307</v>
      </c>
      <c r="K10" s="160">
        <f>J10*(100%-'Données projet'!$C$24)*(100%-'Données projet'!$C$25)*(100%-'Données projet'!$C$26)*(100%-'Données projet'!$C$27)</f>
        <v>3.2234753068269226</v>
      </c>
      <c r="L10" s="161">
        <f t="shared" ca="1" si="2"/>
        <v>22.85605027931032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353.587492172309</v>
      </c>
      <c r="G16" s="175">
        <f t="shared" ca="1" si="3"/>
        <v>302.3173058073242</v>
      </c>
      <c r="H16" s="176">
        <f t="shared" si="3"/>
        <v>23.743248010675014</v>
      </c>
      <c r="I16" s="176">
        <f t="shared" si="3"/>
        <v>20.300477049127135</v>
      </c>
      <c r="J16" s="177">
        <f t="shared" si="3"/>
        <v>227.63393404230766</v>
      </c>
      <c r="K16" s="177">
        <f t="shared" si="3"/>
        <v>194.62701360617302</v>
      </c>
      <c r="L16" s="178">
        <f t="shared" ca="1" si="3"/>
        <v>517.24479646262444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chevelu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Peuplier Soligo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Douglas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" zoomScale="70" zoomScaleNormal="70" workbookViewId="0">
      <selection activeCell="H146" sqref="H14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chevelu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502.22794283877084</v>
      </c>
      <c r="U10" s="190">
        <f>'Données projet'!D9</f>
        <v>0.38445000000000001</v>
      </c>
      <c r="V10" s="189">
        <f>U10*T10</f>
        <v>193.08153262436545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803.60553547156042</v>
      </c>
      <c r="U11" s="190">
        <f>'Données projet'!D10</f>
        <v>0.32834999999999998</v>
      </c>
      <c r="V11" s="189">
        <f t="shared" ref="V11" si="0">U11*T11</f>
        <v>263.86387757208684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795.9366756344125</v>
      </c>
      <c r="U12" s="190">
        <f>'Données projet'!D11</f>
        <v>0.18809999999999999</v>
      </c>
      <c r="V12" s="189">
        <f t="shared" ref="V12:V19" si="1">U12*T12</f>
        <v>149.71568868683298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Soligo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7158.7738314719918</v>
      </c>
      <c r="U13" s="190">
        <f>'Données projet'!D12</f>
        <v>0.67484999999999995</v>
      </c>
      <c r="V13" s="189">
        <f t="shared" si="1"/>
        <v>4831.0985201688736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chevelu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Douglas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4571.4729491830803</v>
      </c>
      <c r="U14" s="190">
        <f>'Données projet'!D13</f>
        <v>7.4249999999999997E-2</v>
      </c>
      <c r="V14" s="189">
        <f t="shared" si="1"/>
        <v>339.43186647684371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18798.129999999997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15</v>
      </c>
      <c r="B23" s="193">
        <f>'Données projet'!D36</f>
        <v>0</v>
      </c>
      <c r="C23" s="204">
        <v>0</v>
      </c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-25239.723014470994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0</v>
      </c>
      <c r="C24" s="204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0</v>
      </c>
      <c r="C25" s="204">
        <v>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-25239.723014470994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28.205128205128204</v>
      </c>
      <c r="C26" s="206">
        <v>10</v>
      </c>
      <c r="D26" s="194">
        <f t="shared" si="2"/>
        <v>282.05128205128204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35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40</v>
      </c>
      <c r="B28" s="193">
        <f>'Données projet'!D41</f>
        <v>22.435897435897434</v>
      </c>
      <c r="C28" s="206">
        <v>15</v>
      </c>
      <c r="D28" s="194">
        <f t="shared" si="2"/>
        <v>336.53846153846149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45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50</v>
      </c>
      <c r="B30" s="193">
        <f>'Données projet'!D43</f>
        <v>24.358974358974358</v>
      </c>
      <c r="C30" s="206">
        <v>20</v>
      </c>
      <c r="D30" s="194">
        <f t="shared" si="2"/>
        <v>487.17948717948718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55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60</v>
      </c>
      <c r="B32" s="193">
        <f>'Données projet'!D45</f>
        <v>24.358974358974358</v>
      </c>
      <c r="C32" s="206">
        <v>30</v>
      </c>
      <c r="D32" s="194">
        <f t="shared" si="2"/>
        <v>730.76923076923072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65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70</v>
      </c>
      <c r="B34" s="193">
        <f>'Données projet'!D47</f>
        <v>23.076923076923077</v>
      </c>
      <c r="C34" s="206">
        <v>40</v>
      </c>
      <c r="D34" s="194">
        <f t="shared" si="2"/>
        <v>923.07692307692309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75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80</v>
      </c>
      <c r="B36" s="193">
        <f>'Données projet'!D49</f>
        <v>22.435897435897434</v>
      </c>
      <c r="C36" s="206">
        <v>55</v>
      </c>
      <c r="D36" s="194">
        <f t="shared" si="2"/>
        <v>1233.9743589743589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85</v>
      </c>
      <c r="B37" s="193">
        <f>'Données projet'!D50</f>
        <v>0</v>
      </c>
      <c r="C37" s="206"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90</v>
      </c>
      <c r="B38" s="193">
        <f>'Données projet'!D51</f>
        <v>21.153846153846153</v>
      </c>
      <c r="C38" s="204">
        <v>60</v>
      </c>
      <c r="D38" s="194">
        <f t="shared" si="2"/>
        <v>1269.2307692307693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20.512820512820511</v>
      </c>
      <c r="C39" s="204">
        <v>70</v>
      </c>
      <c r="D39" s="194">
        <f t="shared" si="2"/>
        <v>1435.8974358974358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110</v>
      </c>
      <c r="B40" s="193">
        <f>'Données projet'!D53</f>
        <v>19.23076923076923</v>
      </c>
      <c r="C40" s="204">
        <v>80</v>
      </c>
      <c r="D40" s="194">
        <f t="shared" si="2"/>
        <v>1538.4615384615383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120</v>
      </c>
      <c r="B41" s="193">
        <f>'Données projet'!D54</f>
        <v>17.948717948717949</v>
      </c>
      <c r="C41" s="204">
        <v>90</v>
      </c>
      <c r="D41" s="194">
        <f t="shared" si="2"/>
        <v>1615.3846153846155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130</v>
      </c>
      <c r="B42" s="193">
        <f>'Données projet'!D55</f>
        <v>339.10256410256409</v>
      </c>
      <c r="C42" s="204">
        <v>110</v>
      </c>
      <c r="D42" s="194">
        <f t="shared" si="2"/>
        <v>37301.282051282047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51</v>
      </c>
      <c r="B55" s="193">
        <f>'Données projet'!D63</f>
        <v>170.16153846153847</v>
      </c>
      <c r="C55" s="206">
        <v>30</v>
      </c>
      <c r="D55" s="191">
        <f t="shared" ref="D55:D73" si="4">B55*C55</f>
        <v>5104.8461538461543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61</v>
      </c>
      <c r="B56" s="193">
        <f>'Données projet'!D64</f>
        <v>94.76153846153845</v>
      </c>
      <c r="C56" s="206">
        <v>40</v>
      </c>
      <c r="D56" s="191">
        <f t="shared" si="4"/>
        <v>3790.4615384615381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73</v>
      </c>
      <c r="B57" s="193">
        <f>'Données projet'!D65</f>
        <v>93.584615384615375</v>
      </c>
      <c r="C57" s="206">
        <v>50</v>
      </c>
      <c r="D57" s="191">
        <f t="shared" si="4"/>
        <v>4679.2307692307686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85</v>
      </c>
      <c r="B58" s="193">
        <f>'Données projet'!D66</f>
        <v>85.207692307692298</v>
      </c>
      <c r="C58" s="206">
        <v>55</v>
      </c>
      <c r="D58" s="191">
        <f t="shared" si="4"/>
        <v>4686.4230769230762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97</v>
      </c>
      <c r="B59" s="193">
        <f>'Données projet'!D67</f>
        <v>79.669230769230765</v>
      </c>
      <c r="C59" s="206">
        <v>60</v>
      </c>
      <c r="D59" s="191">
        <f t="shared" si="4"/>
        <v>4780.1538461538457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109</v>
      </c>
      <c r="B60" s="193">
        <f>'Données projet'!D68</f>
        <v>80.653846153846146</v>
      </c>
      <c r="C60" s="206">
        <v>65</v>
      </c>
      <c r="D60" s="191">
        <f t="shared" si="4"/>
        <v>5242.4999999999991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121</v>
      </c>
      <c r="B61" s="193">
        <f>'Données projet'!D69</f>
        <v>207.07692307692307</v>
      </c>
      <c r="C61" s="206">
        <v>70</v>
      </c>
      <c r="D61" s="191">
        <f t="shared" si="4"/>
        <v>14495.384615384615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131</v>
      </c>
      <c r="B62" s="193">
        <f>'Données projet'!D70</f>
        <v>259.61538461538458</v>
      </c>
      <c r="C62" s="206">
        <v>80</v>
      </c>
      <c r="D62" s="191">
        <f t="shared" si="4"/>
        <v>20769.230769230766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6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6">
        <v>0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6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6">
        <v>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6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6">
        <v>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6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6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6">
        <v>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6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6">
        <v>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0</v>
      </c>
      <c r="C86" s="206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29</v>
      </c>
      <c r="C87" s="206">
        <v>10</v>
      </c>
      <c r="D87" s="191">
        <f t="shared" si="6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0</v>
      </c>
      <c r="C88" s="206">
        <v>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42</v>
      </c>
      <c r="C89" s="206">
        <v>10</v>
      </c>
      <c r="D89" s="191">
        <f t="shared" si="6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0</v>
      </c>
      <c r="C90" s="206">
        <v>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42</v>
      </c>
      <c r="C91" s="206">
        <v>20</v>
      </c>
      <c r="D91" s="191">
        <f t="shared" si="6"/>
        <v>840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0</v>
      </c>
      <c r="C92" s="206">
        <v>0</v>
      </c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42</v>
      </c>
      <c r="C93" s="206">
        <v>30</v>
      </c>
      <c r="D93" s="191">
        <f t="shared" si="6"/>
        <v>1260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0</v>
      </c>
      <c r="C94" s="206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42</v>
      </c>
      <c r="C95" s="206">
        <v>40</v>
      </c>
      <c r="D95" s="191">
        <f t="shared" si="6"/>
        <v>1680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0</v>
      </c>
      <c r="C96" s="206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42</v>
      </c>
      <c r="C97" s="206">
        <v>70</v>
      </c>
      <c r="D97" s="191">
        <f t="shared" si="6"/>
        <v>2940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90</v>
      </c>
      <c r="B98" s="193">
        <f>'Données projet'!D101</f>
        <v>42</v>
      </c>
      <c r="C98" s="206">
        <v>100</v>
      </c>
      <c r="D98" s="191">
        <f t="shared" si="6"/>
        <v>4200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100</v>
      </c>
      <c r="B99" s="193">
        <f>'Données projet'!D102</f>
        <v>42</v>
      </c>
      <c r="C99" s="206">
        <v>110</v>
      </c>
      <c r="D99" s="191">
        <f t="shared" si="6"/>
        <v>4620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110</v>
      </c>
      <c r="B100" s="193">
        <f>'Données projet'!D103</f>
        <v>39</v>
      </c>
      <c r="C100" s="206">
        <v>120</v>
      </c>
      <c r="D100" s="191">
        <f t="shared" si="6"/>
        <v>4680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120</v>
      </c>
      <c r="B101" s="193">
        <f>'Données projet'!D104</f>
        <v>35</v>
      </c>
      <c r="C101" s="206">
        <v>130</v>
      </c>
      <c r="D101" s="191">
        <f t="shared" si="6"/>
        <v>4550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130</v>
      </c>
      <c r="B102" s="193">
        <f>'Données projet'!D105</f>
        <v>31</v>
      </c>
      <c r="C102" s="206">
        <v>140</v>
      </c>
      <c r="D102" s="191">
        <f t="shared" si="6"/>
        <v>4340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140</v>
      </c>
      <c r="B103" s="193">
        <f>'Données projet'!D106</f>
        <v>27</v>
      </c>
      <c r="C103" s="206">
        <v>160</v>
      </c>
      <c r="D103" s="191">
        <f t="shared" si="6"/>
        <v>4320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150</v>
      </c>
      <c r="B104" s="193">
        <f>'Données projet'!D107</f>
        <v>293</v>
      </c>
      <c r="C104" s="206">
        <v>200</v>
      </c>
      <c r="D104" s="191">
        <f t="shared" si="6"/>
        <v>58600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Peuplier Soligo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7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8</v>
      </c>
      <c r="B117" s="193">
        <f>'Données projet'!D115</f>
        <v>0</v>
      </c>
      <c r="C117" s="204"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9</v>
      </c>
      <c r="B118" s="193">
        <f>'Données projet'!D116</f>
        <v>0</v>
      </c>
      <c r="C118" s="204">
        <v>0</v>
      </c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10</v>
      </c>
      <c r="B119" s="193">
        <f>'Données projet'!D117</f>
        <v>0</v>
      </c>
      <c r="C119" s="204">
        <v>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11</v>
      </c>
      <c r="B120" s="193">
        <f>'Données projet'!D118</f>
        <v>0</v>
      </c>
      <c r="C120" s="204">
        <v>0</v>
      </c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12</v>
      </c>
      <c r="B121" s="193">
        <f>'Données projet'!D119</f>
        <v>0</v>
      </c>
      <c r="C121" s="204">
        <v>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13</v>
      </c>
      <c r="B122" s="193">
        <f>'Données projet'!D120</f>
        <v>0</v>
      </c>
      <c r="C122" s="204">
        <v>0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14</v>
      </c>
      <c r="B123" s="193">
        <f>'Données projet'!D121</f>
        <v>0</v>
      </c>
      <c r="C123" s="204">
        <v>0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15</v>
      </c>
      <c r="B124" s="193">
        <f>'Données projet'!D122</f>
        <v>0</v>
      </c>
      <c r="C124" s="204">
        <v>0</v>
      </c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16</v>
      </c>
      <c r="B125" s="193">
        <f>'Données projet'!D123</f>
        <v>0</v>
      </c>
      <c r="C125" s="204">
        <v>0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17</v>
      </c>
      <c r="B126" s="193">
        <f>'Données projet'!D124</f>
        <v>0</v>
      </c>
      <c r="C126" s="204">
        <v>0</v>
      </c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18</v>
      </c>
      <c r="B127" s="193">
        <f>'Données projet'!D125</f>
        <v>316.2</v>
      </c>
      <c r="C127" s="204">
        <v>50</v>
      </c>
      <c r="D127" s="191">
        <f t="shared" si="8"/>
        <v>15810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>
        <v>0</v>
      </c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>
        <v>0</v>
      </c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>
        <v>0</v>
      </c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>
        <v>0</v>
      </c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>
        <v>0</v>
      </c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>
        <v>0</v>
      </c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>
        <v>0</v>
      </c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>
        <v>0</v>
      </c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Douglas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21</v>
      </c>
      <c r="B147" s="187">
        <f>'Données projet'!D140</f>
        <v>61.169230769230765</v>
      </c>
      <c r="C147" s="204">
        <v>15</v>
      </c>
      <c r="D147" s="194">
        <f>B147*C147</f>
        <v>917.53846153846143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28</v>
      </c>
      <c r="B148" s="187">
        <f>'Données projet'!D141</f>
        <v>56.91538461538461</v>
      </c>
      <c r="C148" s="204">
        <v>20</v>
      </c>
      <c r="D148" s="194">
        <f t="shared" ref="D148:D166" si="10">B148*C148</f>
        <v>1138.3076923076922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7">
        <f>'Données projet'!D142</f>
        <v>70.5</v>
      </c>
      <c r="C149" s="204">
        <v>30</v>
      </c>
      <c r="D149" s="194">
        <f t="shared" si="10"/>
        <v>2115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42</v>
      </c>
      <c r="B150" s="187">
        <f>'Données projet'!D143</f>
        <v>80.669230769230765</v>
      </c>
      <c r="C150" s="204">
        <v>35</v>
      </c>
      <c r="D150" s="194">
        <f t="shared" si="10"/>
        <v>2823.4230769230767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49</v>
      </c>
      <c r="B151" s="187">
        <f>'Données projet'!D144</f>
        <v>90.453846153846158</v>
      </c>
      <c r="C151" s="204">
        <v>40</v>
      </c>
      <c r="D151" s="194">
        <f t="shared" si="10"/>
        <v>3618.1538461538462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56</v>
      </c>
      <c r="B152" s="187">
        <f>'Données projet'!D145</f>
        <v>75.869230769230768</v>
      </c>
      <c r="C152" s="204">
        <v>50</v>
      </c>
      <c r="D152" s="194">
        <f t="shared" si="10"/>
        <v>3793.4615384615386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63</v>
      </c>
      <c r="B153" s="187">
        <f>'Données projet'!D146</f>
        <v>79.723076923076917</v>
      </c>
      <c r="C153" s="204">
        <v>60</v>
      </c>
      <c r="D153" s="194">
        <f t="shared" si="10"/>
        <v>4783.3846153846152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70</v>
      </c>
      <c r="B154" s="187">
        <f>'Données projet'!D147</f>
        <v>469.06923076923073</v>
      </c>
      <c r="C154" s="204">
        <v>90</v>
      </c>
      <c r="D154" s="194">
        <f t="shared" si="10"/>
        <v>42216.230769230766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6">
        <v>0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6">
        <v>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6">
        <v>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6">
        <v>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6">
        <v>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6">
        <v>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6">
        <v>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6">
        <v>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6">
        <v>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6">
        <v>0</v>
      </c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6">
        <v>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6">
        <v>0</v>
      </c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2025-09-12T12:53:30Z</dcterms:modified>
</cp:coreProperties>
</file>