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ACAUNE (81) - GF de Puech Del Mort\Dossier déposé le 17 03 2025\"/>
    </mc:Choice>
  </mc:AlternateContent>
  <xr:revisionPtr revIDLastSave="0" documentId="13_ncr:1_{5D92DAFA-53F4-4BD0-9077-00F556D81077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AN38" i="2" l="1"/>
  <c r="AN23" i="2"/>
  <c r="AN3" i="2"/>
  <c r="C7" i="4" s="1"/>
  <c r="E7" i="4" s="1"/>
  <c r="F7" i="4" s="1"/>
  <c r="G7" i="4" s="1"/>
  <c r="L7" i="4" s="1"/>
  <c r="M7" i="4" s="1"/>
  <c r="AN73" i="2"/>
  <c r="AN163" i="2"/>
  <c r="AN79" i="2"/>
  <c r="AN134" i="2"/>
  <c r="AN192" i="2"/>
  <c r="AN185" i="2"/>
  <c r="AN94" i="2"/>
  <c r="AN45" i="2"/>
  <c r="AN109" i="2"/>
  <c r="AN187" i="2"/>
  <c r="AN32" i="2"/>
  <c r="AN157" i="2"/>
  <c r="AN68" i="2"/>
  <c r="AN167" i="2"/>
  <c r="AN176" i="2"/>
  <c r="AN178" i="2"/>
  <c r="AN191" i="2"/>
  <c r="AN175" i="2"/>
  <c r="AN12" i="2"/>
  <c r="AN7" i="2"/>
  <c r="AN72" i="2"/>
  <c r="AN180" i="2"/>
  <c r="AN83" i="2"/>
  <c r="AN67" i="2"/>
  <c r="AN95" i="2"/>
  <c r="AN151" i="2"/>
  <c r="AN152" i="2"/>
  <c r="AN118" i="2"/>
  <c r="AN11" i="2"/>
  <c r="AN182" i="2"/>
  <c r="AN172" i="2"/>
  <c r="AN162" i="2"/>
  <c r="AN27" i="2"/>
  <c r="AN141" i="2"/>
  <c r="AN80" i="2"/>
  <c r="AN154" i="2"/>
  <c r="AN26" i="2"/>
  <c r="AN135" i="2"/>
  <c r="AN21" i="2"/>
  <c r="AN198" i="2"/>
  <c r="AN40" i="2"/>
  <c r="AN30" i="2"/>
  <c r="AN76" i="2"/>
  <c r="AN137" i="2"/>
  <c r="AN190" i="2"/>
  <c r="AN133" i="2"/>
  <c r="AN90" i="2"/>
  <c r="AN145" i="2"/>
  <c r="AN77" i="2"/>
  <c r="AN52" i="2"/>
  <c r="AN101" i="2"/>
  <c r="AN166" i="2"/>
  <c r="AN125" i="2"/>
  <c r="AN69" i="2"/>
  <c r="AN49" i="2"/>
  <c r="AN155" i="2"/>
  <c r="AN195" i="2"/>
  <c r="AN124" i="2"/>
  <c r="AN74" i="2"/>
  <c r="AN65" i="2"/>
  <c r="AN136" i="2"/>
  <c r="AN15" i="2"/>
  <c r="AN171" i="2"/>
  <c r="AN14" i="2"/>
  <c r="AN88" i="2"/>
  <c r="AN59" i="2"/>
  <c r="AN56" i="2"/>
  <c r="AN24" i="2"/>
  <c r="AN189" i="2"/>
  <c r="AN98" i="2"/>
  <c r="AN111" i="2"/>
  <c r="AN169" i="2"/>
  <c r="AN188" i="2"/>
  <c r="AN161" i="2"/>
  <c r="AN37" i="2"/>
  <c r="AN114" i="2"/>
  <c r="AN47" i="2"/>
  <c r="AN132" i="2"/>
  <c r="AN199" i="2"/>
  <c r="AN193" i="2"/>
  <c r="AN22" i="2"/>
  <c r="AN144" i="2"/>
  <c r="AN64" i="2"/>
  <c r="AN43" i="2"/>
  <c r="AN97" i="2"/>
  <c r="AN53" i="2"/>
  <c r="AN115" i="2"/>
  <c r="AN84" i="2"/>
  <c r="AN6" i="2"/>
  <c r="AN203" i="2"/>
  <c r="AN60" i="2"/>
  <c r="AN25" i="2"/>
  <c r="AN87" i="2"/>
  <c r="AN123" i="2"/>
  <c r="AN104" i="2"/>
  <c r="AN127" i="2"/>
  <c r="AN173" i="2"/>
  <c r="AN119" i="2"/>
  <c r="AN201" i="2"/>
  <c r="AN126" i="2"/>
  <c r="AN61" i="2"/>
  <c r="AN159" i="2"/>
  <c r="AN113" i="2"/>
  <c r="AN17" i="2"/>
  <c r="AN5" i="2"/>
  <c r="AN120" i="2"/>
  <c r="AN160" i="2"/>
  <c r="AN85" i="2"/>
  <c r="AN100" i="2"/>
  <c r="AN117" i="2"/>
  <c r="AN194" i="2"/>
  <c r="AN158" i="2"/>
  <c r="AN58" i="2"/>
  <c r="AN91" i="2"/>
  <c r="AN197" i="2"/>
  <c r="AN55" i="2"/>
  <c r="AN20" i="2"/>
  <c r="AN110" i="2"/>
  <c r="AN148" i="2"/>
  <c r="AN66" i="2"/>
  <c r="AN183" i="2"/>
  <c r="AN19" i="2"/>
  <c r="AN149" i="2"/>
  <c r="AN130" i="2"/>
  <c r="AN168" i="2"/>
  <c r="AN96" i="2"/>
  <c r="AN122" i="2"/>
  <c r="AN108" i="2"/>
  <c r="AN116" i="2"/>
  <c r="AN50" i="2"/>
  <c r="AN139" i="2"/>
  <c r="AN31" i="2"/>
  <c r="AN140" i="2"/>
  <c r="AN92" i="2"/>
  <c r="AN112" i="2"/>
  <c r="AN18" i="2"/>
  <c r="AN9" i="2"/>
  <c r="AN165" i="2"/>
  <c r="AN78" i="2"/>
  <c r="AN147" i="2"/>
  <c r="AN54" i="2"/>
  <c r="AN129" i="2"/>
  <c r="AN138" i="2"/>
  <c r="AN106" i="2"/>
  <c r="AN46" i="2"/>
  <c r="AN177" i="2"/>
  <c r="AN128" i="2"/>
  <c r="AN29" i="2"/>
  <c r="AN202" i="2"/>
  <c r="AN33" i="2"/>
  <c r="AN13" i="2"/>
  <c r="AN186" i="2"/>
  <c r="AN164" i="2"/>
  <c r="AN179" i="2"/>
  <c r="AN184" i="2"/>
  <c r="AN146" i="2"/>
  <c r="AN75" i="2"/>
  <c r="AN16" i="2"/>
  <c r="AN51" i="2"/>
  <c r="AN71" i="2"/>
  <c r="AN103" i="2"/>
  <c r="AN57" i="2"/>
  <c r="AN28" i="2"/>
  <c r="AN131" i="2"/>
  <c r="AN36" i="2"/>
  <c r="AN41" i="2"/>
  <c r="AN170" i="2"/>
  <c r="AN8" i="2"/>
  <c r="AN181" i="2"/>
  <c r="AN63" i="2"/>
  <c r="AN42" i="2"/>
  <c r="AN34" i="2"/>
  <c r="AN99" i="2"/>
  <c r="AN153" i="2"/>
  <c r="AN102" i="2"/>
  <c r="AN44" i="2"/>
  <c r="AN105" i="2"/>
  <c r="AN107" i="2"/>
  <c r="AN121" i="2"/>
  <c r="AN86" i="2"/>
  <c r="AN70" i="2"/>
  <c r="AN89" i="2"/>
  <c r="AN142" i="2"/>
  <c r="AN200" i="2"/>
  <c r="AN150" i="2"/>
  <c r="AN82" i="2"/>
  <c r="AN143" i="2"/>
  <c r="AN62" i="2"/>
  <c r="AN48" i="2"/>
  <c r="AN174" i="2"/>
  <c r="AN39" i="2"/>
  <c r="AN196" i="2"/>
  <c r="AN93" i="2"/>
  <c r="AN156" i="2"/>
  <c r="AN35" i="2"/>
  <c r="AN4" i="2"/>
  <c r="AN81" i="2"/>
  <c r="AN10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<sst xmlns="http://schemas.openxmlformats.org/spreadsheetml/2006/main" count="1168" uniqueCount="324">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</sst>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1.4510830455063717</c:v>
                </c:pt>
                <c:pt idx="2">
                  <c:v>1.7184301528794064</c:v>
                </c:pt>
                <c:pt idx="3">
                  <c:v>2.0352204266630141</c:v>
                </c:pt>
                <c:pt idx="4">
                  <c:v>2.4106307115433077</c:v>
                </c:pt>
                <c:pt idx="5">
                  <c:v>2.8555468445814327</c:v>
                </c:pt>
                <c:pt idx="6">
                  <c:v>3.3828829167979486</c:v>
                </c:pt>
                <c:pt idx="7">
                  <c:v>4.0079603500291228</c:v>
                </c:pt>
                <c:pt idx="8">
                  <c:v>4.7489580256884283</c:v>
                </c:pt>
                <c:pt idx="9">
                  <c:v>5.6274468180933814</c:v>
                </c:pt>
                <c:pt idx="10">
                  <c:v>6.6690244004121082</c:v>
                </c:pt>
                <c:pt idx="11">
                  <c:v>7.9040691815723489</c:v>
                </c:pt>
                <c:pt idx="12">
                  <c:v>9.3686357874943393</c:v>
                </c:pt>
                <c:pt idx="13">
                  <c:v>11.105518726618792</c:v>
                </c:pt>
                <c:pt idx="14">
                  <c:v>13.1655159050199</c:v>
                </c:pt>
                <c:pt idx="15">
                  <c:v>15.608929631640637</c:v>
                </c:pt>
                <c:pt idx="16">
                  <c:v>18.507349859263261</c:v>
                </c:pt>
                <c:pt idx="17">
                  <c:v>21.945772855758133</c:v>
                </c:pt>
                <c:pt idx="18">
                  <c:v>26.025118547577296</c:v>
                </c:pt>
                <c:pt idx="19">
                  <c:v>30.865221726339751</c:v>
                </c:pt>
                <c:pt idx="20">
                  <c:v>36.608386520174683</c:v>
                </c:pt>
                <c:pt idx="21">
                  <c:v>43.423610433172257</c:v>
                </c:pt>
                <c:pt idx="22">
                  <c:v>51.511604359231313</c:v>
                </c:pt>
                <c:pt idx="23">
                  <c:v>61.110758888134434</c:v>
                </c:pt>
                <c:pt idx="24">
                  <c:v>72.504235664570714</c:v>
                </c:pt>
                <c:pt idx="25">
                  <c:v>86.028396395165245</c:v>
                </c:pt>
                <c:pt idx="26">
                  <c:v>102.08282234796172</c:v>
                </c:pt>
                <c:pt idx="27">
                  <c:v>121.14222507144363</c:v>
                </c:pt>
                <c:pt idx="28">
                  <c:v>143.77060602594568</c:v>
                </c:pt>
                <c:pt idx="29">
                  <c:v>170.63809059483708</c:v>
                </c:pt>
                <c:pt idx="30">
                  <c:v>202.54094258007748</c:v>
                </c:pt>
                <c:pt idx="31">
                  <c:v>219.61222399453172</c:v>
                </c:pt>
                <c:pt idx="32">
                  <c:v>236.65303049357692</c:v>
                </c:pt>
                <c:pt idx="33">
                  <c:v>253.66586546913962</c:v>
                </c:pt>
                <c:pt idx="34">
                  <c:v>270.65286891847927</c:v>
                </c:pt>
                <c:pt idx="35">
                  <c:v>287.6158901809053</c:v>
                </c:pt>
                <c:pt idx="36">
                  <c:v>307.23708630953638</c:v>
                </c:pt>
                <c:pt idx="37">
                  <c:v>326.83044753519135</c:v>
                </c:pt>
                <c:pt idx="38">
                  <c:v>346.39787662414318</c:v>
                </c:pt>
                <c:pt idx="39">
                  <c:v>365.94104386785261</c:v>
                </c:pt>
                <c:pt idx="40">
                  <c:v>385.46142664243024</c:v>
                </c:pt>
                <c:pt idx="41">
                  <c:v>404.9603405331514</c:v>
                </c:pt>
                <c:pt idx="42">
                  <c:v>424.43896415017292</c:v>
                </c:pt>
                <c:pt idx="43">
                  <c:v>263.43320731240277</c:v>
                </c:pt>
                <c:pt idx="44">
                  <c:v>281.10956764611268</c:v>
                </c:pt>
                <c:pt idx="45">
                  <c:v>298.76101946759735</c:v>
                </c:pt>
                <c:pt idx="46">
                  <c:v>316.38924124003148</c:v>
                </c:pt>
                <c:pt idx="47">
                  <c:v>333.99570911458437</c:v>
                </c:pt>
                <c:pt idx="48">
                  <c:v>351.58173091870771</c:v>
                </c:pt>
                <c:pt idx="49">
                  <c:v>369.14847298502377</c:v>
                </c:pt>
                <c:pt idx="50">
                  <c:v>285.34825454721067</c:v>
                </c:pt>
                <c:pt idx="51">
                  <c:v>302.43111467084145</c:v>
                </c:pt>
                <c:pt idx="52">
                  <c:v>319.4925073071027</c:v>
                </c:pt>
                <c:pt idx="53">
                  <c:v>336.53373998340851</c:v>
                </c:pt>
                <c:pt idx="54">
                  <c:v>353.55597700482872</c:v>
                </c:pt>
                <c:pt idx="55">
                  <c:v>370.56026142641809</c:v>
                </c:pt>
                <c:pt idx="56">
                  <c:v>387.54753278046701</c:v>
                </c:pt>
                <c:pt idx="57">
                  <c:v>324.37629966034956</c:v>
                </c:pt>
                <c:pt idx="58">
                  <c:v>341.05049421910081</c:v>
                </c:pt>
                <c:pt idx="59">
                  <c:v>357.70676712723872</c:v>
                </c:pt>
                <c:pt idx="60">
                  <c:v>374.34607016552553</c:v>
                </c:pt>
                <c:pt idx="61">
                  <c:v>390.9692636126295</c:v>
                </c:pt>
                <c:pt idx="62">
                  <c:v>407.57712863926145</c:v>
                </c:pt>
                <c:pt idx="63">
                  <c:v>424.17037757659028</c:v>
                </c:pt>
                <c:pt idx="64">
                  <c:v>361.12446840006714</c:v>
                </c:pt>
                <c:pt idx="65">
                  <c:v>377.17009724933331</c:v>
                </c:pt>
                <c:pt idx="66">
                  <c:v>393.2008687130413</c:v>
                </c:pt>
                <c:pt idx="67">
                  <c:v>409.21747366272535</c:v>
                </c:pt>
                <c:pt idx="68">
                  <c:v>425.22054448868658</c:v>
                </c:pt>
                <c:pt idx="69">
                  <c:v>441.21066211067341</c:v>
                </c:pt>
                <c:pt idx="70">
                  <c:v>457.1883619193361</c:v>
                </c:pt>
                <c:pt idx="71">
                  <c:v>473.15413884394292</c:v>
                </c:pt>
                <c:pt idx="72">
                  <c:v>397.86059002257917</c:v>
                </c:pt>
                <c:pt idx="73">
                  <c:v>412.91768516797657</c:v>
                </c:pt>
                <c:pt idx="74">
                  <c:v>427.96293681814245</c:v>
                </c:pt>
                <c:pt idx="75">
                  <c:v>442.99681988354081</c:v>
                </c:pt>
                <c:pt idx="76">
                  <c:v>458.01977441859185</c:v>
                </c:pt>
                <c:pt idx="77">
                  <c:v>473.03220926309092</c:v>
                </c:pt>
                <c:pt idx="78">
                  <c:v>488.03450519735719</c:v>
                </c:pt>
                <c:pt idx="79">
                  <c:v>503.02701768929563</c:v>
                </c:pt>
                <c:pt idx="80">
                  <c:v>430.14805444118105</c:v>
                </c:pt>
                <c:pt idx="81">
                  <c:v>444.22489124994286</c:v>
                </c:pt>
                <c:pt idx="82">
                  <c:v>458.29217559527996</c:v>
                </c:pt>
                <c:pt idx="83">
                  <c:v>472.35024193902149</c:v>
                </c:pt>
                <c:pt idx="84">
                  <c:v>486.39940321481521</c:v>
                </c:pt>
                <c:pt idx="85">
                  <c:v>500.43995280861191</c:v>
                </c:pt>
                <c:pt idx="86">
                  <c:v>514.47216630536309</c:v>
                </c:pt>
                <c:pt idx="87">
                  <c:v>528.49630303527977</c:v>
                </c:pt>
                <c:pt idx="88">
                  <c:v>454.17031803082273</c:v>
                </c:pt>
                <c:pt idx="89">
                  <c:v>467.12585389682596</c:v>
                </c:pt>
                <c:pt idx="90">
                  <c:v>480.07373346291911</c:v>
                </c:pt>
                <c:pt idx="91">
                  <c:v>493.01419229307686</c:v>
                </c:pt>
                <c:pt idx="92">
                  <c:v>505.94745257858148</c:v>
                </c:pt>
                <c:pt idx="93">
                  <c:v>518.87372422679118</c:v>
                </c:pt>
                <c:pt idx="94">
                  <c:v>531.79320583578794</c:v>
                </c:pt>
                <c:pt idx="95">
                  <c:v>544.98644157199544</c:v>
                </c:pt>
                <c:pt idx="96">
                  <c:v>287.88677558805261</c:v>
                </c:pt>
                <c:pt idx="97">
                  <c:v>296.42847582858366</c:v>
                </c:pt>
                <c:pt idx="98">
                  <c:v>304.9646884541342</c:v>
                </c:pt>
                <c:pt idx="99">
                  <c:v>313.49558886091171</c:v>
                </c:pt>
                <c:pt idx="100">
                  <c:v>322.02134211207596</c:v>
                </c:pt>
                <c:pt idx="101">
                  <c:v>330.54210380994283</c:v>
                </c:pt>
                <c:pt idx="102">
                  <c:v>339.05802087349701</c:v>
                </c:pt>
                <c:pt idx="103">
                  <c:v>347.56923223366266</c:v>
                </c:pt>
                <c:pt idx="104">
                  <c:v>356.07586945687609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5" zoomScale="90" zoomScaleNormal="90" workbookViewId="0">
      <selection activeCell="O120" sqref="O1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1.875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0.32500000000000001</v>
      </c>
      <c r="D10" s="36">
        <f t="shared" si="0"/>
        <v>1.21875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0.17499999999999999</v>
      </c>
      <c r="D11" s="36">
        <f t="shared" si="0"/>
        <v>0.65625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195.28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6.5093333333333332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35</v>
      </c>
      <c r="B37" s="63">
        <v>279.76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16.895999999999997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42</v>
      </c>
      <c r="B38" s="63">
        <v>416.76</v>
      </c>
      <c r="C38" s="63">
        <v>3</v>
      </c>
      <c r="D38" s="63">
        <v>182.39</v>
      </c>
      <c r="E38" s="54"/>
      <c r="F38" s="54"/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43</v>
      </c>
      <c r="B39" s="63">
        <v>255.68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21.310000000000002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361.26</v>
      </c>
      <c r="C40" s="63">
        <v>5</v>
      </c>
      <c r="D40" s="63">
        <v>100.16</v>
      </c>
      <c r="E40" s="54"/>
      <c r="F40" s="54"/>
      <c r="G40" s="54"/>
      <c r="H40" s="54"/>
      <c r="I40" s="52">
        <f t="shared" si="1"/>
        <v>17.596666666666664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277.5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16.399999999999977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379.71</v>
      </c>
      <c r="C42" s="63">
        <v>7</v>
      </c>
      <c r="D42" s="63">
        <v>79.39</v>
      </c>
      <c r="E42" s="54"/>
      <c r="F42" s="54"/>
      <c r="G42" s="54"/>
      <c r="H42" s="54"/>
      <c r="I42" s="56">
        <f t="shared" si="1"/>
        <v>17.034999999999997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57</v>
      </c>
      <c r="B43" s="63">
        <v>316.45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16.129999999999995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v>416.49</v>
      </c>
      <c r="C44" s="63">
        <v>9</v>
      </c>
      <c r="D44" s="63">
        <v>79.099999999999994</v>
      </c>
      <c r="E44" s="54"/>
      <c r="F44" s="54"/>
      <c r="G44" s="54"/>
      <c r="H44" s="54"/>
      <c r="I44" s="52">
        <f t="shared" si="1"/>
        <v>16.673333333333336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64</v>
      </c>
      <c r="B45" s="63">
        <v>353.22</v>
      </c>
      <c r="C45" s="63">
        <v>10</v>
      </c>
      <c r="D45" s="63">
        <v>0</v>
      </c>
      <c r="E45" s="54"/>
      <c r="F45" s="54"/>
      <c r="G45" s="54"/>
      <c r="H45" s="54"/>
      <c r="I45" s="52">
        <f t="shared" si="1"/>
        <v>15.830000000000041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71</v>
      </c>
      <c r="B46" s="63">
        <v>465.79</v>
      </c>
      <c r="C46" s="63">
        <v>11</v>
      </c>
      <c r="D46" s="63">
        <v>90.8</v>
      </c>
      <c r="E46" s="54"/>
      <c r="F46" s="54"/>
      <c r="G46" s="54"/>
      <c r="H46" s="54"/>
      <c r="I46" s="52">
        <f t="shared" si="1"/>
        <v>16.081428571428571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72</v>
      </c>
      <c r="B47" s="63">
        <v>390.06</v>
      </c>
      <c r="C47" s="63">
        <v>12</v>
      </c>
      <c r="D47" s="63">
        <v>0</v>
      </c>
      <c r="E47" s="54"/>
      <c r="F47" s="54"/>
      <c r="G47" s="54"/>
      <c r="H47" s="54"/>
      <c r="I47" s="52">
        <f t="shared" si="1"/>
        <v>15.069999999999993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79</v>
      </c>
      <c r="B48" s="63">
        <v>495.91</v>
      </c>
      <c r="C48" s="63">
        <v>13</v>
      </c>
      <c r="D48" s="63">
        <v>87.99</v>
      </c>
      <c r="E48" s="54"/>
      <c r="F48" s="54"/>
      <c r="G48" s="54"/>
      <c r="H48" s="54"/>
      <c r="I48" s="52">
        <f t="shared" si="1"/>
        <v>15.121428571428575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80</v>
      </c>
      <c r="B49" s="63">
        <v>422.5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14.579999999999984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87</v>
      </c>
      <c r="B50" s="53">
        <v>521.62</v>
      </c>
      <c r="C50" s="53">
        <v>15</v>
      </c>
      <c r="D50" s="53">
        <v>88.62</v>
      </c>
      <c r="E50" s="54"/>
      <c r="F50" s="54"/>
      <c r="G50" s="54"/>
      <c r="H50" s="54"/>
      <c r="I50" s="52">
        <f t="shared" si="1"/>
        <v>14.16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88</v>
      </c>
      <c r="B51" s="53">
        <v>446.67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13.670000000000016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94</v>
      </c>
      <c r="B52" s="53">
        <v>524.95000000000005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13.046666666666672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95</v>
      </c>
      <c r="B53" s="53">
        <v>538.28</v>
      </c>
      <c r="C53" s="53">
        <v>18</v>
      </c>
      <c r="D53" s="53">
        <v>268.81</v>
      </c>
      <c r="E53" s="54"/>
      <c r="F53" s="54"/>
      <c r="G53" s="54"/>
      <c r="H53" s="54"/>
      <c r="I53" s="52">
        <f t="shared" si="1"/>
        <v>13.329999999999927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96</v>
      </c>
      <c r="B54" s="53">
        <v>280.02999999999997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10.560000000000002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105</v>
      </c>
      <c r="B55" s="53">
        <v>356.68</v>
      </c>
      <c r="C55" s="53">
        <v>20</v>
      </c>
      <c r="D55" s="53">
        <v>356.68</v>
      </c>
      <c r="E55" s="54"/>
      <c r="F55" s="54"/>
      <c r="G55" s="54"/>
      <c r="H55" s="54"/>
      <c r="I55" s="52">
        <f t="shared" si="1"/>
        <v>8.516666666666671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27</v>
      </c>
      <c r="B62" s="63">
        <v>118</v>
      </c>
      <c r="C62" s="63">
        <v>1</v>
      </c>
      <c r="D62" s="63">
        <v>15</v>
      </c>
      <c r="E62" s="54">
        <v>0.4</v>
      </c>
      <c r="F62" s="54"/>
      <c r="G62" s="54">
        <v>0.6</v>
      </c>
      <c r="H62" s="54"/>
      <c r="I62" s="56">
        <f>IFERROR(B62/A62,"")</f>
        <v>4.3703703703703702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132</v>
      </c>
      <c r="C63" s="63">
        <v>2</v>
      </c>
      <c r="D63" s="63">
        <v>13</v>
      </c>
      <c r="E63" s="54">
        <v>0.45</v>
      </c>
      <c r="F63" s="54"/>
      <c r="G63" s="54">
        <v>0.55000000000000004</v>
      </c>
      <c r="H63" s="54"/>
      <c r="I63" s="52">
        <f>IF(A63&lt;&gt;0,(B63-(B62-D62))/(A63-A62),"")</f>
        <v>9.6666666666666661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169</v>
      </c>
      <c r="C64" s="63">
        <v>3</v>
      </c>
      <c r="D64" s="63">
        <v>23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208</v>
      </c>
      <c r="C65" s="63">
        <v>4</v>
      </c>
      <c r="D65" s="63">
        <v>34</v>
      </c>
      <c r="E65" s="54"/>
      <c r="F65" s="54"/>
      <c r="G65" s="54"/>
      <c r="H65" s="54"/>
      <c r="I65" s="52">
        <f>IF(A65&lt;&gt;0,(B65-(B64-D64))/(A65-A64),"")</f>
        <v>12.4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v>315</v>
      </c>
      <c r="C66" s="63">
        <v>5</v>
      </c>
      <c r="D66" s="63">
        <v>79</v>
      </c>
      <c r="E66" s="54"/>
      <c r="F66" s="54"/>
      <c r="G66" s="54"/>
      <c r="H66" s="54"/>
      <c r="I66" s="52">
        <f t="shared" ref="I66:I81" si="2">IF(A66&lt;&gt;0,(B66-(B65-D65))/(A66-A65),"")</f>
        <v>14.1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60</v>
      </c>
      <c r="B67" s="63">
        <v>393</v>
      </c>
      <c r="C67" s="63">
        <v>6</v>
      </c>
      <c r="D67" s="63">
        <v>88</v>
      </c>
      <c r="E67" s="54"/>
      <c r="F67" s="54"/>
      <c r="G67" s="54"/>
      <c r="H67" s="54"/>
      <c r="I67" s="52">
        <f t="shared" si="2"/>
        <v>15.7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70</v>
      </c>
      <c r="B68" s="63">
        <v>448</v>
      </c>
      <c r="C68" s="63">
        <v>7</v>
      </c>
      <c r="D68" s="63">
        <v>78</v>
      </c>
      <c r="E68" s="54"/>
      <c r="F68" s="54"/>
      <c r="G68" s="54"/>
      <c r="H68" s="54"/>
      <c r="I68" s="52">
        <f t="shared" si="2"/>
        <v>14.3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80</v>
      </c>
      <c r="B69" s="53">
        <v>460</v>
      </c>
      <c r="C69" s="53">
        <v>8</v>
      </c>
      <c r="D69" s="53">
        <v>460</v>
      </c>
      <c r="E69" s="54"/>
      <c r="F69" s="54"/>
      <c r="G69" s="54"/>
      <c r="H69" s="54"/>
      <c r="I69" s="52">
        <f t="shared" si="2"/>
        <v>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>
        <v>0.4</v>
      </c>
      <c r="F88" s="54"/>
      <c r="G88" s="54">
        <v>0.6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>
        <v>0.45</v>
      </c>
      <c r="F89" s="54"/>
      <c r="G89" s="54">
        <v>0.55000000000000004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>
        <v>0.5</v>
      </c>
      <c r="F90" s="93"/>
      <c r="G90" s="93">
        <v>0.5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/>
      <c r="F91" s="93"/>
      <c r="G91" s="93"/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306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340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428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483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521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555</v>
      </c>
      <c r="C98" s="63">
        <v>11</v>
      </c>
      <c r="D98" s="63">
        <v>555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228.57322051753096</v>
      </c>
      <c r="T3" s="62">
        <f>IF('Données projet'!E9&gt;30,$R$33-$H$33,LOOKUP('Données projet'!$E$9,$A$3:$A$203,R3:R203)-LOOKUP('Données projet'!$E$9,$A$3:$A$203,$H$3:$H$203))</f>
        <v>168.91992124331932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221.96671908615446</v>
      </c>
      <c r="AO3" s="62">
        <f>IF('Données projet'!E10&gt;30,$AM$33-$H$33,LOOKUP('Données projet'!$E$10,$A$3:$A$203,AM3:AM203)-LOOKUP('Données projet'!$E$10,$A$3:$A$203,$H$3:$H$203))</f>
        <v>141.9613211447562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287.69656598881124</v>
      </c>
      <c r="BJ3" s="62">
        <f>IF('Données projet'!E11&gt;30,$BH$33-$H$33,LOOKUP('Données projet'!$E$11,$A$3:$A$203,BH3:BH203)-LOOKUP('Données projet'!$E$11,$A$3:$A$203,$H$3:$H$203))</f>
        <v>221.9773436301067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6.5093333333333332</v>
      </c>
      <c r="N4" s="14">
        <f>IF('Données projet'!$A$36&gt;35,N3+M4-V3,IF(A4&lt;'Données projet'!$A$36,$K$205^A4,IF(A4='Données projet'!$A$36,'Données projet'!$B$36,N3+M4-V3)))</f>
        <v>1.1922168590978506</v>
      </c>
      <c r="O4" s="14">
        <f>N4*VLOOKUP('Données projet'!$B$9,Paramètres!$A$1:$I$89,3,0)*VLOOKUP('Données projet'!$B$9,Paramètres!$A$1:$I$89,5,0)</f>
        <v>0.55795749005779405</v>
      </c>
      <c r="P4" s="14">
        <f>EXP(-1.0587+0.8836*LN(O4)+0.284)</f>
        <v>0.27520023941954863</v>
      </c>
      <c r="Q4" s="22">
        <f t="shared" ref="Q4:Q34" si="2">(O4+P4)*0.475*44/12</f>
        <v>1.4510830455063717</v>
      </c>
      <c r="R4" s="62">
        <f t="shared" si="0"/>
        <v>294.78441637883969</v>
      </c>
      <c r="S4" s="62">
        <f ca="1">AVERAGE(OFFSET($R$3,0,0,'Données projet'!$E$9+1,1))-AVERAGE(OFFSET($H$3,0,0,'Données projet'!$E$9+1,1))</f>
        <v>228.57322051753096</v>
      </c>
      <c r="T4" s="62">
        <f>$T$3</f>
        <v>168.91992124331932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4.3703703703703702</v>
      </c>
      <c r="AI4" s="14">
        <f>IF('Données projet'!$A$62&gt;35,AI3+AH4-AQ3,IF(A4&lt;'Données projet'!$A$62,$AF$205^A4,IF(A4='Données projet'!$A$62,'Données projet'!$B$62,AI3+AH4-AQ3)))</f>
        <v>1.1932635389591795</v>
      </c>
      <c r="AJ4" s="14">
        <f>AI4*VLOOKUP('Données projet'!$B$10,Paramètres!$A$1:$I$89,3,0)*VLOOKUP('Données projet'!$B$10,Paramètres!$A$1:$I$89,5,0)</f>
        <v>0.71357159629758937</v>
      </c>
      <c r="AK4" s="14">
        <f>EXP(-1.0587+0.8836*LN(AJ4)+0.284)</f>
        <v>0.34201841351504586</v>
      </c>
      <c r="AL4" s="22">
        <f t="shared" ref="AL4:AL67" si="4">(AJ4+AK4)*0.475*44/12</f>
        <v>1.8384859337570063</v>
      </c>
      <c r="AM4" s="62">
        <f t="shared" ref="AM4:AM67" si="5">AL4+(AD4+AE4)*44/12</f>
        <v>295.17181926709031</v>
      </c>
      <c r="AN4" s="62">
        <f ca="1">AVERAGE(OFFSET($AM$3,0,0,'Données projet'!$E$10+1,1))-AVERAGE(OFFSET($H$3,0,0,'Données projet'!$E$10+1,1))</f>
        <v>221.96671908615446</v>
      </c>
      <c r="AO4" s="62">
        <f>$AO$3</f>
        <v>141.9613211447562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295.24773087079586</v>
      </c>
      <c r="BI4" s="62">
        <f ca="1">AVERAGE(OFFSET($BH$3,0,0,'Données projet'!$E$11+1,1))-AVERAGE(OFFSET($H$3,0,0,'Données projet'!$E$11+1,1))</f>
        <v>287.69656598881124</v>
      </c>
      <c r="BJ4" s="62">
        <f>$BJ$3</f>
        <v>221.9773436301067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6.5093333333333332</v>
      </c>
      <c r="N5" s="14">
        <f>IF('Données projet'!$A$36&gt;35,N4+M5-V4,IF(A5&lt;'Données projet'!$A$36,$K$205^A5,IF(A5='Données projet'!$A$36,'Données projet'!$B$36,N4+M5-V4)))</f>
        <v>1.4213810391171442</v>
      </c>
      <c r="O5" s="14">
        <f>N5*VLOOKUP('Données projet'!$B$9,Paramètres!$A$1:$I$89,3,0)*VLOOKUP('Données projet'!$B$9,Paramètres!$A$1:$I$89,5,0)</f>
        <v>0.66520632630682341</v>
      </c>
      <c r="P5" s="14">
        <f t="shared" ref="P5:P68" si="33">EXP(-1.0587+0.8836*LN(O5)+0.284)</f>
        <v>0.32145213467656786</v>
      </c>
      <c r="Q5" s="22">
        <f t="shared" si="2"/>
        <v>1.7184301528794064</v>
      </c>
      <c r="R5" s="62">
        <f t="shared" si="0"/>
        <v>295.05176348621274</v>
      </c>
      <c r="S5" s="62">
        <f ca="1">AVERAGE(OFFSET($R$3,0,0,'Données projet'!$E$9+1,1))-AVERAGE(OFFSET($H$3,0,0,'Données projet'!$E$9+1,1))</f>
        <v>228.57322051753096</v>
      </c>
      <c r="T5" s="62">
        <f t="shared" ref="T5:T68" si="34">$T$3</f>
        <v>168.91992124331932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4.3703703703703702</v>
      </c>
      <c r="AI5" s="14">
        <f>IF('Données projet'!$A$62&gt;35,AI4+AH5-AQ4,IF(A5&lt;'Données projet'!$A$62,$AF$205^A5,IF(A5='Données projet'!$A$62,'Données projet'!$B$62,AI4+AH5-AQ4)))</f>
        <v>1.4238778734093853</v>
      </c>
      <c r="AJ5" s="14">
        <f>AI5*VLOOKUP('Données projet'!$B$10,Paramètres!$A$1:$I$89,3,0)*VLOOKUP('Données projet'!$B$10,Paramètres!$A$1:$I$89,5,0)</f>
        <v>0.85147896829881242</v>
      </c>
      <c r="AK5" s="14">
        <f t="shared" ref="AK5:AK68" si="35">EXP(-1.0587+0.8836*LN(AJ5)+0.284)</f>
        <v>0.39981008543020569</v>
      </c>
      <c r="AL5" s="22">
        <f t="shared" si="4"/>
        <v>2.179328435244706</v>
      </c>
      <c r="AM5" s="62">
        <f t="shared" si="5"/>
        <v>295.51266176857803</v>
      </c>
      <c r="AN5" s="62">
        <f ca="1">AVERAGE(OFFSET($AM$3,0,0,'Données projet'!$E$10+1,1))-AVERAGE(OFFSET($H$3,0,0,'Données projet'!$E$10+1,1))</f>
        <v>221.96671908615446</v>
      </c>
      <c r="AO5" s="62">
        <f t="shared" ref="AO5:AO68" si="36">$AO$3</f>
        <v>141.9613211447562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295.69646345569345</v>
      </c>
      <c r="BI5" s="62">
        <f ca="1">AVERAGE(OFFSET($BH$3,0,0,'Données projet'!$E$11+1,1))-AVERAGE(OFFSET($H$3,0,0,'Données projet'!$E$11+1,1))</f>
        <v>287.69656598881124</v>
      </c>
      <c r="BJ5" s="62">
        <f t="shared" ref="BJ5:BJ68" si="38">$BJ$3</f>
        <v>221.9773436301067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6.5093333333333332</v>
      </c>
      <c r="N6" s="14">
        <f>IF('Données projet'!$A$36&gt;35,N5+M6-V5,IF(A6&lt;'Données projet'!$A$36,$K$205^A6,IF(A6='Données projet'!$A$36,'Données projet'!$B$36,N5+M6-V5)))</f>
        <v>1.6945944380374807</v>
      </c>
      <c r="O6" s="14">
        <f>N6*VLOOKUP('Données projet'!$B$9,Paramètres!$A$1:$I$89,3,0)*VLOOKUP('Données projet'!$B$9,Paramètres!$A$1:$I$89,5,0)</f>
        <v>0.79307019700154091</v>
      </c>
      <c r="P6" s="14">
        <f t="shared" si="33"/>
        <v>0.37547741639349119</v>
      </c>
      <c r="Q6" s="22">
        <f t="shared" si="2"/>
        <v>2.0352204266630141</v>
      </c>
      <c r="R6" s="62">
        <f t="shared" si="0"/>
        <v>295.3685537599963</v>
      </c>
      <c r="S6" s="62">
        <f ca="1">AVERAGE(OFFSET($R$3,0,0,'Données projet'!$E$9+1,1))-AVERAGE(OFFSET($H$3,0,0,'Données projet'!$E$9+1,1))</f>
        <v>228.57322051753096</v>
      </c>
      <c r="T6" s="62">
        <f t="shared" si="34"/>
        <v>168.91992124331932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4.3703703703703702</v>
      </c>
      <c r="AI6" s="14">
        <f>IF('Données projet'!$A$62&gt;35,AI5+AH6-AQ5,IF(A6&lt;'Données projet'!$A$62,$AF$205^A6,IF(A6='Données projet'!$A$62,'Données projet'!$B$62,AI5+AH6-AQ5)))</f>
        <v>1.6990615502701536</v>
      </c>
      <c r="AJ6" s="14">
        <f>AI6*VLOOKUP('Données projet'!$B$10,Paramètres!$A$1:$I$89,3,0)*VLOOKUP('Données projet'!$B$10,Paramètres!$A$1:$I$89,5,0)</f>
        <v>1.0160388070615518</v>
      </c>
      <c r="AK6" s="14">
        <f t="shared" si="35"/>
        <v>0.46736695480483653</v>
      </c>
      <c r="AL6" s="22">
        <f t="shared" si="4"/>
        <v>2.5835983685839596</v>
      </c>
      <c r="AM6" s="62">
        <f t="shared" si="5"/>
        <v>295.91693170191729</v>
      </c>
      <c r="AN6" s="62">
        <f ca="1">AVERAGE(OFFSET($AM$3,0,0,'Données projet'!$E$10+1,1))-AVERAGE(OFFSET($H$3,0,0,'Données projet'!$E$10+1,1))</f>
        <v>221.96671908615446</v>
      </c>
      <c r="AO6" s="62">
        <f t="shared" si="36"/>
        <v>141.9613211447562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296.25078815720536</v>
      </c>
      <c r="BI6" s="62">
        <f ca="1">AVERAGE(OFFSET($BH$3,0,0,'Données projet'!$E$11+1,1))-AVERAGE(OFFSET($H$3,0,0,'Données projet'!$E$11+1,1))</f>
        <v>287.69656598881124</v>
      </c>
      <c r="BJ6" s="62">
        <f t="shared" si="38"/>
        <v>221.9773436301067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6.5093333333333332</v>
      </c>
      <c r="N7" s="14">
        <f>IF('Données projet'!$A$36&gt;35,N6+M7-V6,IF(A7&lt;'Données projet'!$A$36,$K$205^A7,IF(A7='Données projet'!$A$36,'Données projet'!$B$36,N6+M7-V6)))</f>
        <v>2.0203240583617328</v>
      </c>
      <c r="O7" s="14">
        <f>N7*VLOOKUP('Données projet'!$B$9,Paramètres!$A$1:$I$89,3,0)*VLOOKUP('Données projet'!$B$9,Paramètres!$A$1:$I$89,5,0)</f>
        <v>0.94551165931329084</v>
      </c>
      <c r="P7" s="14">
        <f t="shared" si="33"/>
        <v>0.43858252913262774</v>
      </c>
      <c r="Q7" s="22">
        <f t="shared" si="2"/>
        <v>2.4106307115433077</v>
      </c>
      <c r="R7" s="62">
        <f t="shared" si="0"/>
        <v>295.74396404487663</v>
      </c>
      <c r="S7" s="62">
        <f ca="1">AVERAGE(OFFSET($R$3,0,0,'Données projet'!$E$9+1,1))-AVERAGE(OFFSET($H$3,0,0,'Données projet'!$E$9+1,1))</f>
        <v>228.57322051753096</v>
      </c>
      <c r="T7" s="62">
        <f t="shared" si="34"/>
        <v>168.91992124331932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4.3703703703703702</v>
      </c>
      <c r="AI7" s="14">
        <f>IF('Données projet'!$A$62&gt;35,AI6+AH7-AQ6,IF(A7&lt;'Données projet'!$A$62,$AF$205^A7,IF(A7='Données projet'!$A$62,'Données projet'!$B$62,AI6+AH7-AQ6)))</f>
        <v>2.0274281983848335</v>
      </c>
      <c r="AJ7" s="14">
        <f>AI7*VLOOKUP('Données projet'!$B$10,Paramètres!$A$1:$I$89,3,0)*VLOOKUP('Données projet'!$B$10,Paramètres!$A$1:$I$89,5,0)</f>
        <v>1.2124020626341305</v>
      </c>
      <c r="AK7" s="14">
        <f t="shared" si="35"/>
        <v>0.54633907048269681</v>
      </c>
      <c r="AL7" s="22">
        <f t="shared" si="4"/>
        <v>3.0631408068451407</v>
      </c>
      <c r="AM7" s="62">
        <f t="shared" si="5"/>
        <v>296.39647414017844</v>
      </c>
      <c r="AN7" s="62">
        <f ca="1">AVERAGE(OFFSET($AM$3,0,0,'Données projet'!$E$10+1,1))-AVERAGE(OFFSET($H$3,0,0,'Données projet'!$E$10+1,1))</f>
        <v>221.96671908615446</v>
      </c>
      <c r="AO7" s="62">
        <f t="shared" si="36"/>
        <v>141.9613211447562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296.93564317983407</v>
      </c>
      <c r="BI7" s="62">
        <f ca="1">AVERAGE(OFFSET($BH$3,0,0,'Données projet'!$E$11+1,1))-AVERAGE(OFFSET($H$3,0,0,'Données projet'!$E$11+1,1))</f>
        <v>287.69656598881124</v>
      </c>
      <c r="BJ7" s="62">
        <f t="shared" si="38"/>
        <v>221.9773436301067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6.5093333333333332</v>
      </c>
      <c r="N8" s="14">
        <f>IF('Données projet'!$A$36&gt;35,N7+M8-V7,IF(A8&lt;'Données projet'!$A$36,$K$205^A8,IF(A8='Données projet'!$A$36,'Données projet'!$B$36,N7+M8-V7)))</f>
        <v>2.4086644032198476</v>
      </c>
      <c r="O8" s="14">
        <f>N8*VLOOKUP('Données projet'!$B$9,Paramètres!$A$1:$I$89,3,0)*VLOOKUP('Données projet'!$B$9,Paramètres!$A$1:$I$89,5,0)</f>
        <v>1.1272549407068886</v>
      </c>
      <c r="P8" s="14">
        <f t="shared" si="33"/>
        <v>0.5122934868039819</v>
      </c>
      <c r="Q8" s="22">
        <f t="shared" si="2"/>
        <v>2.8555468445814327</v>
      </c>
      <c r="R8" s="62">
        <f t="shared" si="0"/>
        <v>296.18888017791477</v>
      </c>
      <c r="S8" s="62">
        <f ca="1">AVERAGE(OFFSET($R$3,0,0,'Données projet'!$E$9+1,1))-AVERAGE(OFFSET($H$3,0,0,'Données projet'!$E$9+1,1))</f>
        <v>228.57322051753096</v>
      </c>
      <c r="T8" s="62">
        <f t="shared" si="34"/>
        <v>168.91992124331932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4.3703703703703702</v>
      </c>
      <c r="AI8" s="14">
        <f>IF('Données projet'!$A$62&gt;35,AI7+AH8-AQ7,IF(A8&lt;'Données projet'!$A$62,$AF$205^A8,IF(A8='Données projet'!$A$62,'Données projet'!$B$62,AI7+AH8-AQ7)))</f>
        <v>2.4192561469903198</v>
      </c>
      <c r="AJ8" s="14">
        <f>AI8*VLOOKUP('Données projet'!$B$10,Paramètres!$A$1:$I$89,3,0)*VLOOKUP('Données projet'!$B$10,Paramètres!$A$1:$I$89,5,0)</f>
        <v>1.4467151759002115</v>
      </c>
      <c r="AK8" s="14">
        <f t="shared" si="35"/>
        <v>0.63865529401953391</v>
      </c>
      <c r="AL8" s="22">
        <f t="shared" si="4"/>
        <v>3.6320202351102231</v>
      </c>
      <c r="AM8" s="62">
        <f t="shared" si="5"/>
        <v>296.96535356844356</v>
      </c>
      <c r="AN8" s="62">
        <f ca="1">AVERAGE(OFFSET($AM$3,0,0,'Données projet'!$E$10+1,1))-AVERAGE(OFFSET($H$3,0,0,'Données projet'!$E$10+1,1))</f>
        <v>221.96671908615446</v>
      </c>
      <c r="AO8" s="62">
        <f t="shared" si="36"/>
        <v>141.9613211447562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297.78187669303162</v>
      </c>
      <c r="BI8" s="62">
        <f ca="1">AVERAGE(OFFSET($BH$3,0,0,'Données projet'!$E$11+1,1))-AVERAGE(OFFSET($H$3,0,0,'Données projet'!$E$11+1,1))</f>
        <v>287.69656598881124</v>
      </c>
      <c r="BJ8" s="62">
        <f t="shared" si="38"/>
        <v>221.9773436301067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6.5093333333333332</v>
      </c>
      <c r="N9" s="14">
        <f>IF('Données projet'!$A$36&gt;35,N8+M9-V8,IF(A9&lt;'Données projet'!$A$36,$K$205^A9,IF(A9='Données projet'!$A$36,'Données projet'!$B$36,N8+M9-V8)))</f>
        <v>2.8716503094275656</v>
      </c>
      <c r="O9" s="14">
        <f>N9*VLOOKUP('Données projet'!$B$9,Paramètres!$A$1:$I$89,3,0)*VLOOKUP('Données projet'!$B$9,Paramètres!$A$1:$I$89,5,0)</f>
        <v>1.3439323448121006</v>
      </c>
      <c r="P9" s="14">
        <f t="shared" si="33"/>
        <v>0.5983927748805018</v>
      </c>
      <c r="Q9" s="22">
        <f t="shared" si="2"/>
        <v>3.3828829167979486</v>
      </c>
      <c r="R9" s="62">
        <f t="shared" si="0"/>
        <v>296.71621625013125</v>
      </c>
      <c r="S9" s="62">
        <f ca="1">AVERAGE(OFFSET($R$3,0,0,'Données projet'!$E$9+1,1))-AVERAGE(OFFSET($H$3,0,0,'Données projet'!$E$9+1,1))</f>
        <v>228.57322051753096</v>
      </c>
      <c r="T9" s="62">
        <f t="shared" si="34"/>
        <v>168.91992124331932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4.3703703703703702</v>
      </c>
      <c r="AI9" s="14">
        <f>IF('Données projet'!$A$62&gt;35,AI8+AH9-AQ8,IF(A9&lt;'Données projet'!$A$62,$AF$205^A9,IF(A9='Données projet'!$A$62,'Données projet'!$B$62,AI8+AH9-AQ8)))</f>
        <v>2.8868101516064182</v>
      </c>
      <c r="AJ9" s="14">
        <f>AI9*VLOOKUP('Données projet'!$B$10,Paramètres!$A$1:$I$89,3,0)*VLOOKUP('Données projet'!$B$10,Paramètres!$A$1:$I$89,5,0)</f>
        <v>1.7263124706606381</v>
      </c>
      <c r="AK9" s="14">
        <f t="shared" si="35"/>
        <v>0.7465704113359678</v>
      </c>
      <c r="AL9" s="22">
        <f t="shared" si="4"/>
        <v>4.3069376861440878</v>
      </c>
      <c r="AM9" s="62">
        <f t="shared" si="5"/>
        <v>297.64027101947738</v>
      </c>
      <c r="AN9" s="62">
        <f ca="1">AVERAGE(OFFSET($AM$3,0,0,'Données projet'!$E$10+1,1))-AVERAGE(OFFSET($H$3,0,0,'Données projet'!$E$10+1,1))</f>
        <v>221.96671908615446</v>
      </c>
      <c r="AO9" s="62">
        <f t="shared" si="36"/>
        <v>141.9613211447562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298.82765185669996</v>
      </c>
      <c r="BI9" s="62">
        <f ca="1">AVERAGE(OFFSET($BH$3,0,0,'Données projet'!$E$11+1,1))-AVERAGE(OFFSET($H$3,0,0,'Données projet'!$E$11+1,1))</f>
        <v>287.69656598881124</v>
      </c>
      <c r="BJ9" s="62">
        <f t="shared" si="38"/>
        <v>221.9773436301067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6.5093333333333332</v>
      </c>
      <c r="N10" s="14">
        <f>IF('Données projet'!$A$36&gt;35,N9+M10-V9,IF(A10&lt;'Données projet'!$A$36,$K$205^A10,IF(A10='Données projet'!$A$36,'Données projet'!$B$36,N9+M10-V9)))</f>
        <v>3.4236299123331029</v>
      </c>
      <c r="O10" s="14">
        <f>N10*VLOOKUP('Données projet'!$B$9,Paramètres!$A$1:$I$89,3,0)*VLOOKUP('Données projet'!$B$9,Paramètres!$A$1:$I$89,5,0)</f>
        <v>1.6022587989718919</v>
      </c>
      <c r="P10" s="14">
        <f t="shared" si="33"/>
        <v>0.69896245463334605</v>
      </c>
      <c r="Q10" s="22">
        <f t="shared" si="2"/>
        <v>4.0079603500291228</v>
      </c>
      <c r="R10" s="62">
        <f t="shared" si="0"/>
        <v>297.34129368336244</v>
      </c>
      <c r="S10" s="62">
        <f ca="1">AVERAGE(OFFSET($R$3,0,0,'Données projet'!$E$9+1,1))-AVERAGE(OFFSET($H$3,0,0,'Données projet'!$E$9+1,1))</f>
        <v>228.57322051753096</v>
      </c>
      <c r="T10" s="62">
        <f t="shared" si="34"/>
        <v>168.91992124331932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4.3703703703703702</v>
      </c>
      <c r="AI10" s="14">
        <f>IF('Données projet'!$A$62&gt;35,AI9+AH10-AQ9,IF(A10&lt;'Données projet'!$A$62,$AF$205^A10,IF(A10='Données projet'!$A$62,'Données projet'!$B$62,AI9+AH10-AQ9)))</f>
        <v>3.4447252978091596</v>
      </c>
      <c r="AJ10" s="14">
        <f>AI10*VLOOKUP('Données projet'!$B$10,Paramètres!$A$1:$I$89,3,0)*VLOOKUP('Données projet'!$B$10,Paramètres!$A$1:$I$89,5,0)</f>
        <v>2.0599457280898776</v>
      </c>
      <c r="AK10" s="14">
        <f t="shared" si="35"/>
        <v>0.87272020493939328</v>
      </c>
      <c r="AL10" s="22">
        <f t="shared" si="4"/>
        <v>5.1077265000259793</v>
      </c>
      <c r="AM10" s="62">
        <f t="shared" si="5"/>
        <v>298.4410598333593</v>
      </c>
      <c r="AN10" s="62">
        <f ca="1">AVERAGE(OFFSET($AM$3,0,0,'Données projet'!$E$10+1,1))-AVERAGE(OFFSET($H$3,0,0,'Données projet'!$E$10+1,1))</f>
        <v>221.96671908615446</v>
      </c>
      <c r="AO10" s="62">
        <f t="shared" si="36"/>
        <v>141.9613211447562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300.12018685543694</v>
      </c>
      <c r="BI10" s="62">
        <f ca="1">AVERAGE(OFFSET($BH$3,0,0,'Données projet'!$E$11+1,1))-AVERAGE(OFFSET($H$3,0,0,'Données projet'!$E$11+1,1))</f>
        <v>287.69656598881124</v>
      </c>
      <c r="BJ10" s="62">
        <f t="shared" si="38"/>
        <v>221.9773436301067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6.5093333333333332</v>
      </c>
      <c r="N11" s="14">
        <f>IF('Données projet'!$A$36&gt;35,N10+M11-V10,IF(A11&lt;'Données projet'!$A$36,$K$205^A11,IF(A11='Données projet'!$A$36,'Données projet'!$B$36,N10+M11-V10)))</f>
        <v>4.0817093007952225</v>
      </c>
      <c r="O11" s="14">
        <f>N11*VLOOKUP('Données projet'!$B$9,Paramètres!$A$1:$I$89,3,0)*VLOOKUP('Données projet'!$B$9,Paramètres!$A$1:$I$89,5,0)</f>
        <v>1.9102399527721641</v>
      </c>
      <c r="P11" s="14">
        <f t="shared" si="33"/>
        <v>0.81643451173793824</v>
      </c>
      <c r="Q11" s="22">
        <f t="shared" si="2"/>
        <v>4.7489580256884283</v>
      </c>
      <c r="R11" s="62">
        <f t="shared" si="0"/>
        <v>298.08229135902172</v>
      </c>
      <c r="S11" s="62">
        <f ca="1">AVERAGE(OFFSET($R$3,0,0,'Données projet'!$E$9+1,1))-AVERAGE(OFFSET($H$3,0,0,'Données projet'!$E$9+1,1))</f>
        <v>228.57322051753096</v>
      </c>
      <c r="T11" s="62">
        <f t="shared" si="34"/>
        <v>168.91992124331932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4.3703703703703702</v>
      </c>
      <c r="AI11" s="14">
        <f>IF('Données projet'!$A$62&gt;35,AI10+AH11-AQ10,IF(A11&lt;'Données projet'!$A$62,$AF$205^A11,IF(A11='Données projet'!$A$62,'Données projet'!$B$62,AI10+AH11-AQ10)))</f>
        <v>4.110465099605972</v>
      </c>
      <c r="AJ11" s="14">
        <f>AI11*VLOOKUP('Données projet'!$B$10,Paramètres!$A$1:$I$89,3,0)*VLOOKUP('Données projet'!$B$10,Paramètres!$A$1:$I$89,5,0)</f>
        <v>2.4580581295643715</v>
      </c>
      <c r="AK11" s="14">
        <f t="shared" si="35"/>
        <v>1.0201858318313493</v>
      </c>
      <c r="AL11" s="22">
        <f t="shared" si="4"/>
        <v>6.0579415660975471</v>
      </c>
      <c r="AM11" s="62">
        <f t="shared" si="5"/>
        <v>299.39127489943087</v>
      </c>
      <c r="AN11" s="62">
        <f ca="1">AVERAGE(OFFSET($AM$3,0,0,'Données projet'!$E$10+1,1))-AVERAGE(OFFSET($H$3,0,0,'Données projet'!$E$10+1,1))</f>
        <v>221.96671908615446</v>
      </c>
      <c r="AO11" s="62">
        <f t="shared" si="36"/>
        <v>141.9613211447562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301.71791003464585</v>
      </c>
      <c r="BI11" s="62">
        <f ca="1">AVERAGE(OFFSET($BH$3,0,0,'Données projet'!$E$11+1,1))-AVERAGE(OFFSET($H$3,0,0,'Données projet'!$E$11+1,1))</f>
        <v>287.69656598881124</v>
      </c>
      <c r="BJ11" s="62">
        <f t="shared" si="38"/>
        <v>221.9773436301067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6.5093333333333332</v>
      </c>
      <c r="N12" s="14">
        <f>IF('Données projet'!$A$36&gt;35,N11+M12-V11,IF(A12&lt;'Données projet'!$A$36,$K$205^A12,IF(A12='Données projet'!$A$36,'Données projet'!$B$36,N11+M12-V11)))</f>
        <v>4.8662826423445642</v>
      </c>
      <c r="O12" s="14">
        <f>N12*VLOOKUP('Données projet'!$B$9,Paramètres!$A$1:$I$89,3,0)*VLOOKUP('Données projet'!$B$9,Paramètres!$A$1:$I$89,5,0)</f>
        <v>2.277420276617256</v>
      </c>
      <c r="P12" s="14">
        <f t="shared" si="33"/>
        <v>0.95364966678564289</v>
      </c>
      <c r="Q12" s="22">
        <f t="shared" si="2"/>
        <v>5.6274468180933814</v>
      </c>
      <c r="R12" s="62">
        <f t="shared" si="0"/>
        <v>298.96078015142672</v>
      </c>
      <c r="S12" s="62">
        <f ca="1">AVERAGE(OFFSET($R$3,0,0,'Données projet'!$E$9+1,1))-AVERAGE(OFFSET($H$3,0,0,'Données projet'!$E$9+1,1))</f>
        <v>228.57322051753096</v>
      </c>
      <c r="T12" s="62">
        <f t="shared" si="34"/>
        <v>168.91992124331932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4.3703703703703702</v>
      </c>
      <c r="AI12" s="14">
        <f>IF('Données projet'!$A$62&gt;35,AI11+AH12-AQ11,IF(A12&lt;'Données projet'!$A$62,$AF$205^A12,IF(A12='Données projet'!$A$62,'Données projet'!$B$62,AI11+AH12-AQ11)))</f>
        <v>4.9048681315240179</v>
      </c>
      <c r="AJ12" s="14">
        <f>AI12*VLOOKUP('Données projet'!$B$10,Paramètres!$A$1:$I$89,3,0)*VLOOKUP('Données projet'!$B$10,Paramètres!$A$1:$I$89,5,0)</f>
        <v>2.9331111426513625</v>
      </c>
      <c r="AK12" s="14">
        <f t="shared" si="35"/>
        <v>1.192569079504352</v>
      </c>
      <c r="AL12" s="22">
        <f t="shared" si="4"/>
        <v>7.1855597202545356</v>
      </c>
      <c r="AM12" s="62">
        <f t="shared" si="5"/>
        <v>300.51889305358787</v>
      </c>
      <c r="AN12" s="62">
        <f ca="1">AVERAGE(OFFSET($AM$3,0,0,'Données projet'!$E$10+1,1))-AVERAGE(OFFSET($H$3,0,0,'Données projet'!$E$10+1,1))</f>
        <v>221.96671908615446</v>
      </c>
      <c r="AO12" s="62">
        <f t="shared" si="36"/>
        <v>141.9613211447562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303.69312942710241</v>
      </c>
      <c r="BI12" s="62">
        <f ca="1">AVERAGE(OFFSET($BH$3,0,0,'Données projet'!$E$11+1,1))-AVERAGE(OFFSET($H$3,0,0,'Données projet'!$E$11+1,1))</f>
        <v>287.69656598881124</v>
      </c>
      <c r="BJ12" s="62">
        <f t="shared" si="38"/>
        <v>221.9773436301067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6.5093333333333332</v>
      </c>
      <c r="N13" s="14">
        <f>IF('Données projet'!$A$36&gt;35,N12+M13-V12,IF(A13&lt;'Données projet'!$A$36,$K$205^A13,IF(A13='Données projet'!$A$36,'Données projet'!$B$36,N12+M13-V12)))</f>
        <v>5.8016642073384252</v>
      </c>
      <c r="O13" s="14">
        <f>N13*VLOOKUP('Données projet'!$B$9,Paramètres!$A$1:$I$89,3,0)*VLOOKUP('Données projet'!$B$9,Paramètres!$A$1:$I$89,5,0)</f>
        <v>2.7151788490343831</v>
      </c>
      <c r="P13" s="14">
        <f t="shared" si="33"/>
        <v>1.1139260698625209</v>
      </c>
      <c r="Q13" s="22">
        <f t="shared" si="2"/>
        <v>6.6690244004121082</v>
      </c>
      <c r="R13" s="62">
        <f t="shared" si="0"/>
        <v>300.00235773374544</v>
      </c>
      <c r="S13" s="62">
        <f ca="1">AVERAGE(OFFSET($R$3,0,0,'Données projet'!$E$9+1,1))-AVERAGE(OFFSET($H$3,0,0,'Données projet'!$E$9+1,1))</f>
        <v>228.57322051753096</v>
      </c>
      <c r="T13" s="62">
        <f t="shared" si="34"/>
        <v>168.91992124331932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4.3703703703703702</v>
      </c>
      <c r="AI13" s="14">
        <f>IF('Données projet'!$A$62&gt;35,AI12+AH13-AQ12,IF(A13&lt;'Données projet'!$A$62,$AF$205^A13,IF(A13='Données projet'!$A$62,'Données projet'!$B$62,AI12+AH13-AQ12)))</f>
        <v>5.8528003047504482</v>
      </c>
      <c r="AJ13" s="14">
        <f>AI13*VLOOKUP('Données projet'!$B$10,Paramètres!$A$1:$I$89,3,0)*VLOOKUP('Données projet'!$B$10,Paramètres!$A$1:$I$89,5,0)</f>
        <v>3.499974582240768</v>
      </c>
      <c r="AK13" s="14">
        <f t="shared" si="35"/>
        <v>1.3940803381250744</v>
      </c>
      <c r="AL13" s="22">
        <f t="shared" si="4"/>
        <v>8.5238123196371749</v>
      </c>
      <c r="AM13" s="62">
        <f t="shared" si="5"/>
        <v>301.85714565297047</v>
      </c>
      <c r="AN13" s="62">
        <f ca="1">AVERAGE(OFFSET($AM$3,0,0,'Données projet'!$E$10+1,1))-AVERAGE(OFFSET($H$3,0,0,'Données projet'!$E$10+1,1))</f>
        <v>221.96671908615446</v>
      </c>
      <c r="AO13" s="62">
        <f t="shared" si="36"/>
        <v>141.9613211447562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306.13533976477066</v>
      </c>
      <c r="BI13" s="62">
        <f ca="1">AVERAGE(OFFSET($BH$3,0,0,'Données projet'!$E$11+1,1))-AVERAGE(OFFSET($H$3,0,0,'Données projet'!$E$11+1,1))</f>
        <v>287.69656598881124</v>
      </c>
      <c r="BJ13" s="62">
        <f t="shared" si="38"/>
        <v>221.9773436301067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6.5093333333333332</v>
      </c>
      <c r="N14" s="14">
        <f>IF('Données projet'!$A$36&gt;35,N13+M14-V13,IF(A14&lt;'Données projet'!$A$36,$K$205^A14,IF(A14='Données projet'!$A$36,'Données projet'!$B$36,N13+M14-V13)))</f>
        <v>6.9168418788134387</v>
      </c>
      <c r="O14" s="14">
        <f>N14*VLOOKUP('Données projet'!$B$9,Paramètres!$A$1:$I$89,3,0)*VLOOKUP('Données projet'!$B$9,Paramètres!$A$1:$I$89,5,0)</f>
        <v>3.2370819992846895</v>
      </c>
      <c r="P14" s="14">
        <f t="shared" si="33"/>
        <v>1.3011395403740753</v>
      </c>
      <c r="Q14" s="22">
        <f t="shared" si="2"/>
        <v>7.9040691815723489</v>
      </c>
      <c r="R14" s="62">
        <f t="shared" si="0"/>
        <v>301.23740251490568</v>
      </c>
      <c r="S14" s="62">
        <f ca="1">AVERAGE(OFFSET($R$3,0,0,'Données projet'!$E$9+1,1))-AVERAGE(OFFSET($H$3,0,0,'Données projet'!$E$9+1,1))</f>
        <v>228.57322051753096</v>
      </c>
      <c r="T14" s="62">
        <f t="shared" si="34"/>
        <v>168.91992124331932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4.3703703703703702</v>
      </c>
      <c r="AI14" s="14">
        <f>IF('Données projet'!$A$62&gt;35,AI13+AH14-AQ13,IF(A14&lt;'Données projet'!$A$62,$AF$205^A14,IF(A14='Données projet'!$A$62,'Données projet'!$B$62,AI13+AH14-AQ13)))</f>
        <v>6.9839332044678839</v>
      </c>
      <c r="AJ14" s="14">
        <f>AI14*VLOOKUP('Données projet'!$B$10,Paramètres!$A$1:$I$89,3,0)*VLOOKUP('Données projet'!$B$10,Paramètres!$A$1:$I$89,5,0)</f>
        <v>4.1763920562717951</v>
      </c>
      <c r="AK14" s="14">
        <f t="shared" si="35"/>
        <v>1.629641437588379</v>
      </c>
      <c r="AL14" s="22">
        <f t="shared" si="4"/>
        <v>10.112175001806468</v>
      </c>
      <c r="AM14" s="62">
        <f t="shared" si="5"/>
        <v>303.44550833513978</v>
      </c>
      <c r="AN14" s="62">
        <f ca="1">AVERAGE(OFFSET($AM$3,0,0,'Données projet'!$E$10+1,1))-AVERAGE(OFFSET($H$3,0,0,'Données projet'!$E$10+1,1))</f>
        <v>221.96671908615446</v>
      </c>
      <c r="AO14" s="62">
        <f t="shared" si="36"/>
        <v>141.9613211447562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309.15531959729486</v>
      </c>
      <c r="BI14" s="62">
        <f ca="1">AVERAGE(OFFSET($BH$3,0,0,'Données projet'!$E$11+1,1))-AVERAGE(OFFSET($H$3,0,0,'Données projet'!$E$11+1,1))</f>
        <v>287.69656598881124</v>
      </c>
      <c r="BJ14" s="62">
        <f t="shared" si="38"/>
        <v>221.9773436301067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6.5093333333333332</v>
      </c>
      <c r="N15" s="14">
        <f>IF('Données projet'!$A$36&gt;35,N14+M15-V14,IF(A15&lt;'Données projet'!$A$36,$K$205^A15,IF(A15='Données projet'!$A$36,'Données projet'!$B$36,N14+M15-V14)))</f>
        <v>8.2463754996354339</v>
      </c>
      <c r="O15" s="14">
        <f>N15*VLOOKUP('Données projet'!$B$9,Paramètres!$A$1:$I$89,3,0)*VLOOKUP('Données projet'!$B$9,Paramètres!$A$1:$I$89,5,0)</f>
        <v>3.8593037338293832</v>
      </c>
      <c r="P15" s="14">
        <f t="shared" si="33"/>
        <v>1.5198172924831568</v>
      </c>
      <c r="Q15" s="22">
        <f t="shared" si="2"/>
        <v>9.3686357874943393</v>
      </c>
      <c r="R15" s="62">
        <f t="shared" si="0"/>
        <v>302.70196912082764</v>
      </c>
      <c r="S15" s="62">
        <f ca="1">AVERAGE(OFFSET($R$3,0,0,'Données projet'!$E$9+1,1))-AVERAGE(OFFSET($H$3,0,0,'Données projet'!$E$9+1,1))</f>
        <v>228.57322051753096</v>
      </c>
      <c r="T15" s="62">
        <f t="shared" si="34"/>
        <v>168.91992124331932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4.3703703703703702</v>
      </c>
      <c r="AI15" s="14">
        <f>IF('Données projet'!$A$62&gt;35,AI14+AH15-AQ14,IF(A15&lt;'Données projet'!$A$62,$AF$205^A15,IF(A15='Données projet'!$A$62,'Données projet'!$B$62,AI14+AH15-AQ14)))</f>
        <v>8.3336728514178713</v>
      </c>
      <c r="AJ15" s="14">
        <f>AI15*VLOOKUP('Données projet'!$B$10,Paramètres!$A$1:$I$89,3,0)*VLOOKUP('Données projet'!$B$10,Paramètres!$A$1:$I$89,5,0)</f>
        <v>4.983536365147887</v>
      </c>
      <c r="AK15" s="14">
        <f t="shared" si="35"/>
        <v>1.9050058611951031</v>
      </c>
      <c r="AL15" s="22">
        <f t="shared" si="4"/>
        <v>11.997544377547372</v>
      </c>
      <c r="AM15" s="62">
        <f t="shared" si="5"/>
        <v>305.33087771088071</v>
      </c>
      <c r="AN15" s="62">
        <f ca="1">AVERAGE(OFFSET($AM$3,0,0,'Données projet'!$E$10+1,1))-AVERAGE(OFFSET($H$3,0,0,'Données projet'!$E$10+1,1))</f>
        <v>221.96671908615446</v>
      </c>
      <c r="AO15" s="62">
        <f t="shared" si="36"/>
        <v>141.9613211447562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312.8902077629582</v>
      </c>
      <c r="BI15" s="62">
        <f ca="1">AVERAGE(OFFSET($BH$3,0,0,'Données projet'!$E$11+1,1))-AVERAGE(OFFSET($H$3,0,0,'Données projet'!$E$11+1,1))</f>
        <v>287.69656598881124</v>
      </c>
      <c r="BJ15" s="62">
        <f t="shared" si="38"/>
        <v>221.9773436301067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6.5093333333333332</v>
      </c>
      <c r="N16" s="14">
        <f>IF('Données projet'!$A$36&gt;35,N15+M16-V15,IF(A16&lt;'Données projet'!$A$36,$K$205^A16,IF(A16='Données projet'!$A$36,'Données projet'!$B$36,N15+M16-V15)))</f>
        <v>9.831467897116827</v>
      </c>
      <c r="O16" s="14">
        <f>N16*VLOOKUP('Données projet'!$B$9,Paramètres!$A$1:$I$89,3,0)*VLOOKUP('Données projet'!$B$9,Paramètres!$A$1:$I$89,5,0)</f>
        <v>4.6011269758506748</v>
      </c>
      <c r="P16" s="14">
        <f t="shared" si="33"/>
        <v>1.7752474126385842</v>
      </c>
      <c r="Q16" s="22">
        <f t="shared" si="2"/>
        <v>11.105518726618792</v>
      </c>
      <c r="R16" s="62">
        <f t="shared" si="0"/>
        <v>304.43885205995213</v>
      </c>
      <c r="S16" s="62">
        <f ca="1">AVERAGE(OFFSET($R$3,0,0,'Données projet'!$E$9+1,1))-AVERAGE(OFFSET($H$3,0,0,'Données projet'!$E$9+1,1))</f>
        <v>228.57322051753096</v>
      </c>
      <c r="T16" s="62">
        <f t="shared" si="34"/>
        <v>168.91992124331932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4.3703703703703702</v>
      </c>
      <c r="AI16" s="14">
        <f>IF('Données projet'!$A$62&gt;35,AI15+AH16-AQ15,IF(A16&lt;'Données projet'!$A$62,$AF$205^A16,IF(A16='Données projet'!$A$62,'Données projet'!$B$62,AI15+AH16-AQ15)))</f>
        <v>9.944267959210924</v>
      </c>
      <c r="AJ16" s="14">
        <f>AI16*VLOOKUP('Données projet'!$B$10,Paramètres!$A$1:$I$89,3,0)*VLOOKUP('Données projet'!$B$10,Paramètres!$A$1:$I$89,5,0)</f>
        <v>5.9466722396081328</v>
      </c>
      <c r="AK16" s="14">
        <f t="shared" si="35"/>
        <v>2.2268992721234029</v>
      </c>
      <c r="AL16" s="22">
        <f t="shared" si="4"/>
        <v>14.235637049599092</v>
      </c>
      <c r="AM16" s="62">
        <f t="shared" si="5"/>
        <v>307.56897038293243</v>
      </c>
      <c r="AN16" s="62">
        <f ca="1">AVERAGE(OFFSET($AM$3,0,0,'Données projet'!$E$10+1,1))-AVERAGE(OFFSET($H$3,0,0,'Données projet'!$E$10+1,1))</f>
        <v>221.96671908615446</v>
      </c>
      <c r="AO16" s="62">
        <f t="shared" si="36"/>
        <v>141.9613211447562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317.50979388947383</v>
      </c>
      <c r="BI16" s="62">
        <f ca="1">AVERAGE(OFFSET($BH$3,0,0,'Données projet'!$E$11+1,1))-AVERAGE(OFFSET($H$3,0,0,'Données projet'!$E$11+1,1))</f>
        <v>287.69656598881124</v>
      </c>
      <c r="BJ16" s="62">
        <f t="shared" si="38"/>
        <v>221.9773436301067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6.5093333333333332</v>
      </c>
      <c r="N17" s="14">
        <f>IF('Données projet'!$A$36&gt;35,N16+M17-V16,IF(A17&lt;'Données projet'!$A$36,$K$205^A17,IF(A17='Données projet'!$A$36,'Données projet'!$B$36,N16+M17-V16)))</f>
        <v>11.721241776621973</v>
      </c>
      <c r="O17" s="14">
        <f>N17*VLOOKUP('Données projet'!$B$9,Paramètres!$A$1:$I$89,3,0)*VLOOKUP('Données projet'!$B$9,Paramètres!$A$1:$I$89,5,0)</f>
        <v>5.4855411514590839</v>
      </c>
      <c r="P17" s="14">
        <f t="shared" si="33"/>
        <v>2.0736067365906181</v>
      </c>
      <c r="Q17" s="22">
        <f t="shared" si="2"/>
        <v>13.1655159050199</v>
      </c>
      <c r="R17" s="62">
        <f t="shared" si="0"/>
        <v>306.49884923835322</v>
      </c>
      <c r="S17" s="62">
        <f ca="1">AVERAGE(OFFSET($R$3,0,0,'Données projet'!$E$9+1,1))-AVERAGE(OFFSET($H$3,0,0,'Données projet'!$E$9+1,1))</f>
        <v>228.57322051753096</v>
      </c>
      <c r="T17" s="62">
        <f t="shared" si="34"/>
        <v>168.91992124331932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4.3703703703703702</v>
      </c>
      <c r="AI17" s="14">
        <f>IF('Données projet'!$A$62&gt;35,AI16+AH17-AQ16,IF(A17&lt;'Données projet'!$A$62,$AF$205^A17,IF(A17='Données projet'!$A$62,'Données projet'!$B$62,AI16+AH17-AQ16)))</f>
        <v>11.866132377366407</v>
      </c>
      <c r="AJ17" s="14">
        <f>AI17*VLOOKUP('Données projet'!$B$10,Paramètres!$A$1:$I$89,3,0)*VLOOKUP('Données projet'!$B$10,Paramètres!$A$1:$I$89,5,0)</f>
        <v>7.0959471616651122</v>
      </c>
      <c r="AK17" s="14">
        <f t="shared" si="35"/>
        <v>2.6031837849951125</v>
      </c>
      <c r="AL17" s="22">
        <f t="shared" si="4"/>
        <v>16.892653065433223</v>
      </c>
      <c r="AM17" s="62">
        <f t="shared" si="5"/>
        <v>310.22598639876651</v>
      </c>
      <c r="AN17" s="62">
        <f ca="1">AVERAGE(OFFSET($AM$3,0,0,'Données projet'!$E$10+1,1))-AVERAGE(OFFSET($H$3,0,0,'Données projet'!$E$10+1,1))</f>
        <v>221.96671908615446</v>
      </c>
      <c r="AO17" s="62">
        <f t="shared" si="36"/>
        <v>141.9613211447562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323.2243139626886</v>
      </c>
      <c r="BI17" s="62">
        <f ca="1">AVERAGE(OFFSET($BH$3,0,0,'Données projet'!$E$11+1,1))-AVERAGE(OFFSET($H$3,0,0,'Données projet'!$E$11+1,1))</f>
        <v>287.69656598881124</v>
      </c>
      <c r="BJ17" s="62">
        <f t="shared" si="38"/>
        <v>221.9773436301067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6.5093333333333332</v>
      </c>
      <c r="N18" s="14">
        <f>IF('Données projet'!$A$36&gt;35,N17+M18-V17,IF(A18&lt;'Données projet'!$A$36,$K$205^A18,IF(A18='Données projet'!$A$36,'Données projet'!$B$36,N17+M18-V17)))</f>
        <v>13.974262055650758</v>
      </c>
      <c r="O18" s="14">
        <f>N18*VLOOKUP('Données projet'!$B$9,Paramètres!$A$1:$I$89,3,0)*VLOOKUP('Données projet'!$B$9,Paramètres!$A$1:$I$89,5,0)</f>
        <v>6.5399546420445542</v>
      </c>
      <c r="P18" s="14">
        <f t="shared" si="33"/>
        <v>2.4221102182275818</v>
      </c>
      <c r="Q18" s="22">
        <f t="shared" si="2"/>
        <v>15.608929631640637</v>
      </c>
      <c r="R18" s="62">
        <f t="shared" si="0"/>
        <v>308.94226296497396</v>
      </c>
      <c r="S18" s="62">
        <f ca="1">AVERAGE(OFFSET($R$3,0,0,'Données projet'!$E$9+1,1))-AVERAGE(OFFSET($H$3,0,0,'Données projet'!$E$9+1,1))</f>
        <v>228.57322051753096</v>
      </c>
      <c r="T18" s="62">
        <f t="shared" si="34"/>
        <v>168.91992124331932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4.3703703703703702</v>
      </c>
      <c r="AI18" s="14">
        <f>IF('Données projet'!$A$62&gt;35,AI17+AH18-AQ17,IF(A18&lt;'Données projet'!$A$62,$AF$205^A18,IF(A18='Données projet'!$A$62,'Données projet'!$B$62,AI17+AH18-AQ17)))</f>
        <v>14.159423114374338</v>
      </c>
      <c r="AJ18" s="14">
        <f>AI18*VLOOKUP('Données projet'!$B$10,Paramètres!$A$1:$I$89,3,0)*VLOOKUP('Données projet'!$B$10,Paramètres!$A$1:$I$89,5,0)</f>
        <v>8.4673350223958543</v>
      </c>
      <c r="AK18" s="14">
        <f t="shared" si="35"/>
        <v>3.0430499948027987</v>
      </c>
      <c r="AL18" s="22">
        <f t="shared" si="4"/>
        <v>20.047253904954317</v>
      </c>
      <c r="AM18" s="62">
        <f t="shared" si="5"/>
        <v>313.3805872382876</v>
      </c>
      <c r="AN18" s="62">
        <f ca="1">AVERAGE(OFFSET($AM$3,0,0,'Données projet'!$E$10+1,1))-AVERAGE(OFFSET($H$3,0,0,'Données projet'!$E$10+1,1))</f>
        <v>221.96671908615446</v>
      </c>
      <c r="AO18" s="62">
        <f t="shared" si="36"/>
        <v>141.9613211447562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330.29411192516659</v>
      </c>
      <c r="BI18" s="62">
        <f ca="1">AVERAGE(OFFSET($BH$3,0,0,'Données projet'!$E$11+1,1))-AVERAGE(OFFSET($H$3,0,0,'Données projet'!$E$11+1,1))</f>
        <v>287.69656598881124</v>
      </c>
      <c r="BJ18" s="62">
        <f t="shared" si="38"/>
        <v>221.9773436301067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6.5093333333333332</v>
      </c>
      <c r="N19" s="14">
        <f>IF('Données projet'!$A$36&gt;35,N18+M19-V18,IF(A19&lt;'Données projet'!$A$36,$K$205^A19,IF(A19='Données projet'!$A$36,'Données projet'!$B$36,N18+M19-V18)))</f>
        <v>16.660350816198225</v>
      </c>
      <c r="O19" s="14">
        <f>N19*VLOOKUP('Données projet'!$B$9,Paramètres!$A$1:$I$89,3,0)*VLOOKUP('Données projet'!$B$9,Paramètres!$A$1:$I$89,5,0)</f>
        <v>7.7970441819807697</v>
      </c>
      <c r="P19" s="14">
        <f t="shared" si="33"/>
        <v>2.8291854022852188</v>
      </c>
      <c r="Q19" s="22">
        <f t="shared" si="2"/>
        <v>18.507349859263261</v>
      </c>
      <c r="R19" s="62">
        <f t="shared" si="0"/>
        <v>311.8406831925966</v>
      </c>
      <c r="S19" s="62">
        <f ca="1">AVERAGE(OFFSET($R$3,0,0,'Données projet'!$E$9+1,1))-AVERAGE(OFFSET($H$3,0,0,'Données projet'!$E$9+1,1))</f>
        <v>228.57322051753096</v>
      </c>
      <c r="T19" s="62">
        <f t="shared" si="34"/>
        <v>168.91992124331932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4.3703703703703702</v>
      </c>
      <c r="AI19" s="14">
        <f>IF('Données projet'!$A$62&gt;35,AI18+AH19-AQ18,IF(A19&lt;'Données projet'!$A$62,$AF$205^A19,IF(A19='Données projet'!$A$62,'Données projet'!$B$62,AI18+AH19-AQ18)))</f>
        <v>16.895923335078734</v>
      </c>
      <c r="AJ19" s="14">
        <f>AI19*VLOOKUP('Données projet'!$B$10,Paramètres!$A$1:$I$89,3,0)*VLOOKUP('Données projet'!$B$10,Paramètres!$A$1:$I$89,5,0)</f>
        <v>10.103762154377083</v>
      </c>
      <c r="AK19" s="14">
        <f t="shared" si="35"/>
        <v>3.5572414534253478</v>
      </c>
      <c r="AL19" s="22">
        <f t="shared" si="4"/>
        <v>23.79291461692257</v>
      </c>
      <c r="AM19" s="62">
        <f t="shared" si="5"/>
        <v>317.1262479502559</v>
      </c>
      <c r="AN19" s="62">
        <f ca="1">AVERAGE(OFFSET($AM$3,0,0,'Données projet'!$E$10+1,1))-AVERAGE(OFFSET($H$3,0,0,'Données projet'!$E$10+1,1))</f>
        <v>221.96671908615446</v>
      </c>
      <c r="AO19" s="62">
        <f t="shared" si="36"/>
        <v>141.9613211447562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339.04161502361472</v>
      </c>
      <c r="BI19" s="62">
        <f ca="1">AVERAGE(OFFSET($BH$3,0,0,'Données projet'!$E$11+1,1))-AVERAGE(OFFSET($H$3,0,0,'Données projet'!$E$11+1,1))</f>
        <v>287.69656598881124</v>
      </c>
      <c r="BJ19" s="62">
        <f t="shared" si="38"/>
        <v>221.9773436301067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6.5093333333333332</v>
      </c>
      <c r="N20" s="14">
        <f>IF('Données projet'!$A$36&gt;35,N19+M20-V19,IF(A20&lt;'Données projet'!$A$36,$K$205^A20,IF(A20='Données projet'!$A$36,'Données projet'!$B$36,N19+M20-V19)))</f>
        <v>19.862751121556158</v>
      </c>
      <c r="O20" s="14">
        <f>N20*VLOOKUP('Données projet'!$B$9,Paramètres!$A$1:$I$89,3,0)*VLOOKUP('Données projet'!$B$9,Paramètres!$A$1:$I$89,5,0)</f>
        <v>9.2957675248882818</v>
      </c>
      <c r="P20" s="14">
        <f t="shared" si="33"/>
        <v>3.3046762200446183</v>
      </c>
      <c r="Q20" s="22">
        <f t="shared" si="2"/>
        <v>21.945772855758133</v>
      </c>
      <c r="R20" s="62">
        <f t="shared" si="0"/>
        <v>315.27910618909146</v>
      </c>
      <c r="S20" s="62">
        <f ca="1">AVERAGE(OFFSET($R$3,0,0,'Données projet'!$E$9+1,1))-AVERAGE(OFFSET($H$3,0,0,'Données projet'!$E$9+1,1))</f>
        <v>228.57322051753096</v>
      </c>
      <c r="T20" s="62">
        <f t="shared" si="34"/>
        <v>168.91992124331932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4.3703703703703702</v>
      </c>
      <c r="AI20" s="14">
        <f>IF('Données projet'!$A$62&gt;35,AI19+AH20-AQ19,IF(A20&lt;'Données projet'!$A$62,$AF$205^A20,IF(A20='Données projet'!$A$62,'Données projet'!$B$62,AI19+AH20-AQ19)))</f>
        <v>20.161289272799031</v>
      </c>
      <c r="AJ20" s="14">
        <f>AI20*VLOOKUP('Données projet'!$B$10,Paramètres!$A$1:$I$89,3,0)*VLOOKUP('Données projet'!$B$10,Paramètres!$A$1:$I$89,5,0)</f>
        <v>12.056450985133822</v>
      </c>
      <c r="AK20" s="14">
        <f t="shared" si="35"/>
        <v>4.1583170764789594</v>
      </c>
      <c r="AL20" s="22">
        <f t="shared" si="4"/>
        <v>28.240721040642256</v>
      </c>
      <c r="AM20" s="62">
        <f t="shared" si="5"/>
        <v>321.57405437397557</v>
      </c>
      <c r="AN20" s="62">
        <f ca="1">AVERAGE(OFFSET($AM$3,0,0,'Données projet'!$E$10+1,1))-AVERAGE(OFFSET($H$3,0,0,'Données projet'!$E$10+1,1))</f>
        <v>221.96671908615446</v>
      </c>
      <c r="AO20" s="62">
        <f t="shared" si="36"/>
        <v>141.9613211447562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349.8661782737675</v>
      </c>
      <c r="BI20" s="62">
        <f ca="1">AVERAGE(OFFSET($BH$3,0,0,'Données projet'!$E$11+1,1))-AVERAGE(OFFSET($H$3,0,0,'Données projet'!$E$11+1,1))</f>
        <v>287.69656598881124</v>
      </c>
      <c r="BJ20" s="62">
        <f t="shared" si="38"/>
        <v>221.9773436301067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6.5093333333333332</v>
      </c>
      <c r="N21" s="14">
        <f>IF('Données projet'!$A$36&gt;35,N20+M21-V20,IF(A21&lt;'Données projet'!$A$36,$K$205^A21,IF(A21='Données projet'!$A$36,'Données projet'!$B$36,N20+M21-V20)))</f>
        <v>23.680706755183994</v>
      </c>
      <c r="O21" s="14">
        <f>N21*VLOOKUP('Données projet'!$B$9,Paramètres!$A$1:$I$89,3,0)*VLOOKUP('Données projet'!$B$9,Paramètres!$A$1:$I$89,5,0)</f>
        <v>11.08257076142611</v>
      </c>
      <c r="P21" s="14">
        <f t="shared" si="33"/>
        <v>3.8600810362259259</v>
      </c>
      <c r="Q21" s="22">
        <f t="shared" si="2"/>
        <v>26.025118547577296</v>
      </c>
      <c r="R21" s="62">
        <f t="shared" si="0"/>
        <v>319.35845188091059</v>
      </c>
      <c r="S21" s="62">
        <f ca="1">AVERAGE(OFFSET($R$3,0,0,'Données projet'!$E$9+1,1))-AVERAGE(OFFSET($H$3,0,0,'Données projet'!$E$9+1,1))</f>
        <v>228.57322051753096</v>
      </c>
      <c r="T21" s="62">
        <f t="shared" si="34"/>
        <v>168.91992124331932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4.3703703703703702</v>
      </c>
      <c r="AI21" s="14">
        <f>IF('Données projet'!$A$62&gt;35,AI20+AH21-AQ20,IF(A21&lt;'Données projet'!$A$62,$AF$205^A21,IF(A21='Données projet'!$A$62,'Données projet'!$B$62,AI20+AH21-AQ20)))</f>
        <v>24.057731387639919</v>
      </c>
      <c r="AJ21" s="14">
        <f>AI21*VLOOKUP('Données projet'!$B$10,Paramètres!$A$1:$I$89,3,0)*VLOOKUP('Données projet'!$B$10,Paramètres!$A$1:$I$89,5,0)</f>
        <v>14.386523369808673</v>
      </c>
      <c r="AK21" s="14">
        <f t="shared" si="35"/>
        <v>4.8609578896833261</v>
      </c>
      <c r="AL21" s="22">
        <f t="shared" si="4"/>
        <v>33.522696526948565</v>
      </c>
      <c r="AM21" s="62">
        <f t="shared" si="5"/>
        <v>326.85602986028186</v>
      </c>
      <c r="AN21" s="62">
        <f ca="1">AVERAGE(OFFSET($AM$3,0,0,'Données projet'!$E$10+1,1))-AVERAGE(OFFSET($H$3,0,0,'Données projet'!$E$10+1,1))</f>
        <v>221.96671908615446</v>
      </c>
      <c r="AO21" s="62">
        <f t="shared" si="36"/>
        <v>141.9613211447562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363.26248699382734</v>
      </c>
      <c r="BI21" s="62">
        <f ca="1">AVERAGE(OFFSET($BH$3,0,0,'Données projet'!$E$11+1,1))-AVERAGE(OFFSET($H$3,0,0,'Données projet'!$E$11+1,1))</f>
        <v>287.69656598881124</v>
      </c>
      <c r="BJ21" s="62">
        <f t="shared" si="38"/>
        <v>221.9773436301067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6.5093333333333332</v>
      </c>
      <c r="N22" s="14">
        <f>IF('Données projet'!$A$36&gt;35,N21+M22-V21,IF(A22&lt;'Données projet'!$A$36,$K$205^A22,IF(A22='Données projet'!$A$36,'Données projet'!$B$36,N21+M22-V21)))</f>
        <v>28.232537828882712</v>
      </c>
      <c r="O22" s="14">
        <f>N22*VLOOKUP('Données projet'!$B$9,Paramètres!$A$1:$I$89,3,0)*VLOOKUP('Données projet'!$B$9,Paramètres!$A$1:$I$89,5,0)</f>
        <v>13.21282770391711</v>
      </c>
      <c r="P22" s="14">
        <f t="shared" si="33"/>
        <v>4.5088307035506903</v>
      </c>
      <c r="Q22" s="22">
        <f t="shared" si="2"/>
        <v>30.865221726339751</v>
      </c>
      <c r="R22" s="62">
        <f t="shared" si="0"/>
        <v>324.19855505967308</v>
      </c>
      <c r="S22" s="62">
        <f ca="1">AVERAGE(OFFSET($R$3,0,0,'Données projet'!$E$9+1,1))-AVERAGE(OFFSET($H$3,0,0,'Données projet'!$E$9+1,1))</f>
        <v>228.57322051753096</v>
      </c>
      <c r="T22" s="62">
        <f t="shared" si="34"/>
        <v>168.91992124331932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4.3703703703703702</v>
      </c>
      <c r="AI22" s="14">
        <f>IF('Données projet'!$A$62&gt;35,AI21+AH22-AQ21,IF(A22&lt;'Données projet'!$A$62,$AF$205^A22,IF(A22='Données projet'!$A$62,'Données projet'!$B$62,AI21+AH22-AQ21)))</f>
        <v>28.707213694944539</v>
      </c>
      <c r="AJ22" s="14">
        <f>AI22*VLOOKUP('Données projet'!$B$10,Paramètres!$A$1:$I$89,3,0)*VLOOKUP('Données projet'!$B$10,Paramètres!$A$1:$I$89,5,0)</f>
        <v>17.166913789576835</v>
      </c>
      <c r="AK22" s="14">
        <f t="shared" si="35"/>
        <v>5.6823256068972627</v>
      </c>
      <c r="AL22" s="22">
        <f t="shared" si="4"/>
        <v>39.79575861552572</v>
      </c>
      <c r="AM22" s="62">
        <f t="shared" si="5"/>
        <v>333.12909194885901</v>
      </c>
      <c r="AN22" s="62">
        <f ca="1">AVERAGE(OFFSET($AM$3,0,0,'Données projet'!$E$10+1,1))-AVERAGE(OFFSET($H$3,0,0,'Données projet'!$E$10+1,1))</f>
        <v>221.96671908615446</v>
      </c>
      <c r="AO22" s="62">
        <f t="shared" si="36"/>
        <v>141.9613211447562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379.84337213080869</v>
      </c>
      <c r="BI22" s="62">
        <f ca="1">AVERAGE(OFFSET($BH$3,0,0,'Données projet'!$E$11+1,1))-AVERAGE(OFFSET($H$3,0,0,'Données projet'!$E$11+1,1))</f>
        <v>287.69656598881124</v>
      </c>
      <c r="BJ22" s="62">
        <f t="shared" si="38"/>
        <v>221.9773436301067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6.5093333333333332</v>
      </c>
      <c r="N23" s="14">
        <f>IF('Données projet'!$A$36&gt;35,N22+M23-V22,IF(A23&lt;'Données projet'!$A$36,$K$205^A23,IF(A23='Données projet'!$A$36,'Données projet'!$B$36,N22+M23-V22)))</f>
        <v>33.659307574711804</v>
      </c>
      <c r="O23" s="14">
        <f>N23*VLOOKUP('Données projet'!$B$9,Paramètres!$A$1:$I$89,3,0)*VLOOKUP('Données projet'!$B$9,Paramètres!$A$1:$I$89,5,0)</f>
        <v>15.752555944965124</v>
      </c>
      <c r="P23" s="14">
        <f t="shared" si="33"/>
        <v>5.2666133489150813</v>
      </c>
      <c r="Q23" s="22">
        <f t="shared" si="2"/>
        <v>36.608386520174683</v>
      </c>
      <c r="R23" s="62">
        <f t="shared" si="0"/>
        <v>329.941719853508</v>
      </c>
      <c r="S23" s="62">
        <f ca="1">AVERAGE(OFFSET($R$3,0,0,'Données projet'!$E$9+1,1))-AVERAGE(OFFSET($H$3,0,0,'Données projet'!$E$9+1,1))</f>
        <v>228.57322051753096</v>
      </c>
      <c r="T23" s="62">
        <f t="shared" si="34"/>
        <v>168.91992124331932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4.3703703703703702</v>
      </c>
      <c r="AI23" s="14">
        <f>IF('Données projet'!$A$62&gt;35,AI22+AH23-AQ22,IF(A23&lt;'Données projet'!$A$62,$AF$205^A23,IF(A23='Données projet'!$A$62,'Données projet'!$B$62,AI22+AH23-AQ22)))</f>
        <v>34.255271407286948</v>
      </c>
      <c r="AJ23" s="14">
        <f>AI23*VLOOKUP('Données projet'!$B$10,Paramètres!$A$1:$I$89,3,0)*VLOOKUP('Données projet'!$B$10,Paramètres!$A$1:$I$89,5,0)</f>
        <v>20.484652301557595</v>
      </c>
      <c r="AK23" s="14">
        <f t="shared" si="35"/>
        <v>6.6424817979453561</v>
      </c>
      <c r="AL23" s="22">
        <f t="shared" si="4"/>
        <v>47.246425223300974</v>
      </c>
      <c r="AM23" s="62">
        <f t="shared" si="5"/>
        <v>340.57975855663426</v>
      </c>
      <c r="AN23" s="62">
        <f ca="1">AVERAGE(OFFSET($AM$3,0,0,'Données projet'!$E$10+1,1))-AVERAGE(OFFSET($H$3,0,0,'Données projet'!$E$10+1,1))</f>
        <v>221.96671908615446</v>
      </c>
      <c r="AO23" s="62">
        <f t="shared" si="36"/>
        <v>141.9613211447562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400.36809883857921</v>
      </c>
      <c r="BI23" s="62">
        <f ca="1">AVERAGE(OFFSET($BH$3,0,0,'Données projet'!$E$11+1,1))-AVERAGE(OFFSET($H$3,0,0,'Données projet'!$E$11+1,1))</f>
        <v>287.69656598881124</v>
      </c>
      <c r="BJ23" s="62">
        <f t="shared" si="38"/>
        <v>221.9773436301067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6.5093333333333332</v>
      </c>
      <c r="N24" s="14">
        <f>IF('Données projet'!$A$36&gt;35,N23+M24-V23,IF(A24&lt;'Données projet'!$A$36,$K$205^A24,IF(A24='Données projet'!$A$36,'Données projet'!$B$36,N23+M24-V23)))</f>
        <v>40.129193956131395</v>
      </c>
      <c r="O24" s="14">
        <f>N24*VLOOKUP('Données projet'!$B$9,Paramètres!$A$1:$I$89,3,0)*VLOOKUP('Données projet'!$B$9,Paramètres!$A$1:$I$89,5,0)</f>
        <v>18.780462771469494</v>
      </c>
      <c r="P24" s="14">
        <f t="shared" si="33"/>
        <v>6.1517537451844344</v>
      </c>
      <c r="Q24" s="22">
        <f t="shared" si="2"/>
        <v>43.423610433172257</v>
      </c>
      <c r="R24" s="62">
        <f t="shared" si="0"/>
        <v>336.75694376650557</v>
      </c>
      <c r="S24" s="62">
        <f ca="1">AVERAGE(OFFSET($R$3,0,0,'Données projet'!$E$9+1,1))-AVERAGE(OFFSET($H$3,0,0,'Données projet'!$E$9+1,1))</f>
        <v>228.57322051753096</v>
      </c>
      <c r="T24" s="62">
        <f t="shared" si="34"/>
        <v>168.91992124331932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4.3703703703703702</v>
      </c>
      <c r="AI24" s="14">
        <f>IF('Données projet'!$A$62&gt;35,AI23+AH24-AQ23,IF(A24&lt;'Données projet'!$A$62,$AF$205^A24,IF(A24='Données projet'!$A$62,'Données projet'!$B$62,AI23+AH24-AQ23)))</f>
        <v>40.875566387466414</v>
      </c>
      <c r="AJ24" s="14">
        <f>AI24*VLOOKUP('Données projet'!$B$10,Paramètres!$A$1:$I$89,3,0)*VLOOKUP('Données projet'!$B$10,Paramètres!$A$1:$I$89,5,0)</f>
        <v>24.443588699704918</v>
      </c>
      <c r="AK24" s="14">
        <f t="shared" si="35"/>
        <v>7.7648778842379169</v>
      </c>
      <c r="AL24" s="22">
        <f t="shared" si="4"/>
        <v>56.096412633700432</v>
      </c>
      <c r="AM24" s="62">
        <f t="shared" si="5"/>
        <v>349.42974596703374</v>
      </c>
      <c r="AN24" s="62">
        <f ca="1">AVERAGE(OFFSET($AM$3,0,0,'Données projet'!$E$10+1,1))-AVERAGE(OFFSET($H$3,0,0,'Données projet'!$E$10+1,1))</f>
        <v>221.96671908615446</v>
      </c>
      <c r="AO24" s="62">
        <f t="shared" si="36"/>
        <v>141.9613211447562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425.77744411092726</v>
      </c>
      <c r="BI24" s="62">
        <f ca="1">AVERAGE(OFFSET($BH$3,0,0,'Données projet'!$E$11+1,1))-AVERAGE(OFFSET($H$3,0,0,'Données projet'!$E$11+1,1))</f>
        <v>287.69656598881124</v>
      </c>
      <c r="BJ24" s="62">
        <f t="shared" si="38"/>
        <v>221.9773436301067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6.5093333333333332</v>
      </c>
      <c r="N25" s="14">
        <f>IF('Données projet'!$A$36&gt;35,N24+M25-V24,IF(A25&lt;'Données projet'!$A$36,$K$205^A25,IF(A25='Données projet'!$A$36,'Données projet'!$B$36,N24+M25-V24)))</f>
        <v>47.84270157650743</v>
      </c>
      <c r="O25" s="14">
        <f>N25*VLOOKUP('Données projet'!$B$9,Paramètres!$A$1:$I$89,3,0)*VLOOKUP('Données projet'!$B$9,Paramètres!$A$1:$I$89,5,0)</f>
        <v>22.390384337805479</v>
      </c>
      <c r="P25" s="14">
        <f t="shared" si="33"/>
        <v>7.1856564426144116</v>
      </c>
      <c r="Q25" s="22">
        <f t="shared" si="2"/>
        <v>51.511604359231313</v>
      </c>
      <c r="R25" s="62">
        <f t="shared" si="0"/>
        <v>344.8449376925646</v>
      </c>
      <c r="S25" s="62">
        <f ca="1">AVERAGE(OFFSET($R$3,0,0,'Données projet'!$E$9+1,1))-AVERAGE(OFFSET($H$3,0,0,'Données projet'!$E$9+1,1))</f>
        <v>228.57322051753096</v>
      </c>
      <c r="T25" s="62">
        <f t="shared" si="34"/>
        <v>168.91992124331932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4.3703703703703702</v>
      </c>
      <c r="AI25" s="14">
        <f>IF('Données projet'!$A$62&gt;35,AI24+AH25-AQ24,IF(A25&lt;'Données projet'!$A$62,$AF$205^A25,IF(A25='Données projet'!$A$62,'Données projet'!$B$62,AI24+AH25-AQ24)))</f>
        <v>48.775323004469058</v>
      </c>
      <c r="AJ25" s="14">
        <f>AI25*VLOOKUP('Données projet'!$B$10,Paramètres!$A$1:$I$89,3,0)*VLOOKUP('Données projet'!$B$10,Paramètres!$A$1:$I$89,5,0)</f>
        <v>29.167643156672497</v>
      </c>
      <c r="AK25" s="14">
        <f t="shared" si="35"/>
        <v>9.0769279301265016</v>
      </c>
      <c r="AL25" s="22">
        <f t="shared" si="4"/>
        <v>66.60929464284159</v>
      </c>
      <c r="AM25" s="62">
        <f t="shared" si="5"/>
        <v>359.94262797617489</v>
      </c>
      <c r="AN25" s="62">
        <f ca="1">AVERAGE(OFFSET($AM$3,0,0,'Données projet'!$E$10+1,1))-AVERAGE(OFFSET($H$3,0,0,'Données projet'!$E$10+1,1))</f>
        <v>221.96671908615446</v>
      </c>
      <c r="AO25" s="62">
        <f t="shared" si="36"/>
        <v>141.9613211447562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457.23719620976442</v>
      </c>
      <c r="BI25" s="62">
        <f ca="1">AVERAGE(OFFSET($BH$3,0,0,'Données projet'!$E$11+1,1))-AVERAGE(OFFSET($H$3,0,0,'Données projet'!$E$11+1,1))</f>
        <v>287.69656598881124</v>
      </c>
      <c r="BJ25" s="62">
        <f t="shared" si="38"/>
        <v>221.9773436301067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2.2846623677361939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6.4999191736399347</v>
      </c>
      <c r="BS25" s="24">
        <f t="shared" si="9"/>
        <v>8.784581541376129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6.5093333333333332</v>
      </c>
      <c r="N26" s="14">
        <f>IF('Données projet'!$A$36&gt;35,N25+M26-V25,IF(A26&lt;'Données projet'!$A$36,$K$205^A26,IF(A26='Données projet'!$A$36,'Données projet'!$B$36,N25+M26-V25)))</f>
        <v>57.038875404299468</v>
      </c>
      <c r="O26" s="14">
        <f>N26*VLOOKUP('Données projet'!$B$9,Paramètres!$A$1:$I$89,3,0)*VLOOKUP('Données projet'!$B$9,Paramètres!$A$1:$I$89,5,0)</f>
        <v>26.694193689212153</v>
      </c>
      <c r="P26" s="14">
        <f t="shared" si="33"/>
        <v>8.3933233757454229</v>
      </c>
      <c r="Q26" s="22">
        <f t="shared" si="2"/>
        <v>61.110758888134434</v>
      </c>
      <c r="R26" s="62">
        <f t="shared" si="0"/>
        <v>354.44409222146777</v>
      </c>
      <c r="S26" s="62">
        <f ca="1">AVERAGE(OFFSET($R$3,0,0,'Données projet'!$E$9+1,1))-AVERAGE(OFFSET($H$3,0,0,'Données projet'!$E$9+1,1))</f>
        <v>228.57322051753096</v>
      </c>
      <c r="T26" s="62">
        <f t="shared" si="34"/>
        <v>168.91992124331932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4.3703703703703702</v>
      </c>
      <c r="AI26" s="14">
        <f>IF('Données projet'!$A$62&gt;35,AI25+AH26-AQ25,IF(A26&lt;'Données projet'!$A$62,$AF$205^A26,IF(A26='Données projet'!$A$62,'Données projet'!$B$62,AI25+AH26-AQ25)))</f>
        <v>58.201814542189823</v>
      </c>
      <c r="AJ26" s="14">
        <f>AI26*VLOOKUP('Données projet'!$B$10,Paramètres!$A$1:$I$89,3,0)*VLOOKUP('Données projet'!$B$10,Paramètres!$A$1:$I$89,5,0)</f>
        <v>34.804685096229512</v>
      </c>
      <c r="AK26" s="14">
        <f t="shared" si="35"/>
        <v>10.610678220189007</v>
      </c>
      <c r="AL26" s="22">
        <f t="shared" si="4"/>
        <v>79.098424442762266</v>
      </c>
      <c r="AM26" s="62">
        <f t="shared" si="5"/>
        <v>372.43175777609559</v>
      </c>
      <c r="AN26" s="62">
        <f ca="1">AVERAGE(OFFSET($AM$3,0,0,'Données projet'!$E$10+1,1))-AVERAGE(OFFSET($H$3,0,0,'Données projet'!$E$10+1,1))</f>
        <v>221.96671908615446</v>
      </c>
      <c r="AO26" s="62">
        <f t="shared" si="36"/>
        <v>141.9613211447562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452.47373260408426</v>
      </c>
      <c r="BI26" s="62">
        <f ca="1">AVERAGE(OFFSET($BH$3,0,0,'Données projet'!$E$11+1,1))-AVERAGE(OFFSET($H$3,0,0,'Données projet'!$E$11+1,1))</f>
        <v>287.69656598881124</v>
      </c>
      <c r="BJ26" s="62">
        <f t="shared" si="38"/>
        <v>221.9773436301067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2.239861532211334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4.5961369248452586</v>
      </c>
      <c r="BS26" s="24">
        <f t="shared" si="9"/>
        <v>6.8359984570565926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6.5093333333333332</v>
      </c>
      <c r="N27" s="14">
        <f>IF('Données projet'!$A$36&gt;35,N26+M27-V26,IF(A27&lt;'Données projet'!$A$36,$K$205^A27,IF(A27='Données projet'!$A$36,'Données projet'!$B$36,N26+M27-V26)))</f>
        <v>68.002708880987569</v>
      </c>
      <c r="O27" s="14">
        <f>N27*VLOOKUP('Données projet'!$B$9,Paramètres!$A$1:$I$89,3,0)*VLOOKUP('Données projet'!$B$9,Paramètres!$A$1:$I$89,5,0)</f>
        <v>31.825267756302182</v>
      </c>
      <c r="P27" s="14">
        <f t="shared" si="33"/>
        <v>9.803958462590094</v>
      </c>
      <c r="Q27" s="22">
        <f t="shared" si="2"/>
        <v>72.504235664570714</v>
      </c>
      <c r="R27" s="62">
        <f t="shared" si="0"/>
        <v>365.83756899790404</v>
      </c>
      <c r="S27" s="62">
        <f ca="1">AVERAGE(OFFSET($R$3,0,0,'Données projet'!$E$9+1,1))-AVERAGE(OFFSET($H$3,0,0,'Données projet'!$E$9+1,1))</f>
        <v>228.57322051753096</v>
      </c>
      <c r="T27" s="62">
        <f t="shared" si="34"/>
        <v>168.91992124331932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4.3703703703703702</v>
      </c>
      <c r="AI27" s="14">
        <f>IF('Données projet'!$A$62&gt;35,AI26+AH27-AQ26,IF(A27&lt;'Données projet'!$A$62,$AF$205^A27,IF(A27='Données projet'!$A$62,'Données projet'!$B$62,AI26+AH27-AQ26)))</f>
        <v>69.450103194459274</v>
      </c>
      <c r="AJ27" s="14">
        <f>AI27*VLOOKUP('Données projet'!$B$10,Paramètres!$A$1:$I$89,3,0)*VLOOKUP('Données projet'!$B$10,Paramètres!$A$1:$I$89,5,0)</f>
        <v>41.531161710286646</v>
      </c>
      <c r="AK27" s="14">
        <f t="shared" si="35"/>
        <v>12.40358997659513</v>
      </c>
      <c r="AL27" s="22">
        <f t="shared" si="4"/>
        <v>93.936359187985758</v>
      </c>
      <c r="AM27" s="62">
        <f t="shared" si="5"/>
        <v>387.26969252131909</v>
      </c>
      <c r="AN27" s="62">
        <f ca="1">AVERAGE(OFFSET($AM$3,0,0,'Données projet'!$E$10+1,1))-AVERAGE(OFFSET($H$3,0,0,'Données projet'!$E$10+1,1))</f>
        <v>221.96671908615446</v>
      </c>
      <c r="AO27" s="62">
        <f t="shared" si="36"/>
        <v>141.9613211447562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468.48347327497567</v>
      </c>
      <c r="BI27" s="62">
        <f ca="1">AVERAGE(OFFSET($BH$3,0,0,'Données projet'!$E$11+1,1))-AVERAGE(OFFSET($H$3,0,0,'Données projet'!$E$11+1,1))</f>
        <v>287.69656598881124</v>
      </c>
      <c r="BJ27" s="62">
        <f t="shared" si="38"/>
        <v>221.9773436301067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2.1959392137453051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3.2499595868199678</v>
      </c>
      <c r="BS27" s="24">
        <f t="shared" si="9"/>
        <v>5.4458988005652724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6.5093333333333332</v>
      </c>
      <c r="N28" s="14">
        <f>IF('Données projet'!$A$36&gt;35,N27+M28-V27,IF(A28&lt;'Données projet'!$A$36,$K$205^A28,IF(A28='Données projet'!$A$36,'Données projet'!$B$36,N27+M28-V27)))</f>
        <v>81.073975992236512</v>
      </c>
      <c r="O28" s="14">
        <f>N28*VLOOKUP('Données projet'!$B$9,Paramètres!$A$1:$I$89,3,0)*VLOOKUP('Données projet'!$B$9,Paramètres!$A$1:$I$89,5,0)</f>
        <v>37.942620764366687</v>
      </c>
      <c r="P28" s="14">
        <f t="shared" si="33"/>
        <v>11.451673816589436</v>
      </c>
      <c r="Q28" s="22">
        <f t="shared" si="2"/>
        <v>86.028396395165245</v>
      </c>
      <c r="R28" s="62">
        <f t="shared" si="0"/>
        <v>379.36172972849857</v>
      </c>
      <c r="S28" s="62">
        <f ca="1">AVERAGE(OFFSET($R$3,0,0,'Données projet'!$E$9+1,1))-AVERAGE(OFFSET($H$3,0,0,'Données projet'!$E$9+1,1))</f>
        <v>228.57322051753096</v>
      </c>
      <c r="T28" s="62">
        <f t="shared" si="34"/>
        <v>168.91992124331932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4.3703703703703702</v>
      </c>
      <c r="AI28" s="14">
        <f>IF('Données projet'!$A$62&gt;35,AI27+AH28-AQ27,IF(A28&lt;'Données projet'!$A$62,$AF$205^A28,IF(A28='Données projet'!$A$62,'Données projet'!$B$62,AI27+AH28-AQ27)))</f>
        <v>82.872275918900684</v>
      </c>
      <c r="AJ28" s="14">
        <f>AI28*VLOOKUP('Données projet'!$B$10,Paramètres!$A$1:$I$89,3,0)*VLOOKUP('Données projet'!$B$10,Paramètres!$A$1:$I$89,5,0)</f>
        <v>49.557620999502618</v>
      </c>
      <c r="AK28" s="14">
        <f t="shared" si="35"/>
        <v>14.49945433410293</v>
      </c>
      <c r="AL28" s="22">
        <f t="shared" si="4"/>
        <v>111.56607287269634</v>
      </c>
      <c r="AM28" s="62">
        <f t="shared" si="5"/>
        <v>404.89940620602965</v>
      </c>
      <c r="AN28" s="62">
        <f ca="1">AVERAGE(OFFSET($AM$3,0,0,'Données projet'!$E$10+1,1))-AVERAGE(OFFSET($H$3,0,0,'Données projet'!$E$10+1,1))</f>
        <v>221.96671908615446</v>
      </c>
      <c r="AO28" s="62">
        <f t="shared" si="36"/>
        <v>141.9613211447562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484.4588463196344</v>
      </c>
      <c r="BI28" s="62">
        <f ca="1">AVERAGE(OFFSET($BH$3,0,0,'Données projet'!$E$11+1,1))-AVERAGE(OFFSET($H$3,0,0,'Données projet'!$E$11+1,1))</f>
        <v>287.69656598881124</v>
      </c>
      <c r="BJ28" s="62">
        <f t="shared" si="38"/>
        <v>221.9773436301067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0.20250000000000001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0.55000000000000004</v>
      </c>
      <c r="BP28" s="23">
        <f>EXP(-LN(2)/35)*BP27+(1-EXP(-LN(2)/35))/(LN(2)/35)*BL28*BM28*VLOOKUP('Données projet'!$B$11,Paramètres!$A$1:$I$89,3,0)*0.475*44/12</f>
        <v>4.8837636715890955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8.6287189075823587</v>
      </c>
      <c r="BS28" s="24">
        <f t="shared" si="9"/>
        <v>13.512482579171454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6.5093333333333332</v>
      </c>
      <c r="N29" s="14">
        <f>IF('Données projet'!$A$36&gt;35,N28+M29-V28,IF(A29&lt;'Données projet'!$A$36,$K$205^A29,IF(A29='Données projet'!$A$36,'Données projet'!$B$36,N28+M29-V28)))</f>
        <v>96.657761012038762</v>
      </c>
      <c r="O29" s="14">
        <f>N29*VLOOKUP('Données projet'!$B$9,Paramètres!$A$1:$I$89,3,0)*VLOOKUP('Données projet'!$B$9,Paramètres!$A$1:$I$89,5,0)</f>
        <v>45.235832153634135</v>
      </c>
      <c r="P29" s="14">
        <f t="shared" si="33"/>
        <v>13.376314649023318</v>
      </c>
      <c r="Q29" s="22">
        <f t="shared" si="2"/>
        <v>102.08282234796172</v>
      </c>
      <c r="R29" s="62">
        <f t="shared" si="0"/>
        <v>395.41615568129504</v>
      </c>
      <c r="S29" s="62">
        <f ca="1">AVERAGE(OFFSET($R$3,0,0,'Données projet'!$E$9+1,1))-AVERAGE(OFFSET($H$3,0,0,'Données projet'!$E$9+1,1))</f>
        <v>228.57322051753096</v>
      </c>
      <c r="T29" s="62">
        <f t="shared" si="34"/>
        <v>168.91992124331932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4.3703703703703702</v>
      </c>
      <c r="AI29" s="14">
        <f>IF('Données projet'!$A$62&gt;35,AI28+AH29-AQ28,IF(A29&lt;'Données projet'!$A$62,$AF$205^A29,IF(A29='Données projet'!$A$62,'Données projet'!$B$62,AI28+AH29-AQ28)))</f>
        <v>98.888465244589028</v>
      </c>
      <c r="AJ29" s="14">
        <f>AI29*VLOOKUP('Données projet'!$B$10,Paramètres!$A$1:$I$89,3,0)*VLOOKUP('Données projet'!$B$10,Paramètres!$A$1:$I$89,5,0)</f>
        <v>59.135302216264243</v>
      </c>
      <c r="AK29" s="14">
        <f t="shared" si="35"/>
        <v>16.949461920575921</v>
      </c>
      <c r="AL29" s="22">
        <f t="shared" si="4"/>
        <v>132.51429753832994</v>
      </c>
      <c r="AM29" s="62">
        <f t="shared" si="5"/>
        <v>425.84763087166323</v>
      </c>
      <c r="AN29" s="62">
        <f ca="1">AVERAGE(OFFSET($AM$3,0,0,'Données projet'!$E$10+1,1))-AVERAGE(OFFSET($H$3,0,0,'Données projet'!$E$10+1,1))</f>
        <v>221.96671908615446</v>
      </c>
      <c r="AO29" s="62">
        <f t="shared" si="36"/>
        <v>141.9613211447562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479.79911161741188</v>
      </c>
      <c r="BI29" s="62">
        <f ca="1">AVERAGE(OFFSET($BH$3,0,0,'Données projet'!$E$11+1,1))-AVERAGE(OFFSET($H$3,0,0,'Données projet'!$E$11+1,1))</f>
        <v>287.69656598881124</v>
      </c>
      <c r="BJ29" s="62">
        <f t="shared" si="38"/>
        <v>221.9773436301067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4.7879960447909404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6.1014256525040649</v>
      </c>
      <c r="BS29" s="24">
        <f t="shared" si="9"/>
        <v>10.889421697295006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6.5093333333333332</v>
      </c>
      <c r="N30" s="14">
        <f>IF('Données projet'!$A$36&gt;35,N29+M30-V29,IF(A30&lt;'Données projet'!$A$36,$K$205^A30,IF(A30='Données projet'!$A$36,'Données projet'!$B$36,N29+M30-V29)))</f>
        <v>115.23701224120353</v>
      </c>
      <c r="O30" s="14">
        <f>N30*VLOOKUP('Données projet'!$B$9,Paramètres!$A$1:$I$89,3,0)*VLOOKUP('Données projet'!$B$9,Paramètres!$A$1:$I$89,5,0)</f>
        <v>53.930921728883256</v>
      </c>
      <c r="P30" s="14">
        <f t="shared" si="33"/>
        <v>15.624422809744679</v>
      </c>
      <c r="Q30" s="22">
        <f t="shared" si="2"/>
        <v>121.14222507144363</v>
      </c>
      <c r="R30" s="62">
        <f t="shared" si="0"/>
        <v>414.47555840477696</v>
      </c>
      <c r="S30" s="62">
        <f ca="1">AVERAGE(OFFSET($R$3,0,0,'Données projet'!$E$9+1,1))-AVERAGE(OFFSET($H$3,0,0,'Données projet'!$E$9+1,1))</f>
        <v>228.57322051753096</v>
      </c>
      <c r="T30" s="62">
        <f t="shared" si="34"/>
        <v>168.91992124331932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>
        <f>VLOOKUP(A30,'Données projet'!$A$61:$I$81,2,0)</f>
        <v>118</v>
      </c>
      <c r="AG30" s="13">
        <f>VLOOKUP(A30,'Données projet'!$A$61:$I$81,9,0)</f>
        <v>4.3703703703703702</v>
      </c>
      <c r="AH30" s="13">
        <f t="array" ref="AH30">INDEX(AG:AG,MIN(IF(ISNUMBER(AG30:AG226),ROW(AG30:AG226),"")))</f>
        <v>4.3703703703703702</v>
      </c>
      <c r="AI30" s="14">
        <f>IF('Données projet'!$A$62&gt;35,AI29+AH30-AQ29,IF(A30&lt;'Données projet'!$A$62,$AF$205^A30,IF(A30='Données projet'!$A$62,'Données projet'!$B$62,AI29+AH30-AQ29)))</f>
        <v>118</v>
      </c>
      <c r="AJ30" s="14">
        <f>AI30*VLOOKUP('Données projet'!$B$10,Paramètres!$A$1:$I$89,3,0)*VLOOKUP('Données projet'!$B$10,Paramètres!$A$1:$I$89,5,0)</f>
        <v>70.564000000000007</v>
      </c>
      <c r="AK30" s="14">
        <f t="shared" si="35"/>
        <v>19.813453167086163</v>
      </c>
      <c r="AL30" s="22">
        <f t="shared" si="4"/>
        <v>157.40739759934175</v>
      </c>
      <c r="AM30" s="62">
        <f t="shared" si="5"/>
        <v>450.74073093267509</v>
      </c>
      <c r="AN30" s="62">
        <f ca="1">AVERAGE(OFFSET($AM$3,0,0,'Données projet'!$E$10+1,1))-AVERAGE(OFFSET($H$3,0,0,'Données projet'!$E$10+1,1))</f>
        <v>221.96671908615446</v>
      </c>
      <c r="AO30" s="62">
        <f t="shared" si="36"/>
        <v>141.9613211447562</v>
      </c>
      <c r="AP30" s="16">
        <f>IF(ISNA(VLOOKUP(A30,'Données projet'!$A$61:$I$81,3,0)),0,VLOOKUP(A30,'Données projet'!$A$61:$I$81,3,0))</f>
        <v>1</v>
      </c>
      <c r="AQ30" s="16">
        <f>IF(ISNA(VLOOKUP(A30,'Données projet'!$A$61:$I$81,4,0)),0,VLOOKUP(A30,'Données projet'!$A$61:$I$81,4,0))</f>
        <v>15</v>
      </c>
      <c r="AR30" s="17">
        <f>IF(ISNA(VLOOKUP(A30,'Données projet'!$A$61:$I$81,5,0)),0%,VLOOKUP(A30,'Données projet'!$A$61:$I$81,5,0)*VLOOKUP('Données projet'!$B$10,Paramètres!$A$1:$I$89,7,0))</f>
        <v>0.18000000000000002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0.6</v>
      </c>
      <c r="AU30" s="23">
        <f>EXP(-LN(2)/35)*AU29+(1-EXP(-LN(2)/35))/(LN(2)/35)*AQ30*AR30*VLOOKUP('Données projet'!$B$10,Paramètres!$A$1:$I$89,3,0)*0.475*44/12</f>
        <v>2.1418709697526821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6.0936742252874394</v>
      </c>
      <c r="AX30" s="23">
        <f t="shared" si="6"/>
        <v>8.2355451950401211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497.13048476928668</v>
      </c>
      <c r="BI30" s="62">
        <f ca="1">AVERAGE(OFFSET($BH$3,0,0,'Données projet'!$E$11+1,1))-AVERAGE(OFFSET($H$3,0,0,'Données projet'!$E$11+1,1))</f>
        <v>287.69656598881124</v>
      </c>
      <c r="BJ30" s="62">
        <f t="shared" si="38"/>
        <v>221.9773436301067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4.6941063627418131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4.3143594537911802</v>
      </c>
      <c r="BS30" s="24">
        <f t="shared" si="9"/>
        <v>9.0084658165329934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6.5093333333333332</v>
      </c>
      <c r="N31" s="14">
        <f>IF('Données projet'!$A$36&gt;35,N30+M31-V30,IF(A31&lt;'Données projet'!$A$36,$K$205^A31,IF(A31='Données projet'!$A$36,'Données projet'!$B$36,N30+M31-V30)))</f>
        <v>137.38750878602823</v>
      </c>
      <c r="O31" s="14">
        <f>N31*VLOOKUP('Données projet'!$B$9,Paramètres!$A$1:$I$89,3,0)*VLOOKUP('Données projet'!$B$9,Paramètres!$A$1:$I$89,5,0)</f>
        <v>64.29735411186121</v>
      </c>
      <c r="P31" s="14">
        <f t="shared" si="33"/>
        <v>18.250362266672195</v>
      </c>
      <c r="Q31" s="22">
        <f t="shared" si="2"/>
        <v>143.77060602594568</v>
      </c>
      <c r="R31" s="62">
        <f t="shared" si="0"/>
        <v>437.10393935927902</v>
      </c>
      <c r="S31" s="62">
        <f ca="1">AVERAGE(OFFSET($R$3,0,0,'Données projet'!$E$9+1,1))-AVERAGE(OFFSET($H$3,0,0,'Données projet'!$E$9+1,1))</f>
        <v>228.57322051753096</v>
      </c>
      <c r="T31" s="62">
        <f t="shared" si="34"/>
        <v>168.91992124331932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9.6666666666666661</v>
      </c>
      <c r="AI31" s="14">
        <f>IF('Données projet'!$A$62&gt;35,AI30+AH31-AQ30,IF(A31&lt;'Données projet'!$A$62,$AF$205^A31,IF(A31='Données projet'!$A$62,'Données projet'!$B$62,AI30+AH31-AQ30)))</f>
        <v>112.66666666666667</v>
      </c>
      <c r="AJ31" s="14">
        <f>AI31*VLOOKUP('Données projet'!$B$10,Paramètres!$A$1:$I$89,3,0)*VLOOKUP('Données projet'!$B$10,Paramètres!$A$1:$I$89,5,0)</f>
        <v>67.37466666666667</v>
      </c>
      <c r="AK31" s="14">
        <f t="shared" si="35"/>
        <v>19.020051421525295</v>
      </c>
      <c r="AL31" s="22">
        <f t="shared" si="4"/>
        <v>150.47080067026766</v>
      </c>
      <c r="AM31" s="62">
        <f t="shared" si="5"/>
        <v>443.80413400360101</v>
      </c>
      <c r="AN31" s="62">
        <f ca="1">AVERAGE(OFFSET($AM$3,0,0,'Données projet'!$E$10+1,1))-AVERAGE(OFFSET($H$3,0,0,'Données projet'!$E$10+1,1))</f>
        <v>221.96671908615446</v>
      </c>
      <c r="AO31" s="62">
        <f t="shared" si="36"/>
        <v>141.9613211447562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2.099870186448126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4.3088783670424302</v>
      </c>
      <c r="AX31" s="23">
        <f t="shared" si="6"/>
        <v>6.4087485534905557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514.42775738247849</v>
      </c>
      <c r="BI31" s="62">
        <f ca="1">AVERAGE(OFFSET($BH$3,0,0,'Données projet'!$E$11+1,1))-AVERAGE(OFFSET($H$3,0,0,'Données projet'!$E$11+1,1))</f>
        <v>287.69656598881124</v>
      </c>
      <c r="BJ31" s="62">
        <f t="shared" si="38"/>
        <v>221.9773436301067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4.602057800090618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3.0507128262520329</v>
      </c>
      <c r="BS31" s="24">
        <f t="shared" si="9"/>
        <v>7.6527706263426509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6.5093333333333332</v>
      </c>
      <c r="N32" s="14">
        <f>IF('Données projet'!$A$36&gt;35,N31+M32-V31,IF(A32&lt;'Données projet'!$A$36,$K$205^A32,IF(A32='Données projet'!$A$36,'Données projet'!$B$36,N31+M32-V31)))</f>
        <v>163.79570420415698</v>
      </c>
      <c r="O32" s="14">
        <f>N32*VLOOKUP('Données projet'!$B$9,Paramètres!$A$1:$I$89,3,0)*VLOOKUP('Données projet'!$B$9,Paramètres!$A$1:$I$89,5,0)</f>
        <v>76.65638956754546</v>
      </c>
      <c r="P32" s="14">
        <f t="shared" si="33"/>
        <v>21.317633740494983</v>
      </c>
      <c r="Q32" s="22">
        <f t="shared" si="2"/>
        <v>170.63809059483708</v>
      </c>
      <c r="R32" s="62">
        <f t="shared" si="0"/>
        <v>463.9714239281704</v>
      </c>
      <c r="S32" s="62">
        <f ca="1">AVERAGE(OFFSET($R$3,0,0,'Données projet'!$E$9+1,1))-AVERAGE(OFFSET($H$3,0,0,'Données projet'!$E$9+1,1))</f>
        <v>228.57322051753096</v>
      </c>
      <c r="T32" s="62">
        <f t="shared" si="34"/>
        <v>168.91992124331932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9.6666666666666661</v>
      </c>
      <c r="AI32" s="14">
        <f>IF('Données projet'!$A$62&gt;35,AI31+AH32-AQ31,IF(A32&lt;'Données projet'!$A$62,$AF$205^A32,IF(A32='Données projet'!$A$62,'Données projet'!$B$62,AI31+AH32-AQ31)))</f>
        <v>122.33333333333334</v>
      </c>
      <c r="AJ32" s="14">
        <f>AI32*VLOOKUP('Données projet'!$B$10,Paramètres!$A$1:$I$89,3,0)*VLOOKUP('Données projet'!$B$10,Paramètres!$A$1:$I$89,5,0)</f>
        <v>73.155333333333346</v>
      </c>
      <c r="AK32" s="14">
        <f t="shared" si="35"/>
        <v>20.455016056663315</v>
      </c>
      <c r="AL32" s="22">
        <f t="shared" si="4"/>
        <v>163.03802518757752</v>
      </c>
      <c r="AM32" s="62">
        <f t="shared" si="5"/>
        <v>456.3713585209108</v>
      </c>
      <c r="AN32" s="62">
        <f ca="1">AVERAGE(OFFSET($AM$3,0,0,'Données projet'!$E$10+1,1))-AVERAGE(OFFSET($H$3,0,0,'Données projet'!$E$10+1,1))</f>
        <v>221.96671908615446</v>
      </c>
      <c r="AO32" s="62">
        <f t="shared" si="36"/>
        <v>141.9613211447562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2.058693012886224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3.0468371126437201</v>
      </c>
      <c r="AX32" s="23">
        <f t="shared" si="6"/>
        <v>5.1055301255299437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531.69397310455531</v>
      </c>
      <c r="BI32" s="62">
        <f ca="1">AVERAGE(OFFSET($BH$3,0,0,'Données projet'!$E$11+1,1))-AVERAGE(OFFSET($H$3,0,0,'Données projet'!$E$11+1,1))</f>
        <v>287.69656598881124</v>
      </c>
      <c r="BJ32" s="62">
        <f t="shared" si="38"/>
        <v>221.9773436301067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4.5118142536089332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2.1571797268955901</v>
      </c>
      <c r="BS32" s="24">
        <f t="shared" si="9"/>
        <v>6.6689939805045233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195.28</v>
      </c>
      <c r="L33" s="13">
        <f>VLOOKUP(A33,'Données projet'!$A$35:$I$55,9,0)</f>
        <v>6.5093333333333332</v>
      </c>
      <c r="M33" s="13">
        <f t="array" ref="M33">INDEX(L:L,MIN(IF(ISNUMBER(L33:L229),ROW(L33:L229),"")))</f>
        <v>6.5093333333333332</v>
      </c>
      <c r="N33" s="14">
        <f>IF('Données projet'!$A$36&gt;35,N32+M33-V32,IF(A33&lt;'Données projet'!$A$36,$K$205^A33,IF(A33='Données projet'!$A$36,'Données projet'!$B$36,N32+M33-V32)))</f>
        <v>195.28</v>
      </c>
      <c r="O33" s="14">
        <f>N33*VLOOKUP('Données projet'!$B$9,Paramètres!$A$1:$I$89,3,0)*VLOOKUP('Données projet'!$B$9,Paramètres!$A$1:$I$89,5,0)</f>
        <v>91.391040000000004</v>
      </c>
      <c r="P33" s="14">
        <f t="shared" si="33"/>
        <v>24.900410285211944</v>
      </c>
      <c r="Q33" s="22">
        <f t="shared" si="2"/>
        <v>202.54094258007748</v>
      </c>
      <c r="R33" s="62">
        <f t="shared" si="0"/>
        <v>495.87427591341077</v>
      </c>
      <c r="S33" s="62">
        <f ca="1">AVERAGE(OFFSET($R$3,0,0,'Données projet'!$E$9+1,1))-AVERAGE(OFFSET($H$3,0,0,'Données projet'!$E$9+1,1))</f>
        <v>228.57322051753096</v>
      </c>
      <c r="T33" s="62">
        <f t="shared" si="34"/>
        <v>168.91992124331932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132</v>
      </c>
      <c r="AG33" s="13">
        <f>VLOOKUP(A33,'Données projet'!$A$61:$I$81,9,0)</f>
        <v>9.6666666666666661</v>
      </c>
      <c r="AH33" s="13">
        <f t="array" ref="AH33">INDEX(AG:AG,MIN(IF(ISNUMBER(AG33:AG229),ROW(AG33:AG229),"")))</f>
        <v>9.6666666666666661</v>
      </c>
      <c r="AI33" s="14">
        <f>IF('Données projet'!$A$62&gt;35,AI32+AH33-AQ32,IF(A33&lt;'Données projet'!$A$62,$AF$205^A33,IF(A33='Données projet'!$A$62,'Données projet'!$B$62,AI32+AH33-AQ32)))</f>
        <v>132</v>
      </c>
      <c r="AJ33" s="14">
        <f>AI33*VLOOKUP('Données projet'!$B$10,Paramètres!$A$1:$I$89,3,0)*VLOOKUP('Données projet'!$B$10,Paramètres!$A$1:$I$89,5,0)</f>
        <v>78.936000000000007</v>
      </c>
      <c r="AK33" s="14">
        <f t="shared" si="35"/>
        <v>21.876828219051273</v>
      </c>
      <c r="AL33" s="22">
        <f t="shared" si="4"/>
        <v>175.5823424815143</v>
      </c>
      <c r="AM33" s="62">
        <f t="shared" si="5"/>
        <v>468.91567581484765</v>
      </c>
      <c r="AN33" s="62">
        <f ca="1">AVERAGE(OFFSET($AM$3,0,0,'Données projet'!$E$10+1,1))-AVERAGE(OFFSET($H$3,0,0,'Données projet'!$E$10+1,1))</f>
        <v>221.96671908615446</v>
      </c>
      <c r="AO33" s="62">
        <f t="shared" si="36"/>
        <v>141.9613211447562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13</v>
      </c>
      <c r="AR33" s="17">
        <f>IF(ISNA(VLOOKUP(A33,'Données projet'!$A$61:$I$81,5,0)),0%,VLOOKUP(A33,'Données projet'!$A$61:$I$81,5,0)*VLOOKUP('Données projet'!$B$10,Paramètres!$A$1:$I$89,7,0))</f>
        <v>0.20250000000000001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0.55000000000000004</v>
      </c>
      <c r="AU33" s="23">
        <f>EXP(-LN(2)/35)*AU32+(1-EXP(-LN(2)/35))/(LN(2)/35)*AQ33*AR33*VLOOKUP('Données projet'!$B$10,Paramètres!$A$1:$I$89,3,0)*0.475*44/12</f>
        <v>4.1066474940911402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6.9955248180551255</v>
      </c>
      <c r="AX33" s="23">
        <f t="shared" si="6"/>
        <v>11.102172312146266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287.69656598881124</v>
      </c>
      <c r="BJ33" s="62">
        <f t="shared" si="38"/>
        <v>221.9773436301067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0.22500000000000001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10.491974742329891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13.03562994978007</v>
      </c>
      <c r="BS33" s="24">
        <f t="shared" si="9"/>
        <v>23.527604692109961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16.895999999999997</v>
      </c>
      <c r="N34" s="14">
        <f>IF('Données projet'!$A$36&gt;35,N33+M34-V33,IF(A34&lt;'Données projet'!$A$36,$K$205^A34,IF(A34='Données projet'!$A$36,'Données projet'!$B$36,N33+M34-V33)))</f>
        <v>212.17599999999999</v>
      </c>
      <c r="O34" s="14">
        <f>N34*VLOOKUP('Données projet'!$B$9,Paramètres!$A$1:$I$89,3,0)*VLOOKUP('Données projet'!$B$9,Paramètres!$A$1:$I$89,5,0)</f>
        <v>99.298367999999996</v>
      </c>
      <c r="P34" s="14">
        <f t="shared" si="33"/>
        <v>26.794774963367491</v>
      </c>
      <c r="Q34" s="22">
        <f t="shared" si="2"/>
        <v>219.61222399453172</v>
      </c>
      <c r="R34" s="62">
        <f t="shared" si="0"/>
        <v>512.945557327865</v>
      </c>
      <c r="S34" s="62">
        <f ca="1">AVERAGE(OFFSET($R$3,0,0,'Données projet'!$E$9+1,1))-AVERAGE(OFFSET($H$3,0,0,'Données projet'!$E$9+1,1))</f>
        <v>228.57322051753096</v>
      </c>
      <c r="T34" s="62">
        <f t="shared" si="34"/>
        <v>168.91992124331932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129</v>
      </c>
      <c r="AJ34" s="14">
        <f>AI34*VLOOKUP('Données projet'!$B$10,Paramètres!$A$1:$I$89,3,0)*VLOOKUP('Données projet'!$B$10,Paramètres!$A$1:$I$89,5,0)</f>
        <v>77.14200000000001</v>
      </c>
      <c r="AK34" s="14">
        <f t="shared" si="35"/>
        <v>21.436915648510755</v>
      </c>
      <c r="AL34" s="22">
        <f t="shared" si="4"/>
        <v>171.69161142115624</v>
      </c>
      <c r="AM34" s="62">
        <f t="shared" si="5"/>
        <v>465.02494475448952</v>
      </c>
      <c r="AN34" s="62">
        <f ca="1">AVERAGE(OFFSET($AM$3,0,0,'Données projet'!$E$10+1,1))-AVERAGE(OFFSET($H$3,0,0,'Données projet'!$E$10+1,1))</f>
        <v>221.96671908615446</v>
      </c>
      <c r="AO34" s="62">
        <f t="shared" si="36"/>
        <v>141.9613211447562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4.0261186415396555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4.9465830368055688</v>
      </c>
      <c r="AX34" s="23">
        <f t="shared" si="6"/>
        <v>8.9727016783452243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287.69656598881124</v>
      </c>
      <c r="BJ34" s="62">
        <f t="shared" si="38"/>
        <v>221.9773436301067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10.286233517105499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9.2175823345279415</v>
      </c>
      <c r="BS34" s="24">
        <f t="shared" si="9"/>
        <v>19.503815851633441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16.895999999999997</v>
      </c>
      <c r="N35" s="14">
        <f>IF('Données projet'!$A$36&gt;35,N34+M35-V34,IF(A35&lt;'Données projet'!$A$36,$K$205^A35,IF(A35='Données projet'!$A$36,'Données projet'!$B$36,N34+M35-V34)))</f>
        <v>229.07199999999997</v>
      </c>
      <c r="O35" s="14">
        <f>N35*VLOOKUP('Données projet'!$B$9,Paramètres!$A$1:$I$89,3,0)*VLOOKUP('Données projet'!$B$9,Paramètres!$A$1:$I$89,5,0)</f>
        <v>107.20569599999997</v>
      </c>
      <c r="P35" s="14">
        <f t="shared" si="33"/>
        <v>28.671642082436559</v>
      </c>
      <c r="Q35" s="22">
        <f t="shared" ref="Q35:Q66" si="53">(O35+P35)*0.475*44/12</f>
        <v>236.65303049357692</v>
      </c>
      <c r="R35" s="62">
        <f t="shared" si="0"/>
        <v>529.98636382691029</v>
      </c>
      <c r="S35" s="62">
        <f ca="1">AVERAGE(OFFSET($R$3,0,0,'Données projet'!$E$9+1,1))-AVERAGE(OFFSET($H$3,0,0,'Données projet'!$E$9+1,1))</f>
        <v>228.57322051753096</v>
      </c>
      <c r="T35" s="62">
        <f t="shared" si="34"/>
        <v>168.91992124331932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139</v>
      </c>
      <c r="AJ35" s="14">
        <f>AI35*VLOOKUP('Données projet'!$B$10,Paramètres!$A$1:$I$89,3,0)*VLOOKUP('Données projet'!$B$10,Paramètres!$A$1:$I$89,5,0)</f>
        <v>83.122000000000014</v>
      </c>
      <c r="AK35" s="14">
        <f t="shared" si="35"/>
        <v>22.898820278178533</v>
      </c>
      <c r="AL35" s="22">
        <f t="shared" si="4"/>
        <v>184.65292865116098</v>
      </c>
      <c r="AM35" s="62">
        <f t="shared" si="5"/>
        <v>477.98626198449426</v>
      </c>
      <c r="AN35" s="62">
        <f ca="1">AVERAGE(OFFSET($AM$3,0,0,'Données projet'!$E$10+1,1))-AVERAGE(OFFSET($H$3,0,0,'Données projet'!$E$10+1,1))</f>
        <v>221.96671908615446</v>
      </c>
      <c r="AO35" s="62">
        <f t="shared" si="36"/>
        <v>141.9613211447562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3.9471689106689549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3.4977624090275632</v>
      </c>
      <c r="AX35" s="23">
        <f t="shared" si="6"/>
        <v>7.4449313196965186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287.69656598881124</v>
      </c>
      <c r="BJ35" s="62">
        <f t="shared" si="38"/>
        <v>221.9773436301067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10.084526751818002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6.5178149748900358</v>
      </c>
      <c r="BS35" s="24">
        <f t="shared" si="9"/>
        <v>16.602341726708037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16.895999999999997</v>
      </c>
      <c r="N36" s="14">
        <f>IF('Données projet'!$A$36&gt;35,N35+M36-V35,IF(A36&lt;'Données projet'!$A$36,$K$205^A36,IF(A36='Données projet'!$A$36,'Données projet'!$B$36,N35+M36-V35)))</f>
        <v>245.96799999999996</v>
      </c>
      <c r="O36" s="14">
        <f>N36*VLOOKUP('Données projet'!$B$9,Paramètres!$A$1:$I$89,3,0)*VLOOKUP('Données projet'!$B$9,Paramètres!$A$1:$I$89,5,0)</f>
        <v>115.11302399999998</v>
      </c>
      <c r="P36" s="14">
        <f t="shared" si="33"/>
        <v>30.532448996635239</v>
      </c>
      <c r="Q36" s="22">
        <f t="shared" si="53"/>
        <v>253.66586546913962</v>
      </c>
      <c r="R36" s="62">
        <f t="shared" si="0"/>
        <v>546.99919880247296</v>
      </c>
      <c r="S36" s="62">
        <f ca="1">AVERAGE(OFFSET($R$3,0,0,'Données projet'!$E$9+1,1))-AVERAGE(OFFSET($H$3,0,0,'Données projet'!$E$9+1,1))</f>
        <v>228.57322051753096</v>
      </c>
      <c r="T36" s="62">
        <f t="shared" si="34"/>
        <v>168.91992124331932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149</v>
      </c>
      <c r="AJ36" s="14">
        <f>AI36*VLOOKUP('Données projet'!$B$10,Paramètres!$A$1:$I$89,3,0)*VLOOKUP('Données projet'!$B$10,Paramètres!$A$1:$I$89,5,0)</f>
        <v>89.102000000000018</v>
      </c>
      <c r="AK36" s="14">
        <f t="shared" si="35"/>
        <v>24.348522781128082</v>
      </c>
      <c r="AL36" s="22">
        <f t="shared" si="4"/>
        <v>197.5929938437981</v>
      </c>
      <c r="AM36" s="62">
        <f t="shared" si="5"/>
        <v>490.92632717713138</v>
      </c>
      <c r="AN36" s="62">
        <f ca="1">AVERAGE(OFFSET($AM$3,0,0,'Données projet'!$E$10+1,1))-AVERAGE(OFFSET($H$3,0,0,'Données projet'!$E$10+1,1))</f>
        <v>221.96671908615446</v>
      </c>
      <c r="AO36" s="62">
        <f t="shared" si="36"/>
        <v>141.9613211447562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3.8697673358660478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2.4732915184027848</v>
      </c>
      <c r="AX36" s="23">
        <f t="shared" si="6"/>
        <v>6.3430588542688326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287.69656598881124</v>
      </c>
      <c r="BJ36" s="62">
        <f t="shared" si="38"/>
        <v>221.9773436301067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9.8867753331688135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4.6087911672639716</v>
      </c>
      <c r="BS36" s="24">
        <f t="shared" si="9"/>
        <v>14.495566500432785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16.895999999999997</v>
      </c>
      <c r="N37" s="14">
        <f>IF('Données projet'!$A$36&gt;35,N36+M37-V36,IF(A37&lt;'Données projet'!$A$36,$K$205^A37,IF(A37='Données projet'!$A$36,'Données projet'!$B$36,N36+M37-V36)))</f>
        <v>262.86399999999998</v>
      </c>
      <c r="O37" s="14">
        <f>N37*VLOOKUP('Données projet'!$B$9,Paramètres!$A$1:$I$89,3,0)*VLOOKUP('Données projet'!$B$9,Paramètres!$A$1:$I$89,5,0)</f>
        <v>123.02035199999999</v>
      </c>
      <c r="P37" s="14">
        <f t="shared" si="33"/>
        <v>32.378424412524012</v>
      </c>
      <c r="Q37" s="22">
        <f t="shared" si="53"/>
        <v>270.65286891847927</v>
      </c>
      <c r="R37" s="62">
        <f t="shared" si="0"/>
        <v>563.98620225181253</v>
      </c>
      <c r="S37" s="62">
        <f ca="1">AVERAGE(OFFSET($R$3,0,0,'Données projet'!$E$9+1,1))-AVERAGE(OFFSET($H$3,0,0,'Données projet'!$E$9+1,1))</f>
        <v>228.57322051753096</v>
      </c>
      <c r="T37" s="62">
        <f t="shared" si="34"/>
        <v>168.91992124331932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159</v>
      </c>
      <c r="AJ37" s="14">
        <f>AI37*VLOOKUP('Données projet'!$B$10,Paramètres!$A$1:$I$89,3,0)*VLOOKUP('Données projet'!$B$10,Paramètres!$A$1:$I$89,5,0)</f>
        <v>95.082000000000008</v>
      </c>
      <c r="AK37" s="14">
        <f t="shared" si="35"/>
        <v>25.786935269387122</v>
      </c>
      <c r="AL37" s="22">
        <f t="shared" si="4"/>
        <v>210.51339559418258</v>
      </c>
      <c r="AM37" s="62">
        <f t="shared" si="5"/>
        <v>503.84672892751587</v>
      </c>
      <c r="AN37" s="62">
        <f ca="1">AVERAGE(OFFSET($AM$3,0,0,'Données projet'!$E$10+1,1))-AVERAGE(OFFSET($H$3,0,0,'Données projet'!$E$10+1,1))</f>
        <v>221.96671908615446</v>
      </c>
      <c r="AO37" s="62">
        <f t="shared" si="36"/>
        <v>141.9613211447562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3.7938835587347266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1.748881204513782</v>
      </c>
      <c r="AX37" s="23">
        <f t="shared" si="6"/>
        <v>5.5427647632485089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287.69656598881124</v>
      </c>
      <c r="BJ37" s="62">
        <f t="shared" si="38"/>
        <v>221.9773436301067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9.6929016992228796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3.2589074874450183</v>
      </c>
      <c r="BS37" s="24">
        <f t="shared" si="9"/>
        <v>12.951809186667898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279.76</v>
      </c>
      <c r="L38" s="13">
        <f>VLOOKUP(A38,'Données projet'!$A$35:$I$55,9,0)</f>
        <v>16.895999999999997</v>
      </c>
      <c r="M38" s="13">
        <f t="array" ref="M38">INDEX(L:L,MIN(IF(ISNUMBER(L38:L234),ROW(L38:L234),"")))</f>
        <v>16.895999999999997</v>
      </c>
      <c r="N38" s="14">
        <f>IF('Données projet'!$A$36&gt;35,N37+M38-V37,IF(A38&lt;'Données projet'!$A$36,$K$205^A38,IF(A38='Données projet'!$A$36,'Données projet'!$B$36,N37+M38-V37)))</f>
        <v>279.76</v>
      </c>
      <c r="O38" s="14">
        <f>N38*VLOOKUP('Données projet'!$B$9,Paramètres!$A$1:$I$89,3,0)*VLOOKUP('Données projet'!$B$9,Paramètres!$A$1:$I$89,5,0)</f>
        <v>130.92768000000001</v>
      </c>
      <c r="P38" s="14">
        <f t="shared" si="33"/>
        <v>34.210630151715954</v>
      </c>
      <c r="Q38" s="22">
        <f t="shared" si="53"/>
        <v>287.6158901809053</v>
      </c>
      <c r="R38" s="62">
        <f t="shared" si="0"/>
        <v>580.94922351423861</v>
      </c>
      <c r="S38" s="62">
        <f ca="1">AVERAGE(OFFSET($R$3,0,0,'Données projet'!$E$9+1,1))-AVERAGE(OFFSET($H$3,0,0,'Données projet'!$E$9+1,1))</f>
        <v>228.57322051753096</v>
      </c>
      <c r="T38" s="62">
        <f t="shared" si="34"/>
        <v>168.91992124331932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169</v>
      </c>
      <c r="AG38" s="13">
        <f>VLOOKUP(A38,'Données projet'!$A$61:$I$81,9,0)</f>
        <v>10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169</v>
      </c>
      <c r="AJ38" s="14">
        <f>AI38*VLOOKUP('Données projet'!$B$10,Paramètres!$A$1:$I$89,3,0)*VLOOKUP('Données projet'!$B$10,Paramètres!$A$1:$I$89,5,0)</f>
        <v>101.06200000000001</v>
      </c>
      <c r="AK38" s="14">
        <f t="shared" si="35"/>
        <v>27.214848638810562</v>
      </c>
      <c r="AL38" s="22">
        <f t="shared" si="4"/>
        <v>223.41551137926174</v>
      </c>
      <c r="AM38" s="62">
        <f t="shared" si="5"/>
        <v>516.74884471259509</v>
      </c>
      <c r="AN38" s="62">
        <f ca="1">AVERAGE(OFFSET($AM$3,0,0,'Données projet'!$E$10+1,1))-AVERAGE(OFFSET($H$3,0,0,'Données projet'!$E$10+1,1))</f>
        <v>221.96671908615446</v>
      </c>
      <c r="AO38" s="62">
        <f t="shared" si="36"/>
        <v>141.9613211447562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3.7194878161884168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1.2366457592013926</v>
      </c>
      <c r="AX38" s="23">
        <f t="shared" si="6"/>
        <v>4.9561335753898099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287.69656598881124</v>
      </c>
      <c r="BJ38" s="62">
        <f t="shared" si="38"/>
        <v>221.9773436301067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9.5028298089873857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2.3043955836319863</v>
      </c>
      <c r="BS38" s="24">
        <f t="shared" si="9"/>
        <v>11.807225392619372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299.33142857142855</v>
      </c>
      <c r="O39" s="14">
        <f>N39*VLOOKUP('Données projet'!$B$9,Paramètres!$A$1:$I$89,3,0)*VLOOKUP('Données projet'!$B$9,Paramètres!$A$1:$I$89,5,0)</f>
        <v>140.08710857142856</v>
      </c>
      <c r="P39" s="14">
        <f t="shared" si="33"/>
        <v>36.316960123042108</v>
      </c>
      <c r="Q39" s="22">
        <f t="shared" si="53"/>
        <v>307.23708630953638</v>
      </c>
      <c r="R39" s="62">
        <f t="shared" si="0"/>
        <v>600.57041964286964</v>
      </c>
      <c r="S39" s="62">
        <f ca="1">AVERAGE(OFFSET($R$3,0,0,'Données projet'!$E$9+1,1))-AVERAGE(OFFSET($H$3,0,0,'Données projet'!$E$9+1,1))</f>
        <v>228.57322051753096</v>
      </c>
      <c r="T39" s="62">
        <f t="shared" si="34"/>
        <v>168.91992124331932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12.4</v>
      </c>
      <c r="AI39" s="14">
        <f>IF('Données projet'!$A$62&gt;35,AI38+AH39-AQ38,IF(A39&lt;'Données projet'!$A$62,$AF$205^A39,IF(A39='Données projet'!$A$62,'Données projet'!$B$62,AI38+AH39-AQ38)))</f>
        <v>158.4</v>
      </c>
      <c r="AJ39" s="14">
        <f>AI39*VLOOKUP('Données projet'!$B$10,Paramètres!$A$1:$I$89,3,0)*VLOOKUP('Données projet'!$B$10,Paramètres!$A$1:$I$89,5,0)</f>
        <v>94.723200000000006</v>
      </c>
      <c r="AK39" s="14">
        <f t="shared" si="35"/>
        <v>25.700933959119112</v>
      </c>
      <c r="AL39" s="22">
        <f t="shared" si="4"/>
        <v>209.7386999787991</v>
      </c>
      <c r="AM39" s="62">
        <f t="shared" si="5"/>
        <v>503.07203331213242</v>
      </c>
      <c r="AN39" s="62">
        <f ca="1">AVERAGE(OFFSET($AM$3,0,0,'Données projet'!$E$10+1,1))-AVERAGE(OFFSET($H$3,0,0,'Données projet'!$E$10+1,1))</f>
        <v>221.96671908615446</v>
      </c>
      <c r="AO39" s="62">
        <f t="shared" si="36"/>
        <v>141.9613211447562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3.6465509287765179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0.87444060225689113</v>
      </c>
      <c r="AX39" s="23">
        <f t="shared" si="6"/>
        <v>4.5209915310334088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287.69656598881124</v>
      </c>
      <c r="BJ39" s="62">
        <f t="shared" si="38"/>
        <v>221.9773436301067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9.3164851125870047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1.6294537437225094</v>
      </c>
      <c r="BS39" s="24">
        <f t="shared" si="9"/>
        <v>10.945938856309514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318.9028571428571</v>
      </c>
      <c r="O40" s="14">
        <f>N40*VLOOKUP('Données projet'!$B$9,Paramètres!$A$1:$I$89,3,0)*VLOOKUP('Données projet'!$B$9,Paramètres!$A$1:$I$89,5,0)</f>
        <v>149.24653714285711</v>
      </c>
      <c r="P40" s="14">
        <f t="shared" si="33"/>
        <v>38.40730833189388</v>
      </c>
      <c r="Q40" s="22">
        <f t="shared" si="53"/>
        <v>326.83044753519135</v>
      </c>
      <c r="R40" s="62">
        <f t="shared" si="0"/>
        <v>620.16378086852467</v>
      </c>
      <c r="S40" s="62">
        <f ca="1">AVERAGE(OFFSET($R$3,0,0,'Données projet'!$E$9+1,1))-AVERAGE(OFFSET($H$3,0,0,'Données projet'!$E$9+1,1))</f>
        <v>228.57322051753096</v>
      </c>
      <c r="T40" s="62">
        <f t="shared" si="34"/>
        <v>168.91992124331932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12.4</v>
      </c>
      <c r="AI40" s="14">
        <f>IF('Données projet'!$A$62&gt;35,AI39+AH40-AQ39,IF(A40&lt;'Données projet'!$A$62,$AF$205^A40,IF(A40='Données projet'!$A$62,'Données projet'!$B$62,AI39+AH40-AQ39)))</f>
        <v>170.8</v>
      </c>
      <c r="AJ40" s="14">
        <f>AI40*VLOOKUP('Données projet'!$B$10,Paramètres!$A$1:$I$89,3,0)*VLOOKUP('Données projet'!$B$10,Paramètres!$A$1:$I$89,5,0)</f>
        <v>102.13840000000002</v>
      </c>
      <c r="AK40" s="14">
        <f t="shared" si="35"/>
        <v>27.470812821300004</v>
      </c>
      <c r="AL40" s="22">
        <f t="shared" si="4"/>
        <v>225.7360456637642</v>
      </c>
      <c r="AM40" s="62">
        <f t="shared" si="5"/>
        <v>519.06937899709749</v>
      </c>
      <c r="AN40" s="62">
        <f ca="1">AVERAGE(OFFSET($AM$3,0,0,'Données projet'!$E$10+1,1))-AVERAGE(OFFSET($H$3,0,0,'Données projet'!$E$10+1,1))</f>
        <v>221.96671908615446</v>
      </c>
      <c r="AO40" s="62">
        <f t="shared" si="36"/>
        <v>141.9613211447562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3.5750442892396577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0.61832287960069643</v>
      </c>
      <c r="AX40" s="23">
        <f t="shared" si="6"/>
        <v>4.1933671688403544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287.69656598881124</v>
      </c>
      <c r="BJ40" s="62">
        <f t="shared" si="38"/>
        <v>221.9773436301067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9.133794522023992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1.1521977918159931</v>
      </c>
      <c r="BS40" s="24">
        <f t="shared" si="9"/>
        <v>10.285992313839985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338.47428571428566</v>
      </c>
      <c r="O41" s="14">
        <f>N41*VLOOKUP('Données projet'!$B$9,Paramètres!$A$1:$I$89,3,0)*VLOOKUP('Données projet'!$B$9,Paramètres!$A$1:$I$89,5,0)</f>
        <v>158.40596571428568</v>
      </c>
      <c r="P41" s="14">
        <f t="shared" si="33"/>
        <v>40.482767275652961</v>
      </c>
      <c r="Q41" s="22">
        <f t="shared" si="53"/>
        <v>346.39787662414318</v>
      </c>
      <c r="R41" s="62">
        <f t="shared" si="0"/>
        <v>639.73120995747649</v>
      </c>
      <c r="S41" s="62">
        <f ca="1">AVERAGE(OFFSET($R$3,0,0,'Données projet'!$E$9+1,1))-AVERAGE(OFFSET($H$3,0,0,'Données projet'!$E$9+1,1))</f>
        <v>228.57322051753096</v>
      </c>
      <c r="T41" s="62">
        <f t="shared" si="34"/>
        <v>168.91992124331932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12.4</v>
      </c>
      <c r="AI41" s="14">
        <f>IF('Données projet'!$A$62&gt;35,AI40+AH41-AQ40,IF(A41&lt;'Données projet'!$A$62,$AF$205^A41,IF(A41='Données projet'!$A$62,'Données projet'!$B$62,AI40+AH41-AQ40)))</f>
        <v>183.20000000000002</v>
      </c>
      <c r="AJ41" s="14">
        <f>AI41*VLOOKUP('Données projet'!$B$10,Paramètres!$A$1:$I$89,3,0)*VLOOKUP('Données projet'!$B$10,Paramètres!$A$1:$I$89,5,0)</f>
        <v>109.55360000000002</v>
      </c>
      <c r="AK41" s="14">
        <f t="shared" si="35"/>
        <v>29.225784372214765</v>
      </c>
      <c r="AL41" s="22">
        <f t="shared" si="4"/>
        <v>241.70742778160744</v>
      </c>
      <c r="AM41" s="62">
        <f t="shared" si="5"/>
        <v>535.04076111494078</v>
      </c>
      <c r="AN41" s="62">
        <f ca="1">AVERAGE(OFFSET($AM$3,0,0,'Données projet'!$E$10+1,1))-AVERAGE(OFFSET($H$3,0,0,'Données projet'!$E$10+1,1))</f>
        <v>221.96671908615446</v>
      </c>
      <c r="AO41" s="62">
        <f t="shared" si="36"/>
        <v>141.9613211447562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3.5049398512893717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0.43722030112844568</v>
      </c>
      <c r="AX41" s="23">
        <f t="shared" si="6"/>
        <v>3.9421601524178174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287.69656598881124</v>
      </c>
      <c r="BJ41" s="62">
        <f t="shared" si="38"/>
        <v>221.9773436301067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8.9546863825116638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0.8147268718612547</v>
      </c>
      <c r="BS41" s="24">
        <f t="shared" si="9"/>
        <v>9.7694132543729193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358.04571428571421</v>
      </c>
      <c r="O42" s="14">
        <f>N42*VLOOKUP('Données projet'!$B$9,Paramètres!$A$1:$I$89,3,0)*VLOOKUP('Données projet'!$B$9,Paramètres!$A$1:$I$89,5,0)</f>
        <v>167.56539428571426</v>
      </c>
      <c r="P42" s="14">
        <f t="shared" si="33"/>
        <v>42.544295973339878</v>
      </c>
      <c r="Q42" s="22">
        <f t="shared" si="53"/>
        <v>365.94104386785261</v>
      </c>
      <c r="R42" s="62">
        <f t="shared" si="0"/>
        <v>659.27437720118587</v>
      </c>
      <c r="S42" s="62">
        <f ca="1">AVERAGE(OFFSET($R$3,0,0,'Données projet'!$E$9+1,1))-AVERAGE(OFFSET($H$3,0,0,'Données projet'!$E$9+1,1))</f>
        <v>228.57322051753096</v>
      </c>
      <c r="T42" s="62">
        <f t="shared" si="34"/>
        <v>168.91992124331932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12.4</v>
      </c>
      <c r="AI42" s="14">
        <f>IF('Données projet'!$A$62&gt;35,AI41+AH42-AQ41,IF(A42&lt;'Données projet'!$A$62,$AF$205^A42,IF(A42='Données projet'!$A$62,'Données projet'!$B$62,AI41+AH42-AQ41)))</f>
        <v>195.60000000000002</v>
      </c>
      <c r="AJ42" s="14">
        <f>AI42*VLOOKUP('Données projet'!$B$10,Paramètres!$A$1:$I$89,3,0)*VLOOKUP('Données projet'!$B$10,Paramètres!$A$1:$I$89,5,0)</f>
        <v>116.96880000000002</v>
      </c>
      <c r="AK42" s="14">
        <f t="shared" si="35"/>
        <v>30.966972418998537</v>
      </c>
      <c r="AL42" s="22">
        <f t="shared" si="4"/>
        <v>257.6548036297558</v>
      </c>
      <c r="AM42" s="62">
        <f t="shared" si="5"/>
        <v>550.98813696308912</v>
      </c>
      <c r="AN42" s="62">
        <f ca="1">AVERAGE(OFFSET($AM$3,0,0,'Données projet'!$E$10+1,1))-AVERAGE(OFFSET($H$3,0,0,'Données projet'!$E$10+1,1))</f>
        <v>221.96671908615446</v>
      </c>
      <c r="AO42" s="62">
        <f t="shared" si="36"/>
        <v>141.9613211447562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3.4362101186078058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0.30916143980034827</v>
      </c>
      <c r="AX42" s="23">
        <f t="shared" si="6"/>
        <v>3.7453715584081539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287.69656598881124</v>
      </c>
      <c r="BJ42" s="62">
        <f t="shared" si="38"/>
        <v>221.9773436301067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8.7790904443699933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0.57609889590799657</v>
      </c>
      <c r="BS42" s="24">
        <f t="shared" si="9"/>
        <v>9.35518934027799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377.61714285714277</v>
      </c>
      <c r="O43" s="14">
        <f>N43*VLOOKUP('Données projet'!$B$9,Paramètres!$A$1:$I$89,3,0)*VLOOKUP('Données projet'!$B$9,Paramètres!$A$1:$I$89,5,0)</f>
        <v>176.72482285714281</v>
      </c>
      <c r="P43" s="14">
        <f t="shared" si="33"/>
        <v>44.59274267918078</v>
      </c>
      <c r="Q43" s="22">
        <f t="shared" si="53"/>
        <v>385.46142664243024</v>
      </c>
      <c r="R43" s="62">
        <f t="shared" si="0"/>
        <v>678.79475997576355</v>
      </c>
      <c r="S43" s="62">
        <f ca="1">AVERAGE(OFFSET($R$3,0,0,'Données projet'!$E$9+1,1))-AVERAGE(OFFSET($H$3,0,0,'Données projet'!$E$9+1,1))</f>
        <v>228.57322051753096</v>
      </c>
      <c r="T43" s="62">
        <f t="shared" si="34"/>
        <v>168.91992124331932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208</v>
      </c>
      <c r="AG43" s="13">
        <f>VLOOKUP(A43,'Données projet'!$A$61:$I$81,9,0)</f>
        <v>12.4</v>
      </c>
      <c r="AH43" s="13">
        <f t="array" ref="AH43">INDEX(AG:AG,MIN(IF(ISNUMBER(AG43:AG239),ROW(AG43:AG239),"")))</f>
        <v>12.4</v>
      </c>
      <c r="AI43" s="14">
        <f>IF('Données projet'!$A$62&gt;35,AI42+AH43-AQ42,IF(A43&lt;'Données projet'!$A$62,$AF$205^A43,IF(A43='Données projet'!$A$62,'Données projet'!$B$62,AI42+AH43-AQ42)))</f>
        <v>208.00000000000003</v>
      </c>
      <c r="AJ43" s="14">
        <f>AI43*VLOOKUP('Données projet'!$B$10,Paramètres!$A$1:$I$89,3,0)*VLOOKUP('Données projet'!$B$10,Paramètres!$A$1:$I$89,5,0)</f>
        <v>124.38400000000003</v>
      </c>
      <c r="AK43" s="14">
        <f t="shared" si="35"/>
        <v>32.695350227217695</v>
      </c>
      <c r="AL43" s="22">
        <f t="shared" si="4"/>
        <v>273.57986831240419</v>
      </c>
      <c r="AM43" s="62">
        <f t="shared" si="5"/>
        <v>566.91320164573744</v>
      </c>
      <c r="AN43" s="62">
        <f ca="1">AVERAGE(OFFSET($AM$3,0,0,'Données projet'!$E$10+1,1))-AVERAGE(OFFSET($H$3,0,0,'Données projet'!$E$10+1,1))</f>
        <v>221.96671908615446</v>
      </c>
      <c r="AO43" s="62">
        <f t="shared" si="36"/>
        <v>141.9613211447562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34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3.3688281340631279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0.21861015056422287</v>
      </c>
      <c r="AX43" s="23">
        <f t="shared" si="6"/>
        <v>3.5874382846273507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287.69656598881124</v>
      </c>
      <c r="BJ43" s="62">
        <f t="shared" si="38"/>
        <v>221.9773436301067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8.6069378354723352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0.40736343593062735</v>
      </c>
      <c r="BS43" s="24">
        <f t="shared" si="9"/>
        <v>9.014301271402962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397.18857142857132</v>
      </c>
      <c r="O44" s="14">
        <f>N44*VLOOKUP('Données projet'!$B$9,Paramètres!$A$1:$I$89,3,0)*VLOOKUP('Données projet'!$B$9,Paramètres!$A$1:$I$89,5,0)</f>
        <v>185.88425142857139</v>
      </c>
      <c r="P44" s="14">
        <f t="shared" si="33"/>
        <v>46.628862753142343</v>
      </c>
      <c r="Q44" s="22">
        <f t="shared" si="53"/>
        <v>404.9603405331514</v>
      </c>
      <c r="R44" s="62">
        <f t="shared" si="0"/>
        <v>698.29367386648471</v>
      </c>
      <c r="S44" s="62">
        <f ca="1">AVERAGE(OFFSET($R$3,0,0,'Données projet'!$E$9+1,1))-AVERAGE(OFFSET($H$3,0,0,'Données projet'!$E$9+1,1))</f>
        <v>228.57322051753096</v>
      </c>
      <c r="T44" s="62">
        <f t="shared" si="34"/>
        <v>168.91992124331932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14.1</v>
      </c>
      <c r="AI44" s="14">
        <f>IF('Données projet'!$A$62&gt;35,AI43+AH44-AQ43,IF(A44&lt;'Données projet'!$A$62,$AF$205^A44,IF(A44='Données projet'!$A$62,'Données projet'!$B$62,AI43+AH44-AQ43)))</f>
        <v>188.10000000000002</v>
      </c>
      <c r="AJ44" s="14">
        <f>AI44*VLOOKUP('Données projet'!$B$10,Paramètres!$A$1:$I$89,3,0)*VLOOKUP('Données projet'!$B$10,Paramètres!$A$1:$I$89,5,0)</f>
        <v>112.48380000000002</v>
      </c>
      <c r="AK44" s="14">
        <f t="shared" si="35"/>
        <v>29.915424563902814</v>
      </c>
      <c r="AL44" s="22">
        <f t="shared" si="4"/>
        <v>248.01198278213079</v>
      </c>
      <c r="AM44" s="62">
        <f t="shared" si="5"/>
        <v>541.34531611546413</v>
      </c>
      <c r="AN44" s="62">
        <f ca="1">AVERAGE(OFFSET($AM$3,0,0,'Données projet'!$E$10+1,1))-AVERAGE(OFFSET($H$3,0,0,'Données projet'!$E$10+1,1))</f>
        <v>221.96671908615446</v>
      </c>
      <c r="AO44" s="62">
        <f t="shared" si="36"/>
        <v>141.9613211447562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3.3027674691364188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0.15458071990017416</v>
      </c>
      <c r="AX44" s="23">
        <f t="shared" si="6"/>
        <v>3.4573481890365931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239.60000000000008</v>
      </c>
      <c r="BE44" s="14">
        <f>BD44*VLOOKUP('Données projet'!$B$11,Paramètres!$A$1:$I$89,3,0)*VLOOKUP('Données projet'!$B$11,Paramètres!$A$1:$I$89,5,0)</f>
        <v>143.28080000000006</v>
      </c>
      <c r="BF44" s="14">
        <f t="shared" si="37"/>
        <v>37.047574465948976</v>
      </c>
      <c r="BG44" s="22">
        <f t="shared" si="7"/>
        <v>314.07191886152788</v>
      </c>
      <c r="BH44" s="62">
        <f t="shared" si="8"/>
        <v>607.40525219486119</v>
      </c>
      <c r="BI44" s="62">
        <f ca="1">AVERAGE(OFFSET($BH$3,0,0,'Données projet'!$E$11+1,1))-AVERAGE(OFFSET($H$3,0,0,'Données projet'!$E$11+1,1))</f>
        <v>287.69656598881124</v>
      </c>
      <c r="BJ44" s="62">
        <f t="shared" si="38"/>
        <v>221.9773436301067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8.4381610342324365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0.28804944795399828</v>
      </c>
      <c r="BS44" s="24">
        <f t="shared" si="9"/>
        <v>8.7262104821864348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416.76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416.75999999999988</v>
      </c>
      <c r="O45" s="14">
        <f>N45*VLOOKUP('Données projet'!$B$9,Paramètres!$A$1:$I$89,3,0)*VLOOKUP('Données projet'!$B$9,Paramètres!$A$1:$I$89,5,0)</f>
        <v>195.04367999999994</v>
      </c>
      <c r="P45" s="14">
        <f t="shared" si="33"/>
        <v>48.65333290919024</v>
      </c>
      <c r="Q45" s="22">
        <f t="shared" si="53"/>
        <v>424.43896415017292</v>
      </c>
      <c r="R45" s="62">
        <f t="shared" si="0"/>
        <v>717.77229748350624</v>
      </c>
      <c r="S45" s="62">
        <f ca="1">AVERAGE(OFFSET($R$3,0,0,'Données projet'!$E$9+1,1))-AVERAGE(OFFSET($H$3,0,0,'Données projet'!$E$9+1,1))</f>
        <v>228.57322051753096</v>
      </c>
      <c r="T45" s="62">
        <f t="shared" si="34"/>
        <v>168.91992124331932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182.39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14.1</v>
      </c>
      <c r="AI45" s="14">
        <f>IF('Données projet'!$A$62&gt;35,AI44+AH45-AQ44,IF(A45&lt;'Données projet'!$A$62,$AF$205^A45,IF(A45='Données projet'!$A$62,'Données projet'!$B$62,AI44+AH45-AQ44)))</f>
        <v>202.20000000000002</v>
      </c>
      <c r="AJ45" s="14">
        <f>AI45*VLOOKUP('Données projet'!$B$10,Paramètres!$A$1:$I$89,3,0)*VLOOKUP('Données projet'!$B$10,Paramètres!$A$1:$I$89,5,0)</f>
        <v>120.91560000000003</v>
      </c>
      <c r="AK45" s="14">
        <f t="shared" si="35"/>
        <v>31.888453396738488</v>
      </c>
      <c r="AL45" s="22">
        <f t="shared" si="4"/>
        <v>266.13372633265288</v>
      </c>
      <c r="AM45" s="62">
        <f t="shared" si="5"/>
        <v>559.4670596659862</v>
      </c>
      <c r="AN45" s="62">
        <f ca="1">AVERAGE(OFFSET($AM$3,0,0,'Données projet'!$E$10+1,1))-AVERAGE(OFFSET($H$3,0,0,'Données projet'!$E$10+1,1))</f>
        <v>221.96671908615446</v>
      </c>
      <c r="AO45" s="62">
        <f t="shared" si="36"/>
        <v>141.9613211447562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3.2380022135558955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0.10930507528211145</v>
      </c>
      <c r="AX45" s="23">
        <f t="shared" si="6"/>
        <v>3.3473072888380071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256.2000000000001</v>
      </c>
      <c r="BE45" s="14">
        <f>BD45*VLOOKUP('Données projet'!$B$11,Paramètres!$A$1:$I$89,3,0)*VLOOKUP('Données projet'!$B$11,Paramètres!$A$1:$I$89,5,0)</f>
        <v>153.20760000000007</v>
      </c>
      <c r="BF45" s="14">
        <f t="shared" si="37"/>
        <v>39.306624169832133</v>
      </c>
      <c r="BG45" s="22">
        <f t="shared" si="7"/>
        <v>335.29560709579107</v>
      </c>
      <c r="BH45" s="62">
        <f t="shared" si="8"/>
        <v>628.62894042912444</v>
      </c>
      <c r="BI45" s="62">
        <f ca="1">AVERAGE(OFFSET($BH$3,0,0,'Données projet'!$E$11+1,1))-AVERAGE(OFFSET($H$3,0,0,'Données projet'!$E$11+1,1))</f>
        <v>287.69656598881124</v>
      </c>
      <c r="BJ45" s="62">
        <f t="shared" si="38"/>
        <v>221.9773436301067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8.2726938431211678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0.20368171796531367</v>
      </c>
      <c r="BS45" s="24">
        <f t="shared" si="9"/>
        <v>8.4763755610864813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255.68</v>
      </c>
      <c r="L46" s="13">
        <f>VLOOKUP(A46,'Données projet'!$A$35:$I$55,9,0)</f>
        <v>21.310000000000002</v>
      </c>
      <c r="M46" s="13">
        <f t="array" ref="M46">INDEX(L:L,MIN(IF(ISNUMBER(L46:L242),ROW(L46:L242),"")))</f>
        <v>21.310000000000002</v>
      </c>
      <c r="N46" s="14">
        <f>IF('Données projet'!$A$36&gt;35,N45+M46-V45,IF(A46&lt;'Données projet'!$A$36,$K$205^A46,IF(A46='Données projet'!$A$36,'Données projet'!$B$36,N45+M46-V45)))</f>
        <v>255.67999999999989</v>
      </c>
      <c r="O46" s="14">
        <f>N46*VLOOKUP('Données projet'!$B$9,Paramètres!$A$1:$I$89,3,0)*VLOOKUP('Données projet'!$B$9,Paramètres!$A$1:$I$89,5,0)</f>
        <v>119.65823999999994</v>
      </c>
      <c r="P46" s="14">
        <f t="shared" si="33"/>
        <v>31.595276160231307</v>
      </c>
      <c r="Q46" s="22">
        <f t="shared" si="53"/>
        <v>263.43320731240277</v>
      </c>
      <c r="R46" s="62">
        <f t="shared" si="0"/>
        <v>556.76654064573609</v>
      </c>
      <c r="S46" s="62">
        <f ca="1">AVERAGE(OFFSET($R$3,0,0,'Données projet'!$E$9+1,1))-AVERAGE(OFFSET($H$3,0,0,'Données projet'!$E$9+1,1))</f>
        <v>228.57322051753096</v>
      </c>
      <c r="T46" s="62">
        <f t="shared" si="34"/>
        <v>168.91992124331932</v>
      </c>
      <c r="U46" s="16">
        <f>IF(ISNA(VLOOKUP(A46,'Données projet'!$A$35:$I$55,3,0)),0,VLOOKUP(A46,'Données projet'!$A$35:$I$55,3,0))</f>
        <v>4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14.1</v>
      </c>
      <c r="AI46" s="14">
        <f>IF('Données projet'!$A$62&gt;35,AI45+AH46-AQ45,IF(A46&lt;'Données projet'!$A$62,$AF$205^A46,IF(A46='Données projet'!$A$62,'Données projet'!$B$62,AI45+AH46-AQ45)))</f>
        <v>216.3</v>
      </c>
      <c r="AJ46" s="14">
        <f>AI46*VLOOKUP('Données projet'!$B$10,Paramètres!$A$1:$I$89,3,0)*VLOOKUP('Données projet'!$B$10,Paramètres!$A$1:$I$89,5,0)</f>
        <v>129.34740000000002</v>
      </c>
      <c r="AK46" s="14">
        <f t="shared" si="35"/>
        <v>33.845518493267228</v>
      </c>
      <c r="AL46" s="22">
        <f t="shared" si="4"/>
        <v>284.22766637577377</v>
      </c>
      <c r="AM46" s="62">
        <f t="shared" si="5"/>
        <v>577.56099970910714</v>
      </c>
      <c r="AN46" s="62">
        <f ca="1">AVERAGE(OFFSET($AM$3,0,0,'Données projet'!$E$10+1,1))-AVERAGE(OFFSET($H$3,0,0,'Données projet'!$E$10+1,1))</f>
        <v>221.96671908615446</v>
      </c>
      <c r="AO46" s="62">
        <f t="shared" si="36"/>
        <v>141.9613211447562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3.1745069651344009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7.7290359950087095E-2</v>
      </c>
      <c r="AX46" s="23">
        <f t="shared" si="6"/>
        <v>3.251797325084488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272.80000000000013</v>
      </c>
      <c r="BE46" s="14">
        <f>BD46*VLOOKUP('Données projet'!$B$11,Paramètres!$A$1:$I$89,3,0)*VLOOKUP('Données projet'!$B$11,Paramètres!$A$1:$I$89,5,0)</f>
        <v>163.13440000000008</v>
      </c>
      <c r="BF46" s="14">
        <f t="shared" si="37"/>
        <v>41.548687845426002</v>
      </c>
      <c r="BG46" s="22">
        <f t="shared" si="7"/>
        <v>356.48971133078379</v>
      </c>
      <c r="BH46" s="62">
        <f t="shared" si="8"/>
        <v>649.82304466411711</v>
      </c>
      <c r="BI46" s="62">
        <f ca="1">AVERAGE(OFFSET($BH$3,0,0,'Données projet'!$E$11+1,1))-AVERAGE(OFFSET($H$3,0,0,'Données projet'!$E$11+1,1))</f>
        <v>287.69656598881124</v>
      </c>
      <c r="BJ46" s="62">
        <f t="shared" si="38"/>
        <v>221.9773436301067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8.1104713627025706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0.14402472397699914</v>
      </c>
      <c r="BS46" s="24">
        <f t="shared" si="9"/>
        <v>8.2544960866795698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17.596666666666664</v>
      </c>
      <c r="N47" s="14">
        <f>IF('Données projet'!$A$36&gt;35,N46+M47-V46,IF(A47&lt;'Données projet'!$A$36,$K$205^A47,IF(A47='Données projet'!$A$36,'Données projet'!$B$36,N46+M47-V46)))</f>
        <v>273.27666666666653</v>
      </c>
      <c r="O47" s="14">
        <f>N47*VLOOKUP('Données projet'!$B$9,Paramètres!$A$1:$I$89,3,0)*VLOOKUP('Données projet'!$B$9,Paramètres!$A$1:$I$89,5,0)</f>
        <v>127.89347999999994</v>
      </c>
      <c r="P47" s="14">
        <f t="shared" si="33"/>
        <v>33.509142571930816</v>
      </c>
      <c r="Q47" s="22">
        <f t="shared" si="53"/>
        <v>281.10956764611268</v>
      </c>
      <c r="R47" s="62">
        <f t="shared" si="0"/>
        <v>574.44290097944599</v>
      </c>
      <c r="S47" s="62">
        <f ca="1">AVERAGE(OFFSET($R$3,0,0,'Données projet'!$E$9+1,1))-AVERAGE(OFFSET($H$3,0,0,'Données projet'!$E$9+1,1))</f>
        <v>228.57322051753096</v>
      </c>
      <c r="T47" s="62">
        <f t="shared" si="34"/>
        <v>168.91992124331932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14.1</v>
      </c>
      <c r="AI47" s="14">
        <f>IF('Données projet'!$A$62&gt;35,AI46+AH47-AQ46,IF(A47&lt;'Données projet'!$A$62,$AF$205^A47,IF(A47='Données projet'!$A$62,'Données projet'!$B$62,AI46+AH47-AQ46)))</f>
        <v>230.4</v>
      </c>
      <c r="AJ47" s="14">
        <f>AI47*VLOOKUP('Données projet'!$B$10,Paramètres!$A$1:$I$89,3,0)*VLOOKUP('Données projet'!$B$10,Paramètres!$A$1:$I$89,5,0)</f>
        <v>137.7792</v>
      </c>
      <c r="AK47" s="14">
        <f t="shared" si="35"/>
        <v>35.787778913287674</v>
      </c>
      <c r="AL47" s="22">
        <f t="shared" si="4"/>
        <v>302.29582160730934</v>
      </c>
      <c r="AM47" s="62">
        <f t="shared" si="5"/>
        <v>595.62915494064259</v>
      </c>
      <c r="AN47" s="62">
        <f ca="1">AVERAGE(OFFSET($AM$3,0,0,'Données projet'!$E$10+1,1))-AVERAGE(OFFSET($H$3,0,0,'Données projet'!$E$10+1,1))</f>
        <v>221.96671908615446</v>
      </c>
      <c r="AO47" s="62">
        <f t="shared" si="36"/>
        <v>141.9613211447562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3.1122568198061744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5.4652537641055737E-2</v>
      </c>
      <c r="AX47" s="23">
        <f t="shared" si="6"/>
        <v>3.16690935744723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289.40000000000015</v>
      </c>
      <c r="BE47" s="14">
        <f>BD47*VLOOKUP('Données projet'!$B$11,Paramètres!$A$1:$I$89,3,0)*VLOOKUP('Données projet'!$B$11,Paramètres!$A$1:$I$89,5,0)</f>
        <v>173.0612000000001</v>
      </c>
      <c r="BF47" s="14">
        <f t="shared" si="37"/>
        <v>43.774916798471111</v>
      </c>
      <c r="BG47" s="22">
        <f t="shared" si="7"/>
        <v>377.65623675733735</v>
      </c>
      <c r="BH47" s="62">
        <f t="shared" si="8"/>
        <v>670.98957009067067</v>
      </c>
      <c r="BI47" s="62">
        <f ca="1">AVERAGE(OFFSET($BH$3,0,0,'Données projet'!$E$11+1,1))-AVERAGE(OFFSET($H$3,0,0,'Données projet'!$E$11+1,1))</f>
        <v>287.69656598881124</v>
      </c>
      <c r="BJ47" s="62">
        <f t="shared" si="38"/>
        <v>221.9773436301067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7.9514299661790391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0.10184085898265684</v>
      </c>
      <c r="BS47" s="24">
        <f t="shared" si="9"/>
        <v>8.0532708251616967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17.596666666666664</v>
      </c>
      <c r="N48" s="14">
        <f>IF('Données projet'!$A$36&gt;35,N47+M48-V47,IF(A48&lt;'Données projet'!$A$36,$K$205^A48,IF(A48='Données projet'!$A$36,'Données projet'!$B$36,N47+M48-V47)))</f>
        <v>290.87333333333322</v>
      </c>
      <c r="O48" s="14">
        <f>N48*VLOOKUP('Données projet'!$B$9,Paramètres!$A$1:$I$89,3,0)*VLOOKUP('Données projet'!$B$9,Paramètres!$A$1:$I$89,5,0)</f>
        <v>136.12871999999996</v>
      </c>
      <c r="P48" s="14">
        <f t="shared" si="33"/>
        <v>35.408707445510458</v>
      </c>
      <c r="Q48" s="22">
        <f t="shared" si="53"/>
        <v>298.76101946759735</v>
      </c>
      <c r="R48" s="62">
        <f t="shared" si="0"/>
        <v>592.09435280093066</v>
      </c>
      <c r="S48" s="62">
        <f ca="1">AVERAGE(OFFSET($R$3,0,0,'Données projet'!$E$9+1,1))-AVERAGE(OFFSET($H$3,0,0,'Données projet'!$E$9+1,1))</f>
        <v>228.57322051753096</v>
      </c>
      <c r="T48" s="62">
        <f t="shared" si="34"/>
        <v>168.91992124331932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14.1</v>
      </c>
      <c r="AI48" s="14">
        <f>IF('Données projet'!$A$62&gt;35,AI47+AH48-AQ47,IF(A48&lt;'Données projet'!$A$62,$AF$205^A48,IF(A48='Données projet'!$A$62,'Données projet'!$B$62,AI47+AH48-AQ47)))</f>
        <v>244.5</v>
      </c>
      <c r="AJ48" s="14">
        <f>AI48*VLOOKUP('Données projet'!$B$10,Paramètres!$A$1:$I$89,3,0)*VLOOKUP('Données projet'!$B$10,Paramètres!$A$1:$I$89,5,0)</f>
        <v>146.21100000000001</v>
      </c>
      <c r="AK48" s="14">
        <f t="shared" si="35"/>
        <v>37.71624383608448</v>
      </c>
      <c r="AL48" s="22">
        <f t="shared" si="4"/>
        <v>320.33994968118049</v>
      </c>
      <c r="AM48" s="62">
        <f t="shared" si="5"/>
        <v>613.6732830145138</v>
      </c>
      <c r="AN48" s="62">
        <f ca="1">AVERAGE(OFFSET($AM$3,0,0,'Données projet'!$E$10+1,1))-AVERAGE(OFFSET($H$3,0,0,'Données projet'!$E$10+1,1))</f>
        <v>221.96671908615446</v>
      </c>
      <c r="AO48" s="62">
        <f t="shared" si="36"/>
        <v>141.9613211447562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3.0512273618589951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3.8645179975043555E-2</v>
      </c>
      <c r="AX48" s="23">
        <f t="shared" si="6"/>
        <v>3.0898725418340387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306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306.00000000000017</v>
      </c>
      <c r="BE48" s="14">
        <f>BD48*VLOOKUP('Données projet'!$B$11,Paramètres!$A$1:$I$89,3,0)*VLOOKUP('Données projet'!$B$11,Paramètres!$A$1:$I$89,5,0)</f>
        <v>182.98800000000011</v>
      </c>
      <c r="BF48" s="14">
        <f t="shared" si="37"/>
        <v>45.986322796524874</v>
      </c>
      <c r="BG48" s="22">
        <f t="shared" si="7"/>
        <v>398.79694553728103</v>
      </c>
      <c r="BH48" s="62">
        <f t="shared" si="8"/>
        <v>692.13027887061435</v>
      </c>
      <c r="BI48" s="62">
        <f ca="1">AVERAGE(OFFSET($BH$3,0,0,'Données projet'!$E$11+1,1))-AVERAGE(OFFSET($H$3,0,0,'Données projet'!$E$11+1,1))</f>
        <v>287.69656598881124</v>
      </c>
      <c r="BJ48" s="62">
        <f t="shared" si="38"/>
        <v>221.9773436301067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7.7955072744356606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7.2012361988499571E-2</v>
      </c>
      <c r="BS48" s="24">
        <f t="shared" si="9"/>
        <v>7.8675196364241602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17.596666666666664</v>
      </c>
      <c r="N49" s="14">
        <f>IF('Données projet'!$A$36&gt;35,N48+M49-V48,IF(A49&lt;'Données projet'!$A$36,$K$205^A49,IF(A49='Données projet'!$A$36,'Données projet'!$B$36,N48+M49-V48)))</f>
        <v>308.46999999999991</v>
      </c>
      <c r="O49" s="14">
        <f>N49*VLOOKUP('Données projet'!$B$9,Paramètres!$A$1:$I$89,3,0)*VLOOKUP('Données projet'!$B$9,Paramètres!$A$1:$I$89,5,0)</f>
        <v>144.36395999999996</v>
      </c>
      <c r="P49" s="14">
        <f t="shared" si="33"/>
        <v>37.294934491884128</v>
      </c>
      <c r="Q49" s="22">
        <f t="shared" si="53"/>
        <v>316.38924124003148</v>
      </c>
      <c r="R49" s="62">
        <f t="shared" si="0"/>
        <v>609.7225745733648</v>
      </c>
      <c r="S49" s="62">
        <f ca="1">AVERAGE(OFFSET($R$3,0,0,'Données projet'!$E$9+1,1))-AVERAGE(OFFSET($H$3,0,0,'Données projet'!$E$9+1,1))</f>
        <v>228.57322051753096</v>
      </c>
      <c r="T49" s="62">
        <f t="shared" si="34"/>
        <v>168.91992124331932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14.1</v>
      </c>
      <c r="AI49" s="14">
        <f>IF('Données projet'!$A$62&gt;35,AI48+AH49-AQ48,IF(A49&lt;'Données projet'!$A$62,$AF$205^A49,IF(A49='Données projet'!$A$62,'Données projet'!$B$62,AI48+AH49-AQ48)))</f>
        <v>258.60000000000002</v>
      </c>
      <c r="AJ49" s="14">
        <f>AI49*VLOOKUP('Données projet'!$B$10,Paramètres!$A$1:$I$89,3,0)*VLOOKUP('Données projet'!$B$10,Paramètres!$A$1:$I$89,5,0)</f>
        <v>154.64280000000002</v>
      </c>
      <c r="AK49" s="14">
        <f t="shared" si="35"/>
        <v>39.631799470164985</v>
      </c>
      <c r="AL49" s="22">
        <f t="shared" si="4"/>
        <v>338.36159407720407</v>
      </c>
      <c r="AM49" s="62">
        <f t="shared" si="5"/>
        <v>631.69492741053739</v>
      </c>
      <c r="AN49" s="62">
        <f ca="1">AVERAGE(OFFSET($AM$3,0,0,'Données projet'!$E$10+1,1))-AVERAGE(OFFSET($H$3,0,0,'Données projet'!$E$10+1,1))</f>
        <v>221.96671908615446</v>
      </c>
      <c r="AO49" s="62">
        <f t="shared" si="36"/>
        <v>141.9613211447562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2.9913946543578662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2.7326268820527872E-2</v>
      </c>
      <c r="AX49" s="23">
        <f t="shared" si="6"/>
        <v>3.0187209231783942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270.40000000000015</v>
      </c>
      <c r="BE49" s="14">
        <f>BD49*VLOOKUP('Données projet'!$B$11,Paramètres!$A$1:$I$89,3,0)*VLOOKUP('Données projet'!$B$11,Paramètres!$A$1:$I$89,5,0)</f>
        <v>161.6992000000001</v>
      </c>
      <c r="BF49" s="14">
        <f t="shared" si="37"/>
        <v>41.225538754249229</v>
      </c>
      <c r="BG49" s="22">
        <f t="shared" si="7"/>
        <v>353.42725333031763</v>
      </c>
      <c r="BH49" s="62">
        <f t="shared" si="8"/>
        <v>646.76058666365088</v>
      </c>
      <c r="BI49" s="62">
        <f ca="1">AVERAGE(OFFSET($BH$3,0,0,'Données projet'!$E$11+1,1))-AVERAGE(OFFSET($H$3,0,0,'Données projet'!$E$11+1,1))</f>
        <v>287.69656598881124</v>
      </c>
      <c r="BJ49" s="62">
        <f t="shared" si="38"/>
        <v>221.9773436301067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7.6426421315739184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5.0920429491328419E-2</v>
      </c>
      <c r="BS49" s="24">
        <f t="shared" si="9"/>
        <v>7.6935625610652467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17.596666666666664</v>
      </c>
      <c r="N50" s="14">
        <f>IF('Données projet'!$A$36&gt;35,N49+M50-V49,IF(A50&lt;'Données projet'!$A$36,$K$205^A50,IF(A50='Données projet'!$A$36,'Données projet'!$B$36,N49+M50-V49)))</f>
        <v>326.06666666666661</v>
      </c>
      <c r="O50" s="14">
        <f>N50*VLOOKUP('Données projet'!$B$9,Paramètres!$A$1:$I$89,3,0)*VLOOKUP('Données projet'!$B$9,Paramètres!$A$1:$I$89,5,0)</f>
        <v>152.59919999999997</v>
      </c>
      <c r="P50" s="14">
        <f t="shared" si="33"/>
        <v>39.168671261962366</v>
      </c>
      <c r="Q50" s="22">
        <f t="shared" si="53"/>
        <v>333.99570911458437</v>
      </c>
      <c r="R50" s="62">
        <f t="shared" si="0"/>
        <v>627.32904244791769</v>
      </c>
      <c r="S50" s="62">
        <f ca="1">AVERAGE(OFFSET($R$3,0,0,'Données projet'!$E$9+1,1))-AVERAGE(OFFSET($H$3,0,0,'Données projet'!$E$9+1,1))</f>
        <v>228.57322051753096</v>
      </c>
      <c r="T50" s="62">
        <f t="shared" si="34"/>
        <v>168.91992124331932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14.1</v>
      </c>
      <c r="AI50" s="14">
        <f>IF('Données projet'!$A$62&gt;35,AI49+AH50-AQ49,IF(A50&lt;'Données projet'!$A$62,$AF$205^A50,IF(A50='Données projet'!$A$62,'Données projet'!$B$62,AI49+AH50-AQ49)))</f>
        <v>272.70000000000005</v>
      </c>
      <c r="AJ50" s="14">
        <f>AI50*VLOOKUP('Données projet'!$B$10,Paramètres!$A$1:$I$89,3,0)*VLOOKUP('Données projet'!$B$10,Paramètres!$A$1:$I$89,5,0)</f>
        <v>163.07460000000003</v>
      </c>
      <c r="AK50" s="14">
        <f t="shared" si="35"/>
        <v>41.535229926099966</v>
      </c>
      <c r="AL50" s="22">
        <f t="shared" si="4"/>
        <v>356.36212045462412</v>
      </c>
      <c r="AM50" s="62">
        <f t="shared" si="5"/>
        <v>649.69545378795738</v>
      </c>
      <c r="AN50" s="62">
        <f ca="1">AVERAGE(OFFSET($AM$3,0,0,'Données projet'!$E$10+1,1))-AVERAGE(OFFSET($H$3,0,0,'Données projet'!$E$10+1,1))</f>
        <v>221.96671908615446</v>
      </c>
      <c r="AO50" s="62">
        <f t="shared" si="36"/>
        <v>141.9613211447562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2.9327352297564864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1.9322589987521781E-2</v>
      </c>
      <c r="AX50" s="23">
        <f t="shared" si="6"/>
        <v>2.9520578197440082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287.80000000000013</v>
      </c>
      <c r="BE50" s="14">
        <f>BD50*VLOOKUP('Données projet'!$B$11,Paramètres!$A$1:$I$89,3,0)*VLOOKUP('Données projet'!$B$11,Paramètres!$A$1:$I$89,5,0)</f>
        <v>172.10440000000008</v>
      </c>
      <c r="BF50" s="14">
        <f t="shared" si="37"/>
        <v>43.561001176960559</v>
      </c>
      <c r="BG50" s="22">
        <f t="shared" si="7"/>
        <v>375.61724038320648</v>
      </c>
      <c r="BH50" s="62">
        <f t="shared" si="8"/>
        <v>668.95057371653979</v>
      </c>
      <c r="BI50" s="62">
        <f ca="1">AVERAGE(OFFSET($BH$3,0,0,'Données projet'!$E$11+1,1))-AVERAGE(OFFSET($H$3,0,0,'Données projet'!$E$11+1,1))</f>
        <v>287.69656598881124</v>
      </c>
      <c r="BJ50" s="62">
        <f t="shared" si="38"/>
        <v>221.9773436301067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7.4927745809251638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3.6006180994249785E-2</v>
      </c>
      <c r="BS50" s="24">
        <f t="shared" si="9"/>
        <v>7.5287807619194131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17.596666666666664</v>
      </c>
      <c r="N51" s="14">
        <f>IF('Données projet'!$A$36&gt;35,N50+M51-V50,IF(A51&lt;'Données projet'!$A$36,$K$205^A51,IF(A51='Données projet'!$A$36,'Données projet'!$B$36,N50+M51-V50)))</f>
        <v>343.6633333333333</v>
      </c>
      <c r="O51" s="14">
        <f>N51*VLOOKUP('Données projet'!$B$9,Paramètres!$A$1:$I$89,3,0)*VLOOKUP('Données projet'!$B$9,Paramètres!$A$1:$I$89,5,0)</f>
        <v>160.83444</v>
      </c>
      <c r="P51" s="14">
        <f t="shared" si="33"/>
        <v>41.030668661458968</v>
      </c>
      <c r="Q51" s="22">
        <f t="shared" si="53"/>
        <v>351.58173091870771</v>
      </c>
      <c r="R51" s="62">
        <f t="shared" si="0"/>
        <v>644.91506425204102</v>
      </c>
      <c r="S51" s="62">
        <f ca="1">AVERAGE(OFFSET($R$3,0,0,'Données projet'!$E$9+1,1))-AVERAGE(OFFSET($H$3,0,0,'Données projet'!$E$9+1,1))</f>
        <v>228.57322051753096</v>
      </c>
      <c r="T51" s="62">
        <f t="shared" si="34"/>
        <v>168.91992124331932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14.1</v>
      </c>
      <c r="AI51" s="14">
        <f>IF('Données projet'!$A$62&gt;35,AI50+AH51-AQ50,IF(A51&lt;'Données projet'!$A$62,$AF$205^A51,IF(A51='Données projet'!$A$62,'Données projet'!$B$62,AI50+AH51-AQ50)))</f>
        <v>286.80000000000007</v>
      </c>
      <c r="AJ51" s="14">
        <f>AI51*VLOOKUP('Données projet'!$B$10,Paramètres!$A$1:$I$89,3,0)*VLOOKUP('Données projet'!$B$10,Paramètres!$A$1:$I$89,5,0)</f>
        <v>171.50640000000004</v>
      </c>
      <c r="AK51" s="14">
        <f t="shared" si="35"/>
        <v>43.427233649451665</v>
      </c>
      <c r="AL51" s="22">
        <f t="shared" si="4"/>
        <v>374.34274527279507</v>
      </c>
      <c r="AM51" s="62">
        <f t="shared" si="5"/>
        <v>667.67607860612839</v>
      </c>
      <c r="AN51" s="62">
        <f ca="1">AVERAGE(OFFSET($AM$3,0,0,'Données projet'!$E$10+1,1))-AVERAGE(OFFSET($H$3,0,0,'Données projet'!$E$10+1,1))</f>
        <v>221.96671908615446</v>
      </c>
      <c r="AO51" s="62">
        <f t="shared" si="36"/>
        <v>141.9613211447562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2.8752260806928231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1.366313441026394E-2</v>
      </c>
      <c r="AX51" s="23">
        <f t="shared" si="6"/>
        <v>2.8888892151030872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305.2000000000001</v>
      </c>
      <c r="BE51" s="14">
        <f>BD51*VLOOKUP('Données projet'!$B$11,Paramètres!$A$1:$I$89,3,0)*VLOOKUP('Données projet'!$B$11,Paramètres!$A$1:$I$89,5,0)</f>
        <v>182.50960000000006</v>
      </c>
      <c r="BF51" s="14">
        <f t="shared" si="37"/>
        <v>45.880075205637056</v>
      </c>
      <c r="BG51" s="22">
        <f t="shared" si="7"/>
        <v>397.77868431648454</v>
      </c>
      <c r="BH51" s="62">
        <f t="shared" si="8"/>
        <v>691.11201764981786</v>
      </c>
      <c r="BI51" s="62">
        <f ca="1">AVERAGE(OFFSET($BH$3,0,0,'Données projet'!$E$11+1,1))-AVERAGE(OFFSET($H$3,0,0,'Données projet'!$E$11+1,1))</f>
        <v>287.69656598881124</v>
      </c>
      <c r="BJ51" s="62">
        <f t="shared" si="38"/>
        <v>221.9773436301067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7.3458458415344516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2.5460214745664209E-2</v>
      </c>
      <c r="BS51" s="24">
        <f t="shared" si="9"/>
        <v>7.3713060562801163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361.26</v>
      </c>
      <c r="L52" s="13">
        <f>VLOOKUP(A52,'Données projet'!$A$35:$I$55,9,0)</f>
        <v>17.596666666666664</v>
      </c>
      <c r="M52" s="13">
        <f t="array" ref="M52">INDEX(L:L,MIN(IF(ISNUMBER(L52:L248),ROW(L52:L248),"")))</f>
        <v>17.596666666666664</v>
      </c>
      <c r="N52" s="14">
        <f>IF('Données projet'!$A$36&gt;35,N51+M52-V51,IF(A52&lt;'Données projet'!$A$36,$K$205^A52,IF(A52='Données projet'!$A$36,'Données projet'!$B$36,N51+M52-V51)))</f>
        <v>361.26</v>
      </c>
      <c r="O52" s="14">
        <f>N52*VLOOKUP('Données projet'!$B$9,Paramètres!$A$1:$I$89,3,0)*VLOOKUP('Données projet'!$B$9,Paramètres!$A$1:$I$89,5,0)</f>
        <v>169.06968000000001</v>
      </c>
      <c r="P52" s="14">
        <f t="shared" si="33"/>
        <v>42.881596355037587</v>
      </c>
      <c r="Q52" s="22">
        <f t="shared" si="53"/>
        <v>369.14847298502377</v>
      </c>
      <c r="R52" s="62">
        <f t="shared" si="0"/>
        <v>662.48180631835703</v>
      </c>
      <c r="S52" s="62">
        <f ca="1">AVERAGE(OFFSET($R$3,0,0,'Données projet'!$E$9+1,1))-AVERAGE(OFFSET($H$3,0,0,'Données projet'!$E$9+1,1))</f>
        <v>228.57322051753096</v>
      </c>
      <c r="T52" s="62">
        <f t="shared" si="34"/>
        <v>168.91992124331932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100.16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14.1</v>
      </c>
      <c r="AI52" s="14">
        <f>IF('Données projet'!$A$62&gt;35,AI51+AH52-AQ51,IF(A52&lt;'Données projet'!$A$62,$AF$205^A52,IF(A52='Données projet'!$A$62,'Données projet'!$B$62,AI51+AH52-AQ51)))</f>
        <v>300.90000000000009</v>
      </c>
      <c r="AJ52" s="14">
        <f>AI52*VLOOKUP('Données projet'!$B$10,Paramètres!$A$1:$I$89,3,0)*VLOOKUP('Données projet'!$B$10,Paramètres!$A$1:$I$89,5,0)</f>
        <v>179.93820000000005</v>
      </c>
      <c r="AK52" s="14">
        <f t="shared" si="35"/>
        <v>45.308436530386629</v>
      </c>
      <c r="AL52" s="22">
        <f t="shared" si="4"/>
        <v>392.30455862375675</v>
      </c>
      <c r="AM52" s="62">
        <f t="shared" si="5"/>
        <v>685.63789195709001</v>
      </c>
      <c r="AN52" s="62">
        <f ca="1">AVERAGE(OFFSET($AM$3,0,0,'Données projet'!$E$10+1,1))-AVERAGE(OFFSET($H$3,0,0,'Données projet'!$E$10+1,1))</f>
        <v>221.96671908615446</v>
      </c>
      <c r="AO52" s="62">
        <f t="shared" si="36"/>
        <v>141.9613211447562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2.8188446509651812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9.6612949937608921E-3</v>
      </c>
      <c r="AX52" s="23">
        <f t="shared" si="6"/>
        <v>2.8285059459589421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322.60000000000008</v>
      </c>
      <c r="BE52" s="14">
        <f>BD52*VLOOKUP('Données projet'!$B$11,Paramètres!$A$1:$I$89,3,0)*VLOOKUP('Données projet'!$B$11,Paramètres!$A$1:$I$89,5,0)</f>
        <v>192.91480000000007</v>
      </c>
      <c r="BF52" s="14">
        <f t="shared" si="37"/>
        <v>48.18380163388656</v>
      </c>
      <c r="BG52" s="22">
        <f t="shared" si="7"/>
        <v>419.91339784568589</v>
      </c>
      <c r="BH52" s="62">
        <f t="shared" si="8"/>
        <v>713.24673117901921</v>
      </c>
      <c r="BI52" s="62">
        <f ca="1">AVERAGE(OFFSET($BH$3,0,0,'Données projet'!$E$11+1,1))-AVERAGE(OFFSET($H$3,0,0,'Données projet'!$E$11+1,1))</f>
        <v>287.69656598881124</v>
      </c>
      <c r="BJ52" s="62">
        <f t="shared" si="38"/>
        <v>221.9773436301067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7.2017982851055091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1.8003090497124893E-2</v>
      </c>
      <c r="BS52" s="24">
        <f t="shared" si="9"/>
        <v>7.2198013756026338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277.5</v>
      </c>
      <c r="L53" s="13">
        <f>VLOOKUP(A53,'Données projet'!$A$35:$I$55,9,0)</f>
        <v>16.399999999999977</v>
      </c>
      <c r="M53" s="13">
        <f t="array" ref="M53">INDEX(L:L,MIN(IF(ISNUMBER(L53:L249),ROW(L53:L249),"")))</f>
        <v>16.399999999999977</v>
      </c>
      <c r="N53" s="14">
        <f>IF('Données projet'!$A$36&gt;35,N52+M53-V52,IF(A53&lt;'Données projet'!$A$36,$K$205^A53,IF(A53='Données projet'!$A$36,'Données projet'!$B$36,N52+M53-V52)))</f>
        <v>277.5</v>
      </c>
      <c r="O53" s="14">
        <f>N53*VLOOKUP('Données projet'!$B$9,Paramètres!$A$1:$I$89,3,0)*VLOOKUP('Données projet'!$B$9,Paramètres!$A$1:$I$89,5,0)</f>
        <v>129.87</v>
      </c>
      <c r="P53" s="14">
        <f t="shared" si="33"/>
        <v>33.966318400312318</v>
      </c>
      <c r="Q53" s="22">
        <f t="shared" si="53"/>
        <v>285.34825454721067</v>
      </c>
      <c r="R53" s="62">
        <f t="shared" si="0"/>
        <v>578.68158788054393</v>
      </c>
      <c r="S53" s="62">
        <f ca="1">AVERAGE(OFFSET($R$3,0,0,'Données projet'!$E$9+1,1))-AVERAGE(OFFSET($H$3,0,0,'Données projet'!$E$9+1,1))</f>
        <v>228.57322051753096</v>
      </c>
      <c r="T53" s="62">
        <f t="shared" si="34"/>
        <v>168.91992124331932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315</v>
      </c>
      <c r="AG53" s="13">
        <f>VLOOKUP(A53,'Données projet'!$A$61:$I$81,9,0)</f>
        <v>14.1</v>
      </c>
      <c r="AH53" s="13">
        <f t="array" ref="AH53">INDEX(AG:AG,MIN(IF(ISNUMBER(AG53:AG249),ROW(AG53:AG249),"")))</f>
        <v>14.1</v>
      </c>
      <c r="AI53" s="14">
        <f>IF('Données projet'!$A$62&gt;35,AI52+AH53-AQ52,IF(A53&lt;'Données projet'!$A$62,$AF$205^A53,IF(A53='Données projet'!$A$62,'Données projet'!$B$62,AI52+AH53-AQ52)))</f>
        <v>315.00000000000011</v>
      </c>
      <c r="AJ53" s="14">
        <f>AI53*VLOOKUP('Données projet'!$B$10,Paramètres!$A$1:$I$89,3,0)*VLOOKUP('Données projet'!$B$10,Paramètres!$A$1:$I$89,5,0)</f>
        <v>188.37000000000009</v>
      </c>
      <c r="AK53" s="14">
        <f t="shared" si="35"/>
        <v>47.179402486491341</v>
      </c>
      <c r="AL53" s="22">
        <f t="shared" si="4"/>
        <v>410.24854266397256</v>
      </c>
      <c r="AM53" s="62">
        <f t="shared" si="5"/>
        <v>703.58187599730581</v>
      </c>
      <c r="AN53" s="62">
        <f ca="1">AVERAGE(OFFSET($AM$3,0,0,'Données projet'!$E$10+1,1))-AVERAGE(OFFSET($H$3,0,0,'Données projet'!$E$10+1,1))</f>
        <v>221.96671908615446</v>
      </c>
      <c r="AO53" s="62">
        <f t="shared" si="36"/>
        <v>141.9613211447562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79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2.7635688266852219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6.8315672051319706E-3</v>
      </c>
      <c r="AX53" s="23">
        <f t="shared" si="6"/>
        <v>2.7704003938903536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340.00000000000006</v>
      </c>
      <c r="BE53" s="14">
        <f>BD53*VLOOKUP('Données projet'!$B$11,Paramètres!$A$1:$I$89,3,0)*VLOOKUP('Données projet'!$B$11,Paramètres!$A$1:$I$89,5,0)</f>
        <v>203.32000000000005</v>
      </c>
      <c r="BF53" s="14">
        <f t="shared" si="37"/>
        <v>50.473102640215579</v>
      </c>
      <c r="BG53" s="22">
        <f t="shared" si="7"/>
        <v>442.02298709837555</v>
      </c>
      <c r="BH53" s="62">
        <f t="shared" si="8"/>
        <v>735.35632043170881</v>
      </c>
      <c r="BI53" s="62">
        <f ca="1">AVERAGE(OFFSET($BH$3,0,0,'Données projet'!$E$11+1,1))-AVERAGE(OFFSET($H$3,0,0,'Données projet'!$E$11+1,1))</f>
        <v>287.69656598881124</v>
      </c>
      <c r="BJ53" s="62">
        <f t="shared" si="38"/>
        <v>221.9773436301067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7.0605754133978049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1.2730107372832105E-2</v>
      </c>
      <c r="BS53" s="24">
        <f t="shared" si="9"/>
        <v>7.0733055207706368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17.034999999999997</v>
      </c>
      <c r="N54" s="14">
        <f>IF('Données projet'!$A$36&gt;35,N53+M54-V53,IF(A54&lt;'Données projet'!$A$36,$K$205^A54,IF(A54='Données projet'!$A$36,'Données projet'!$B$36,N53+M54-V53)))</f>
        <v>294.53499999999997</v>
      </c>
      <c r="O54" s="14">
        <f>N54*VLOOKUP('Données projet'!$B$9,Paramètres!$A$1:$I$89,3,0)*VLOOKUP('Données projet'!$B$9,Paramètres!$A$1:$I$89,5,0)</f>
        <v>137.84237999999999</v>
      </c>
      <c r="P54" s="14">
        <f t="shared" si="33"/>
        <v>35.802279141153015</v>
      </c>
      <c r="Q54" s="22">
        <f t="shared" si="53"/>
        <v>302.43111467084145</v>
      </c>
      <c r="R54" s="62">
        <f t="shared" si="0"/>
        <v>595.76444800417471</v>
      </c>
      <c r="S54" s="62">
        <f ca="1">AVERAGE(OFFSET($R$3,0,0,'Données projet'!$E$9+1,1))-AVERAGE(OFFSET($H$3,0,0,'Données projet'!$E$9+1,1))</f>
        <v>228.57322051753096</v>
      </c>
      <c r="T54" s="62">
        <f t="shared" si="34"/>
        <v>168.91992124331932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15.7</v>
      </c>
      <c r="AI54" s="14">
        <f>IF('Données projet'!$A$62&gt;35,AI53+AH54-AQ53,IF(A54&lt;'Données projet'!$A$62,$AF$205^A54,IF(A54='Données projet'!$A$62,'Données projet'!$B$62,AI53+AH54-AQ53)))</f>
        <v>251.7000000000001</v>
      </c>
      <c r="AJ54" s="14">
        <f>AI54*VLOOKUP('Données projet'!$B$10,Paramètres!$A$1:$I$89,3,0)*VLOOKUP('Données projet'!$B$10,Paramètres!$A$1:$I$89,5,0)</f>
        <v>150.51660000000007</v>
      </c>
      <c r="AK54" s="14">
        <f t="shared" si="35"/>
        <v>38.695961323116059</v>
      </c>
      <c r="AL54" s="22">
        <f t="shared" si="4"/>
        <v>329.54521097109392</v>
      </c>
      <c r="AM54" s="62">
        <f t="shared" si="5"/>
        <v>622.87854430442724</v>
      </c>
      <c r="AN54" s="62">
        <f ca="1">AVERAGE(OFFSET($AM$3,0,0,'Données projet'!$E$10+1,1))-AVERAGE(OFFSET($H$3,0,0,'Données projet'!$E$10+1,1))</f>
        <v>221.96671908615446</v>
      </c>
      <c r="AO54" s="62">
        <f t="shared" si="36"/>
        <v>141.9613211447562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2.7093769276044686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4.8306474968804469E-3</v>
      </c>
      <c r="AX54" s="23">
        <f t="shared" si="6"/>
        <v>2.7142075751013488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304.62500000000006</v>
      </c>
      <c r="BE54" s="14">
        <f>BD54*VLOOKUP('Données projet'!$B$11,Paramètres!$A$1:$I$89,3,0)*VLOOKUP('Données projet'!$B$11,Paramètres!$A$1:$I$89,5,0)</f>
        <v>182.16575000000003</v>
      </c>
      <c r="BF54" s="14">
        <f t="shared" si="37"/>
        <v>45.803689728693968</v>
      </c>
      <c r="BG54" s="22">
        <f t="shared" si="7"/>
        <v>397.04677419414202</v>
      </c>
      <c r="BH54" s="62">
        <f t="shared" si="8"/>
        <v>690.38010752747527</v>
      </c>
      <c r="BI54" s="62">
        <f ca="1">AVERAGE(OFFSET($BH$3,0,0,'Données projet'!$E$11+1,1))-AVERAGE(OFFSET($H$3,0,0,'Données projet'!$E$11+1,1))</f>
        <v>287.69656598881124</v>
      </c>
      <c r="BJ54" s="62">
        <f t="shared" si="38"/>
        <v>221.9773436301067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6.9221218360668422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9.0015452485624464E-3</v>
      </c>
      <c r="BS54" s="24">
        <f t="shared" si="9"/>
        <v>6.9311233813154045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17.034999999999997</v>
      </c>
      <c r="N55" s="14">
        <f>IF('Données projet'!$A$36&gt;35,N54+M55-V54,IF(A55&lt;'Données projet'!$A$36,$K$205^A55,IF(A55='Données projet'!$A$36,'Données projet'!$B$36,N54+M55-V54)))</f>
        <v>311.56999999999994</v>
      </c>
      <c r="O55" s="14">
        <f>N55*VLOOKUP('Données projet'!$B$9,Paramètres!$A$1:$I$89,3,0)*VLOOKUP('Données projet'!$B$9,Paramètres!$A$1:$I$89,5,0)</f>
        <v>145.81475999999998</v>
      </c>
      <c r="P55" s="14">
        <f t="shared" si="33"/>
        <v>37.625914051925029</v>
      </c>
      <c r="Q55" s="22">
        <f t="shared" si="53"/>
        <v>319.4925073071027</v>
      </c>
      <c r="R55" s="62">
        <f t="shared" si="0"/>
        <v>612.82584064043601</v>
      </c>
      <c r="S55" s="62">
        <f ca="1">AVERAGE(OFFSET($R$3,0,0,'Données projet'!$E$9+1,1))-AVERAGE(OFFSET($H$3,0,0,'Données projet'!$E$9+1,1))</f>
        <v>228.57322051753096</v>
      </c>
      <c r="T55" s="62">
        <f t="shared" si="34"/>
        <v>168.91992124331932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15.7</v>
      </c>
      <c r="AI55" s="14">
        <f>IF('Données projet'!$A$62&gt;35,AI54+AH55-AQ54,IF(A55&lt;'Données projet'!$A$62,$AF$205^A55,IF(A55='Données projet'!$A$62,'Données projet'!$B$62,AI54+AH55-AQ54)))</f>
        <v>267.40000000000009</v>
      </c>
      <c r="AJ55" s="14">
        <f>AI55*VLOOKUP('Données projet'!$B$10,Paramètres!$A$1:$I$89,3,0)*VLOOKUP('Données projet'!$B$10,Paramètres!$A$1:$I$89,5,0)</f>
        <v>159.90520000000006</v>
      </c>
      <c r="AK55" s="14">
        <f t="shared" si="35"/>
        <v>40.821132264574658</v>
      </c>
      <c r="AL55" s="22">
        <f t="shared" si="4"/>
        <v>349.59836202746766</v>
      </c>
      <c r="AM55" s="62">
        <f t="shared" si="5"/>
        <v>642.93169536080097</v>
      </c>
      <c r="AN55" s="62">
        <f ca="1">AVERAGE(OFFSET($AM$3,0,0,'Données projet'!$E$10+1,1))-AVERAGE(OFFSET($H$3,0,0,'Données projet'!$E$10+1,1))</f>
        <v>221.96671908615446</v>
      </c>
      <c r="AO55" s="62">
        <f t="shared" si="36"/>
        <v>141.9613211447562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2.6562476986108945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3.4157836025659857E-3</v>
      </c>
      <c r="AX55" s="23">
        <f t="shared" si="6"/>
        <v>2.6596634822134604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322.25000000000006</v>
      </c>
      <c r="BE55" s="14">
        <f>BD55*VLOOKUP('Données projet'!$B$11,Paramètres!$A$1:$I$89,3,0)*VLOOKUP('Données projet'!$B$11,Paramètres!$A$1:$I$89,5,0)</f>
        <v>192.70550000000006</v>
      </c>
      <c r="BF55" s="14">
        <f t="shared" si="37"/>
        <v>48.137607387789963</v>
      </c>
      <c r="BG55" s="22">
        <f t="shared" si="7"/>
        <v>419.46841203373424</v>
      </c>
      <c r="BH55" s="62">
        <f t="shared" si="8"/>
        <v>712.8017453670675</v>
      </c>
      <c r="BI55" s="62">
        <f ca="1">AVERAGE(OFFSET($BH$3,0,0,'Données projet'!$E$11+1,1))-AVERAGE(OFFSET($H$3,0,0,'Données projet'!$E$11+1,1))</f>
        <v>287.69656598881124</v>
      </c>
      <c r="BJ55" s="62">
        <f t="shared" si="38"/>
        <v>221.9773436301067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6.7863832489389955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6.3650536864160523E-3</v>
      </c>
      <c r="BS55" s="24">
        <f t="shared" si="9"/>
        <v>6.7927483026254114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17.034999999999997</v>
      </c>
      <c r="N56" s="14">
        <f>IF('Données projet'!$A$36&gt;35,N55+M56-V55,IF(A56&lt;'Données projet'!$A$36,$K$205^A56,IF(A56='Données projet'!$A$36,'Données projet'!$B$36,N55+M56-V55)))</f>
        <v>328.6049999999999</v>
      </c>
      <c r="O56" s="14">
        <f>N56*VLOOKUP('Données projet'!$B$9,Paramètres!$A$1:$I$89,3,0)*VLOOKUP('Données projet'!$B$9,Paramètres!$A$1:$I$89,5,0)</f>
        <v>153.78713999999997</v>
      </c>
      <c r="P56" s="14">
        <f t="shared" si="33"/>
        <v>39.437973866071921</v>
      </c>
      <c r="Q56" s="22">
        <f t="shared" si="53"/>
        <v>336.53373998340851</v>
      </c>
      <c r="R56" s="62">
        <f t="shared" si="0"/>
        <v>629.86707331674188</v>
      </c>
      <c r="S56" s="62">
        <f ca="1">AVERAGE(OFFSET($R$3,0,0,'Données projet'!$E$9+1,1))-AVERAGE(OFFSET($H$3,0,0,'Données projet'!$E$9+1,1))</f>
        <v>228.57322051753096</v>
      </c>
      <c r="T56" s="62">
        <f t="shared" si="34"/>
        <v>168.91992124331932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15.7</v>
      </c>
      <c r="AI56" s="14">
        <f>IF('Données projet'!$A$62&gt;35,AI55+AH56-AQ55,IF(A56&lt;'Données projet'!$A$62,$AF$205^A56,IF(A56='Données projet'!$A$62,'Données projet'!$B$62,AI55+AH56-AQ55)))</f>
        <v>283.10000000000008</v>
      </c>
      <c r="AJ56" s="14">
        <f>AI56*VLOOKUP('Données projet'!$B$10,Paramètres!$A$1:$I$89,3,0)*VLOOKUP('Données projet'!$B$10,Paramètres!$A$1:$I$89,5,0)</f>
        <v>169.29380000000009</v>
      </c>
      <c r="AK56" s="14">
        <f t="shared" si="35"/>
        <v>42.931819978697277</v>
      </c>
      <c r="AL56" s="22">
        <f t="shared" si="4"/>
        <v>369.6262881295645</v>
      </c>
      <c r="AM56" s="62">
        <f t="shared" si="5"/>
        <v>662.95962146289776</v>
      </c>
      <c r="AN56" s="62">
        <f ca="1">AVERAGE(OFFSET($AM$3,0,0,'Données projet'!$E$10+1,1))-AVERAGE(OFFSET($H$3,0,0,'Données projet'!$E$10+1,1))</f>
        <v>221.96671908615446</v>
      </c>
      <c r="AO56" s="62">
        <f t="shared" si="36"/>
        <v>141.9613211447562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2.6041603013922545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2.4153237484402235E-3</v>
      </c>
      <c r="AX56" s="23">
        <f t="shared" si="6"/>
        <v>2.6065756251406946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339.87500000000006</v>
      </c>
      <c r="BE56" s="14">
        <f>BD56*VLOOKUP('Données projet'!$B$11,Paramètres!$A$1:$I$89,3,0)*VLOOKUP('Données projet'!$B$11,Paramètres!$A$1:$I$89,5,0)</f>
        <v>203.24525000000006</v>
      </c>
      <c r="BF56" s="14">
        <f t="shared" si="37"/>
        <v>50.45670595349123</v>
      </c>
      <c r="BG56" s="22">
        <f t="shared" si="7"/>
        <v>441.86423995233059</v>
      </c>
      <c r="BH56" s="62">
        <f t="shared" si="8"/>
        <v>735.19757328566391</v>
      </c>
      <c r="BI56" s="62">
        <f ca="1">AVERAGE(OFFSET($BH$3,0,0,'Données projet'!$E$11+1,1))-AVERAGE(OFFSET($H$3,0,0,'Données projet'!$E$11+1,1))</f>
        <v>287.69656598881124</v>
      </c>
      <c r="BJ56" s="62">
        <f t="shared" si="38"/>
        <v>221.9773436301067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6.6533064127123636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4.5007726242812232E-3</v>
      </c>
      <c r="BS56" s="24">
        <f t="shared" si="9"/>
        <v>6.6578071853366447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17.034999999999997</v>
      </c>
      <c r="N57" s="14">
        <f>IF('Données projet'!$A$36&gt;35,N56+M57-V56,IF(A57&lt;'Données projet'!$A$36,$K$205^A57,IF(A57='Données projet'!$A$36,'Données projet'!$B$36,N56+M57-V56)))</f>
        <v>345.63999999999987</v>
      </c>
      <c r="O57" s="14">
        <f>N57*VLOOKUP('Données projet'!$B$9,Paramètres!$A$1:$I$89,3,0)*VLOOKUP('Données projet'!$B$9,Paramètres!$A$1:$I$89,5,0)</f>
        <v>161.75951999999995</v>
      </c>
      <c r="P57" s="14">
        <f t="shared" si="33"/>
        <v>41.239127084112248</v>
      </c>
      <c r="Q57" s="22">
        <f t="shared" si="53"/>
        <v>353.55597700482872</v>
      </c>
      <c r="R57" s="62">
        <f t="shared" si="0"/>
        <v>646.88931033816198</v>
      </c>
      <c r="S57" s="62">
        <f ca="1">AVERAGE(OFFSET($R$3,0,0,'Données projet'!$E$9+1,1))-AVERAGE(OFFSET($H$3,0,0,'Données projet'!$E$9+1,1))</f>
        <v>228.57322051753096</v>
      </c>
      <c r="T57" s="62">
        <f t="shared" si="34"/>
        <v>168.91992124331932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15.7</v>
      </c>
      <c r="AI57" s="14">
        <f>IF('Données projet'!$A$62&gt;35,AI56+AH57-AQ56,IF(A57&lt;'Données projet'!$A$62,$AF$205^A57,IF(A57='Données projet'!$A$62,'Données projet'!$B$62,AI56+AH57-AQ56)))</f>
        <v>298.80000000000007</v>
      </c>
      <c r="AJ57" s="14">
        <f>AI57*VLOOKUP('Données projet'!$B$10,Paramètres!$A$1:$I$89,3,0)*VLOOKUP('Données projet'!$B$10,Paramètres!$A$1:$I$89,5,0)</f>
        <v>178.68240000000006</v>
      </c>
      <c r="AK57" s="14">
        <f t="shared" si="35"/>
        <v>45.028919214980071</v>
      </c>
      <c r="AL57" s="22">
        <f t="shared" si="4"/>
        <v>389.63054763275704</v>
      </c>
      <c r="AM57" s="62">
        <f t="shared" si="5"/>
        <v>682.9638809660903</v>
      </c>
      <c r="AN57" s="62">
        <f ca="1">AVERAGE(OFFSET($AM$3,0,0,'Données projet'!$E$10+1,1))-AVERAGE(OFFSET($H$3,0,0,'Données projet'!$E$10+1,1))</f>
        <v>221.96671908615446</v>
      </c>
      <c r="AO57" s="62">
        <f t="shared" si="36"/>
        <v>141.9613211447562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2.5530943062628966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1.7078918012829929E-3</v>
      </c>
      <c r="AX57" s="23">
        <f t="shared" si="6"/>
        <v>2.5548021980641797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357.50000000000006</v>
      </c>
      <c r="BE57" s="14">
        <f>BD57*VLOOKUP('Données projet'!$B$11,Paramètres!$A$1:$I$89,3,0)*VLOOKUP('Données projet'!$B$11,Paramètres!$A$1:$I$89,5,0)</f>
        <v>213.78500000000005</v>
      </c>
      <c r="BF57" s="14">
        <f t="shared" si="37"/>
        <v>52.761841557402377</v>
      </c>
      <c r="BG57" s="22">
        <f t="shared" si="7"/>
        <v>464.2357490458092</v>
      </c>
      <c r="BH57" s="62">
        <f t="shared" si="8"/>
        <v>757.56908237914251</v>
      </c>
      <c r="BI57" s="62">
        <f ca="1">AVERAGE(OFFSET($BH$3,0,0,'Données projet'!$E$11+1,1))-AVERAGE(OFFSET($H$3,0,0,'Données projet'!$E$11+1,1))</f>
        <v>287.69656598881124</v>
      </c>
      <c r="BJ57" s="62">
        <f t="shared" si="38"/>
        <v>221.9773436301067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6.5228391320752799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3.1825268432080262E-3</v>
      </c>
      <c r="BS57" s="24">
        <f t="shared" si="9"/>
        <v>6.5260216589184878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17.034999999999997</v>
      </c>
      <c r="N58" s="14">
        <f>IF('Données projet'!$A$36&gt;35,N57+M58-V57,IF(A58&lt;'Données projet'!$A$36,$K$205^A58,IF(A58='Données projet'!$A$36,'Données projet'!$B$36,N57+M58-V57)))</f>
        <v>362.67499999999984</v>
      </c>
      <c r="O58" s="14">
        <f>N58*VLOOKUP('Données projet'!$B$9,Paramètres!$A$1:$I$89,3,0)*VLOOKUP('Données projet'!$B$9,Paramètres!$A$1:$I$89,5,0)</f>
        <v>169.73189999999991</v>
      </c>
      <c r="P58" s="14">
        <f t="shared" si="33"/>
        <v>43.029972589331059</v>
      </c>
      <c r="Q58" s="22">
        <f t="shared" si="53"/>
        <v>370.56026142641809</v>
      </c>
      <c r="R58" s="62">
        <f t="shared" si="0"/>
        <v>663.89359475975141</v>
      </c>
      <c r="S58" s="62">
        <f ca="1">AVERAGE(OFFSET($R$3,0,0,'Données projet'!$E$9+1,1))-AVERAGE(OFFSET($H$3,0,0,'Données projet'!$E$9+1,1))</f>
        <v>228.57322051753096</v>
      </c>
      <c r="T58" s="62">
        <f t="shared" si="34"/>
        <v>168.91992124331932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15.7</v>
      </c>
      <c r="AI58" s="14">
        <f>IF('Données projet'!$A$62&gt;35,AI57+AH58-AQ57,IF(A58&lt;'Données projet'!$A$62,$AF$205^A58,IF(A58='Données projet'!$A$62,'Données projet'!$B$62,AI57+AH58-AQ57)))</f>
        <v>314.50000000000006</v>
      </c>
      <c r="AJ58" s="14">
        <f>AI58*VLOOKUP('Données projet'!$B$10,Paramètres!$A$1:$I$89,3,0)*VLOOKUP('Données projet'!$B$10,Paramètres!$A$1:$I$89,5,0)</f>
        <v>188.07100000000005</v>
      </c>
      <c r="AK58" s="14">
        <f t="shared" si="35"/>
        <v>47.113225385753083</v>
      </c>
      <c r="AL58" s="22">
        <f t="shared" si="4"/>
        <v>409.61252588018669</v>
      </c>
      <c r="AM58" s="62">
        <f t="shared" si="5"/>
        <v>702.94585921351995</v>
      </c>
      <c r="AN58" s="62">
        <f ca="1">AVERAGE(OFFSET($AM$3,0,0,'Données projet'!$E$10+1,1))-AVERAGE(OFFSET($H$3,0,0,'Données projet'!$E$10+1,1))</f>
        <v>221.96671908615446</v>
      </c>
      <c r="AO58" s="62">
        <f t="shared" si="36"/>
        <v>141.9613211447562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2.5030296841508441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1.2076618742201117E-3</v>
      </c>
      <c r="AX58" s="23">
        <f t="shared" si="6"/>
        <v>2.5042373460250644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375.12500000000006</v>
      </c>
      <c r="BE58" s="14">
        <f>BD58*VLOOKUP('Données projet'!$B$11,Paramètres!$A$1:$I$89,3,0)*VLOOKUP('Données projet'!$B$11,Paramètres!$A$1:$I$89,5,0)</f>
        <v>224.32475000000005</v>
      </c>
      <c r="BF58" s="14">
        <f t="shared" si="37"/>
        <v>55.053781146410472</v>
      </c>
      <c r="BG58" s="22">
        <f t="shared" si="7"/>
        <v>486.58427507999835</v>
      </c>
      <c r="BH58" s="62">
        <f t="shared" si="8"/>
        <v>779.91760841333166</v>
      </c>
      <c r="BI58" s="62">
        <f ca="1">AVERAGE(OFFSET($BH$3,0,0,'Données projet'!$E$11+1,1))-AVERAGE(OFFSET($H$3,0,0,'Données projet'!$E$11+1,1))</f>
        <v>287.69656598881124</v>
      </c>
      <c r="BJ58" s="62">
        <f t="shared" si="38"/>
        <v>221.9773436301067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6.3949302352343063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2.2503863121406116E-3</v>
      </c>
      <c r="BS58" s="24">
        <f t="shared" si="9"/>
        <v>6.3971806215464468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379.71</v>
      </c>
      <c r="L59" s="13">
        <f>VLOOKUP(A59,'Données projet'!$A$35:$I$55,9,0)</f>
        <v>17.034999999999997</v>
      </c>
      <c r="M59" s="13">
        <f t="array" ref="M59">INDEX(L:L,MIN(IF(ISNUMBER(L59:L255),ROW(L59:L255),"")))</f>
        <v>17.034999999999997</v>
      </c>
      <c r="N59" s="14">
        <f>IF('Données projet'!$A$36&gt;35,N58+M59-V58,IF(A59&lt;'Données projet'!$A$36,$K$205^A59,IF(A59='Données projet'!$A$36,'Données projet'!$B$36,N58+M59-V58)))</f>
        <v>379.70999999999981</v>
      </c>
      <c r="O59" s="14">
        <f>N59*VLOOKUP('Données projet'!$B$9,Paramètres!$A$1:$I$89,3,0)*VLOOKUP('Données projet'!$B$9,Paramètres!$A$1:$I$89,5,0)</f>
        <v>177.70427999999993</v>
      </c>
      <c r="P59" s="14">
        <f t="shared" si="33"/>
        <v>44.811049826105538</v>
      </c>
      <c r="Q59" s="22">
        <f t="shared" si="53"/>
        <v>387.54753278046701</v>
      </c>
      <c r="R59" s="62">
        <f t="shared" si="0"/>
        <v>680.88086611380027</v>
      </c>
      <c r="S59" s="62">
        <f ca="1">AVERAGE(OFFSET($R$3,0,0,'Données projet'!$E$9+1,1))-AVERAGE(OFFSET($H$3,0,0,'Données projet'!$E$9+1,1))</f>
        <v>228.57322051753096</v>
      </c>
      <c r="T59" s="62">
        <f t="shared" si="34"/>
        <v>168.91992124331932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79.39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15.7</v>
      </c>
      <c r="AI59" s="14">
        <f>IF('Données projet'!$A$62&gt;35,AI58+AH59-AQ58,IF(A59&lt;'Données projet'!$A$62,$AF$205^A59,IF(A59='Données projet'!$A$62,'Données projet'!$B$62,AI58+AH59-AQ58)))</f>
        <v>330.20000000000005</v>
      </c>
      <c r="AJ59" s="14">
        <f>AI59*VLOOKUP('Données projet'!$B$10,Paramètres!$A$1:$I$89,3,0)*VLOOKUP('Données projet'!$B$10,Paramètres!$A$1:$I$89,5,0)</f>
        <v>197.45960000000005</v>
      </c>
      <c r="AK59" s="14">
        <f t="shared" si="35"/>
        <v>49.185450002435452</v>
      </c>
      <c r="AL59" s="22">
        <f t="shared" si="4"/>
        <v>429.57346208757514</v>
      </c>
      <c r="AM59" s="62">
        <f t="shared" si="5"/>
        <v>722.90679542090845</v>
      </c>
      <c r="AN59" s="62">
        <f ca="1">AVERAGE(OFFSET($AM$3,0,0,'Données projet'!$E$10+1,1))-AVERAGE(OFFSET($H$3,0,0,'Données projet'!$E$10+1,1))</f>
        <v>221.96671908615446</v>
      </c>
      <c r="AO59" s="62">
        <f t="shared" si="36"/>
        <v>141.9613211447562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2.4539467987420047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8.5394590064149644E-4</v>
      </c>
      <c r="AX59" s="23">
        <f t="shared" si="6"/>
        <v>2.4548007446426463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392.75000000000006</v>
      </c>
      <c r="BE59" s="14">
        <f>BD59*VLOOKUP('Données projet'!$B$11,Paramètres!$A$1:$I$89,3,0)*VLOOKUP('Données projet'!$B$11,Paramètres!$A$1:$I$89,5,0)</f>
        <v>234.86450000000002</v>
      </c>
      <c r="BF59" s="14">
        <f t="shared" si="37"/>
        <v>57.33321552572081</v>
      </c>
      <c r="BG59" s="22">
        <f t="shared" si="7"/>
        <v>508.9110212072971</v>
      </c>
      <c r="BH59" s="62">
        <f t="shared" si="8"/>
        <v>802.24435454063041</v>
      </c>
      <c r="BI59" s="62">
        <f ca="1">AVERAGE(OFFSET($BH$3,0,0,'Données projet'!$E$11+1,1))-AVERAGE(OFFSET($H$3,0,0,'Données projet'!$E$11+1,1))</f>
        <v>287.69656598881124</v>
      </c>
      <c r="BJ59" s="62">
        <f t="shared" si="38"/>
        <v>221.9773436301067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6.2695295538436602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1.5912634216040131E-3</v>
      </c>
      <c r="BS59" s="24">
        <f t="shared" si="9"/>
        <v>6.2711208172652642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>
        <f>VLOOKUP(A60,'Données projet'!$A$35:$I$55,2,0)</f>
        <v>316.45</v>
      </c>
      <c r="L60" s="13">
        <f>VLOOKUP(A60,'Données projet'!$A$35:$I$55,9,0)</f>
        <v>16.129999999999995</v>
      </c>
      <c r="M60" s="13">
        <f t="array" ref="M60">INDEX(L:L,MIN(IF(ISNUMBER(L60:L256),ROW(L60:L256),"")))</f>
        <v>16.129999999999995</v>
      </c>
      <c r="N60" s="14">
        <f>IF('Données projet'!$A$36&gt;35,N59+M60-V59,IF(A60&lt;'Données projet'!$A$36,$K$205^A60,IF(A60='Données projet'!$A$36,'Données projet'!$B$36,N59+M60-V59)))</f>
        <v>316.44999999999982</v>
      </c>
      <c r="O60" s="14">
        <f>N60*VLOOKUP('Données projet'!$B$9,Paramètres!$A$1:$I$89,3,0)*VLOOKUP('Données projet'!$B$9,Paramètres!$A$1:$I$89,5,0)</f>
        <v>148.09859999999992</v>
      </c>
      <c r="P60" s="14">
        <f t="shared" si="33"/>
        <v>38.146165355224731</v>
      </c>
      <c r="Q60" s="22">
        <f t="shared" si="53"/>
        <v>324.37629966034956</v>
      </c>
      <c r="R60" s="62">
        <f t="shared" si="0"/>
        <v>617.70963299368282</v>
      </c>
      <c r="S60" s="62">
        <f ca="1">AVERAGE(OFFSET($R$3,0,0,'Données projet'!$E$9+1,1))-AVERAGE(OFFSET($H$3,0,0,'Données projet'!$E$9+1,1))</f>
        <v>228.57322051753096</v>
      </c>
      <c r="T60" s="62">
        <f t="shared" si="34"/>
        <v>168.91992124331932</v>
      </c>
      <c r="U60" s="16">
        <f>IF(ISNA(VLOOKUP(A60,'Données projet'!$A$35:$I$55,3,0)),0,VLOOKUP(A60,'Données projet'!$A$35:$I$55,3,0))</f>
        <v>8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15.7</v>
      </c>
      <c r="AI60" s="14">
        <f>IF('Données projet'!$A$62&gt;35,AI59+AH60-AQ59,IF(A60&lt;'Données projet'!$A$62,$AF$205^A60,IF(A60='Données projet'!$A$62,'Données projet'!$B$62,AI59+AH60-AQ59)))</f>
        <v>345.90000000000003</v>
      </c>
      <c r="AJ60" s="14">
        <f>AI60*VLOOKUP('Données projet'!$B$10,Paramètres!$A$1:$I$89,3,0)*VLOOKUP('Données projet'!$B$10,Paramètres!$A$1:$I$89,5,0)</f>
        <v>206.84820000000005</v>
      </c>
      <c r="AK60" s="14">
        <f t="shared" si="35"/>
        <v>51.246233092829954</v>
      </c>
      <c r="AL60" s="22">
        <f t="shared" si="4"/>
        <v>449.51447097001227</v>
      </c>
      <c r="AM60" s="62">
        <f t="shared" si="5"/>
        <v>742.84780430334558</v>
      </c>
      <c r="AN60" s="62">
        <f ca="1">AVERAGE(OFFSET($AM$3,0,0,'Données projet'!$E$10+1,1))-AVERAGE(OFFSET($H$3,0,0,'Données projet'!$E$10+1,1))</f>
        <v>221.96671908615446</v>
      </c>
      <c r="AO60" s="62">
        <f t="shared" si="36"/>
        <v>141.9613211447562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2.4058263987784283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6.0383093711005587E-4</v>
      </c>
      <c r="AX60" s="23">
        <f t="shared" si="6"/>
        <v>2.4064302297155384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410.37500000000006</v>
      </c>
      <c r="BE60" s="14">
        <f>BD60*VLOOKUP('Données projet'!$B$11,Paramètres!$A$1:$I$89,3,0)*VLOOKUP('Données projet'!$B$11,Paramètres!$A$1:$I$89,5,0)</f>
        <v>245.40425000000005</v>
      </c>
      <c r="BF60" s="14">
        <f t="shared" si="37"/>
        <v>59.60076999447687</v>
      </c>
      <c r="BG60" s="22">
        <f t="shared" si="7"/>
        <v>531.21707649038069</v>
      </c>
      <c r="BH60" s="62">
        <f t="shared" si="8"/>
        <v>824.55040982371406</v>
      </c>
      <c r="BI60" s="62">
        <f ca="1">AVERAGE(OFFSET($BH$3,0,0,'Données projet'!$E$11+1,1))-AVERAGE(OFFSET($H$3,0,0,'Données projet'!$E$11+1,1))</f>
        <v>287.69656598881124</v>
      </c>
      <c r="BJ60" s="62">
        <f t="shared" si="38"/>
        <v>221.9773436301067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6.1465879033282214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1.1251931560703058E-3</v>
      </c>
      <c r="BS60" s="24">
        <f t="shared" si="9"/>
        <v>6.1477130964842921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16.673333333333336</v>
      </c>
      <c r="N61" s="14">
        <f>IF('Données projet'!$A$36&gt;35,N60+M61-V60,IF(A61&lt;'Données projet'!$A$36,$K$205^A61,IF(A61='Données projet'!$A$36,'Données projet'!$B$36,N60+M61-V60)))</f>
        <v>333.12333333333316</v>
      </c>
      <c r="O61" s="14">
        <f>N61*VLOOKUP('Données projet'!$B$9,Paramètres!$A$1:$I$89,3,0)*VLOOKUP('Données projet'!$B$9,Paramètres!$A$1:$I$89,5,0)</f>
        <v>155.90171999999993</v>
      </c>
      <c r="P61" s="14">
        <f t="shared" si="33"/>
        <v>39.916745580345044</v>
      </c>
      <c r="Q61" s="22">
        <f t="shared" si="53"/>
        <v>341.05049421910081</v>
      </c>
      <c r="R61" s="62">
        <f t="shared" si="0"/>
        <v>634.38382755243413</v>
      </c>
      <c r="S61" s="62">
        <f ca="1">AVERAGE(OFFSET($R$3,0,0,'Données projet'!$E$9+1,1))-AVERAGE(OFFSET($H$3,0,0,'Données projet'!$E$9+1,1))</f>
        <v>228.57322051753096</v>
      </c>
      <c r="T61" s="62">
        <f t="shared" si="34"/>
        <v>168.91992124331932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15.7</v>
      </c>
      <c r="AI61" s="14">
        <f>IF('Données projet'!$A$62&gt;35,AI60+AH61-AQ60,IF(A61&lt;'Données projet'!$A$62,$AF$205^A61,IF(A61='Données projet'!$A$62,'Données projet'!$B$62,AI60+AH61-AQ60)))</f>
        <v>361.6</v>
      </c>
      <c r="AJ61" s="14">
        <f>AI61*VLOOKUP('Données projet'!$B$10,Paramètres!$A$1:$I$89,3,0)*VLOOKUP('Données projet'!$B$10,Paramètres!$A$1:$I$89,5,0)</f>
        <v>216.23680000000002</v>
      </c>
      <c r="AK61" s="14">
        <f t="shared" si="35"/>
        <v>53.296153300267918</v>
      </c>
      <c r="AL61" s="22">
        <f t="shared" si="4"/>
        <v>469.43656033129997</v>
      </c>
      <c r="AM61" s="62">
        <f t="shared" si="5"/>
        <v>762.76989366463329</v>
      </c>
      <c r="AN61" s="62">
        <f ca="1">AVERAGE(OFFSET($AM$3,0,0,'Données projet'!$E$10+1,1))-AVERAGE(OFFSET($H$3,0,0,'Données projet'!$E$10+1,1))</f>
        <v>221.96671908615446</v>
      </c>
      <c r="AO61" s="62">
        <f t="shared" si="36"/>
        <v>141.9613211447562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2.3586496105075918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4.2697295032074822E-4</v>
      </c>
      <c r="AX61" s="23">
        <f t="shared" si="6"/>
        <v>2.3590765834579126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428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428.00000000000006</v>
      </c>
      <c r="BE61" s="14">
        <f>BD61*VLOOKUP('Données projet'!$B$11,Paramètres!$A$1:$I$89,3,0)*VLOOKUP('Données projet'!$B$11,Paramètres!$A$1:$I$89,5,0)</f>
        <v>255.94400000000005</v>
      </c>
      <c r="BF61" s="14">
        <f t="shared" si="37"/>
        <v>61.857013102708898</v>
      </c>
      <c r="BG61" s="22">
        <f t="shared" si="7"/>
        <v>553.50343115388478</v>
      </c>
      <c r="BH61" s="62">
        <f t="shared" si="8"/>
        <v>846.83676448721803</v>
      </c>
      <c r="BI61" s="62">
        <f ca="1">AVERAGE(OFFSET($BH$3,0,0,'Données projet'!$E$11+1,1))-AVERAGE(OFFSET($H$3,0,0,'Données projet'!$E$11+1,1))</f>
        <v>287.69656598881124</v>
      </c>
      <c r="BJ61" s="62">
        <f t="shared" si="38"/>
        <v>221.9773436301067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6.026057063592388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7.9563171080200654E-4</v>
      </c>
      <c r="BS61" s="24">
        <f t="shared" si="9"/>
        <v>6.02685269530319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16.673333333333336</v>
      </c>
      <c r="N62" s="14">
        <f>IF('Données projet'!$A$36&gt;35,N61+M62-V61,IF(A62&lt;'Données projet'!$A$36,$K$205^A62,IF(A62='Données projet'!$A$36,'Données projet'!$B$36,N61+M62-V61)))</f>
        <v>349.79666666666651</v>
      </c>
      <c r="O62" s="14">
        <f>N62*VLOOKUP('Données projet'!$B$9,Paramètres!$A$1:$I$89,3,0)*VLOOKUP('Données projet'!$B$9,Paramètres!$A$1:$I$89,5,0)</f>
        <v>163.70483999999993</v>
      </c>
      <c r="P62" s="14">
        <f t="shared" si="33"/>
        <v>41.677035862529486</v>
      </c>
      <c r="Q62" s="22">
        <f t="shared" si="53"/>
        <v>357.70676712723872</v>
      </c>
      <c r="R62" s="62">
        <f t="shared" si="0"/>
        <v>651.04010046057203</v>
      </c>
      <c r="S62" s="62">
        <f ca="1">AVERAGE(OFFSET($R$3,0,0,'Données projet'!$E$9+1,1))-AVERAGE(OFFSET($H$3,0,0,'Données projet'!$E$9+1,1))</f>
        <v>228.57322051753096</v>
      </c>
      <c r="T62" s="62">
        <f t="shared" si="34"/>
        <v>168.91992124331932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15.7</v>
      </c>
      <c r="AI62" s="14">
        <f>IF('Données projet'!$A$62&gt;35,AI61+AH62-AQ61,IF(A62&lt;'Données projet'!$A$62,$AF$205^A62,IF(A62='Données projet'!$A$62,'Données projet'!$B$62,AI61+AH62-AQ61)))</f>
        <v>377.3</v>
      </c>
      <c r="AJ62" s="14">
        <f>AI62*VLOOKUP('Données projet'!$B$10,Paramètres!$A$1:$I$89,3,0)*VLOOKUP('Données projet'!$B$10,Paramètres!$A$1:$I$89,5,0)</f>
        <v>225.62540000000004</v>
      </c>
      <c r="AK62" s="14">
        <f t="shared" si="35"/>
        <v>55.335736179321074</v>
      </c>
      <c r="AL62" s="22">
        <f t="shared" si="4"/>
        <v>489.34064551231751</v>
      </c>
      <c r="AM62" s="62">
        <f t="shared" si="5"/>
        <v>782.67397884565082</v>
      </c>
      <c r="AN62" s="62">
        <f ca="1">AVERAGE(OFFSET($AM$3,0,0,'Données projet'!$E$10+1,1))-AVERAGE(OFFSET($H$3,0,0,'Données projet'!$E$10+1,1))</f>
        <v>221.96671908615446</v>
      </c>
      <c r="AO62" s="62">
        <f t="shared" si="36"/>
        <v>141.9613211447562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2.3123979302797468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3.0191546855502793E-4</v>
      </c>
      <c r="AX62" s="23">
        <f t="shared" si="6"/>
        <v>2.3126998457483019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366.62500000000006</v>
      </c>
      <c r="BE62" s="14">
        <f>BD62*VLOOKUP('Données projet'!$B$11,Paramètres!$A$1:$I$89,3,0)*VLOOKUP('Données projet'!$B$11,Paramètres!$A$1:$I$89,5,0)</f>
        <v>219.24175000000005</v>
      </c>
      <c r="BF62" s="14">
        <f t="shared" si="37"/>
        <v>53.950050729111297</v>
      </c>
      <c r="BG62" s="22">
        <f t="shared" si="7"/>
        <v>475.80905293653558</v>
      </c>
      <c r="BH62" s="62">
        <f t="shared" si="8"/>
        <v>769.14238626986889</v>
      </c>
      <c r="BI62" s="62">
        <f ca="1">AVERAGE(OFFSET($BH$3,0,0,'Données projet'!$E$11+1,1))-AVERAGE(OFFSET($H$3,0,0,'Données projet'!$E$11+1,1))</f>
        <v>287.69656598881124</v>
      </c>
      <c r="BJ62" s="62">
        <f t="shared" si="38"/>
        <v>221.9773436301067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5.9078897601072216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5.625965780351529E-4</v>
      </c>
      <c r="BS62" s="24">
        <f t="shared" si="9"/>
        <v>5.9084523566852569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16.673333333333336</v>
      </c>
      <c r="N63" s="14">
        <f>IF('Données projet'!$A$36&gt;35,N62+M63-V62,IF(A63&lt;'Données projet'!$A$36,$K$205^A63,IF(A63='Données projet'!$A$36,'Données projet'!$B$36,N62+M63-V62)))</f>
        <v>366.46999999999986</v>
      </c>
      <c r="O63" s="14">
        <f>N63*VLOOKUP('Données projet'!$B$9,Paramètres!$A$1:$I$89,3,0)*VLOOKUP('Données projet'!$B$9,Paramètres!$A$1:$I$89,5,0)</f>
        <v>171.50795999999994</v>
      </c>
      <c r="P63" s="14">
        <f t="shared" si="33"/>
        <v>43.427582678770712</v>
      </c>
      <c r="Q63" s="22">
        <f t="shared" si="53"/>
        <v>374.34607016552553</v>
      </c>
      <c r="R63" s="62">
        <f t="shared" si="0"/>
        <v>667.67940349885885</v>
      </c>
      <c r="S63" s="62">
        <f ca="1">AVERAGE(OFFSET($R$3,0,0,'Données projet'!$E$9+1,1))-AVERAGE(OFFSET($H$3,0,0,'Données projet'!$E$9+1,1))</f>
        <v>228.57322051753096</v>
      </c>
      <c r="T63" s="62">
        <f t="shared" si="34"/>
        <v>168.91992124331932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393</v>
      </c>
      <c r="AG63" s="13">
        <f>VLOOKUP(A63,'Données projet'!$A$61:$I$81,9,0)</f>
        <v>15.7</v>
      </c>
      <c r="AH63" s="13">
        <f t="array" ref="AH63">INDEX(AG:AG,MIN(IF(ISNUMBER(AG63:AG259),ROW(AG63:AG259),"")))</f>
        <v>15.7</v>
      </c>
      <c r="AI63" s="14">
        <f>IF('Données projet'!$A$62&gt;35,AI62+AH63-AQ62,IF(A63&lt;'Données projet'!$A$62,$AF$205^A63,IF(A63='Données projet'!$A$62,'Données projet'!$B$62,AI62+AH63-AQ62)))</f>
        <v>393</v>
      </c>
      <c r="AJ63" s="14">
        <f>AI63*VLOOKUP('Données projet'!$B$10,Paramètres!$A$1:$I$89,3,0)*VLOOKUP('Données projet'!$B$10,Paramètres!$A$1:$I$89,5,0)</f>
        <v>235.01400000000001</v>
      </c>
      <c r="AK63" s="14">
        <f t="shared" si="35"/>
        <v>57.365461071820548</v>
      </c>
      <c r="AL63" s="22">
        <f t="shared" si="4"/>
        <v>509.22756136675412</v>
      </c>
      <c r="AM63" s="62">
        <f t="shared" si="5"/>
        <v>802.56089470008737</v>
      </c>
      <c r="AN63" s="62">
        <f ca="1">AVERAGE(OFFSET($AM$3,0,0,'Données projet'!$E$10+1,1))-AVERAGE(OFFSET($H$3,0,0,'Données projet'!$E$10+1,1))</f>
        <v>221.96671908615446</v>
      </c>
      <c r="AO63" s="62">
        <f t="shared" si="36"/>
        <v>141.9613211447562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88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2.2670532172904307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2.1348647516037411E-4</v>
      </c>
      <c r="AX63" s="23">
        <f t="shared" si="6"/>
        <v>2.2672667037655909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383.25000000000006</v>
      </c>
      <c r="BE63" s="14">
        <f>BD63*VLOOKUP('Données projet'!$B$11,Paramètres!$A$1:$I$89,3,0)*VLOOKUP('Données projet'!$B$11,Paramètres!$A$1:$I$89,5,0)</f>
        <v>229.18350000000007</v>
      </c>
      <c r="BF63" s="14">
        <f t="shared" si="37"/>
        <v>56.106098616839645</v>
      </c>
      <c r="BG63" s="22">
        <f t="shared" si="7"/>
        <v>496.87938425766248</v>
      </c>
      <c r="BH63" s="62">
        <f t="shared" si="8"/>
        <v>790.21271759099579</v>
      </c>
      <c r="BI63" s="62">
        <f ca="1">AVERAGE(OFFSET($BH$3,0,0,'Données projet'!$E$11+1,1))-AVERAGE(OFFSET($H$3,0,0,'Données projet'!$E$11+1,1))</f>
        <v>287.69656598881124</v>
      </c>
      <c r="BJ63" s="62">
        <f t="shared" si="38"/>
        <v>221.9773436301067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5.7920396453684608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3.9781585540100327E-4</v>
      </c>
      <c r="BS63" s="24">
        <f t="shared" si="9"/>
        <v>5.7924374612238623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16.673333333333336</v>
      </c>
      <c r="N64" s="14">
        <f>IF('Données projet'!$A$36&gt;35,N63+M64-V63,IF(A64&lt;'Données projet'!$A$36,$K$205^A64,IF(A64='Données projet'!$A$36,'Données projet'!$B$36,N63+M64-V63)))</f>
        <v>383.1433333333332</v>
      </c>
      <c r="O64" s="14">
        <f>N64*VLOOKUP('Données projet'!$B$9,Paramètres!$A$1:$I$89,3,0)*VLOOKUP('Données projet'!$B$9,Paramètres!$A$1:$I$89,5,0)</f>
        <v>179.31107999999995</v>
      </c>
      <c r="P64" s="14">
        <f t="shared" si="33"/>
        <v>45.16887996897394</v>
      </c>
      <c r="Q64" s="22">
        <f t="shared" si="53"/>
        <v>390.9692636126295</v>
      </c>
      <c r="R64" s="62">
        <f t="shared" si="0"/>
        <v>684.30259694596282</v>
      </c>
      <c r="S64" s="62">
        <f ca="1">AVERAGE(OFFSET($R$3,0,0,'Données projet'!$E$9+1,1))-AVERAGE(OFFSET($H$3,0,0,'Données projet'!$E$9+1,1))</f>
        <v>228.57322051753096</v>
      </c>
      <c r="T64" s="62">
        <f t="shared" si="34"/>
        <v>168.91992124331932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14.3</v>
      </c>
      <c r="AI64" s="14">
        <f>IF('Données projet'!$A$62&gt;35,AI63+AH64-AQ63,IF(A64&lt;'Données projet'!$A$62,$AF$205^A64,IF(A64='Données projet'!$A$62,'Données projet'!$B$62,AI63+AH64-AQ63)))</f>
        <v>319.3</v>
      </c>
      <c r="AJ64" s="14">
        <f>AI64*VLOOKUP('Données projet'!$B$10,Paramètres!$A$1:$I$89,3,0)*VLOOKUP('Données projet'!$B$10,Paramètres!$A$1:$I$89,5,0)</f>
        <v>190.94140000000002</v>
      </c>
      <c r="AK64" s="14">
        <f t="shared" si="35"/>
        <v>47.748023117802013</v>
      </c>
      <c r="AL64" s="22">
        <f t="shared" si="4"/>
        <v>415.71741193017186</v>
      </c>
      <c r="AM64" s="62">
        <f t="shared" si="5"/>
        <v>709.05074526350518</v>
      </c>
      <c r="AN64" s="62">
        <f ca="1">AVERAGE(OFFSET($AM$3,0,0,'Données projet'!$E$10+1,1))-AVERAGE(OFFSET($H$3,0,0,'Données projet'!$E$10+1,1))</f>
        <v>221.96671908615446</v>
      </c>
      <c r="AO64" s="62">
        <f t="shared" si="36"/>
        <v>141.9613211447562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2.2225976864652912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1.5095773427751397E-4</v>
      </c>
      <c r="AX64" s="23">
        <f t="shared" si="6"/>
        <v>2.2227486441995685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399.87500000000006</v>
      </c>
      <c r="BE64" s="14">
        <f>BD64*VLOOKUP('Données projet'!$B$11,Paramètres!$A$1:$I$89,3,0)*VLOOKUP('Données projet'!$B$11,Paramètres!$A$1:$I$89,5,0)</f>
        <v>239.12525000000005</v>
      </c>
      <c r="BF64" s="14">
        <f t="shared" si="37"/>
        <v>58.251283780505084</v>
      </c>
      <c r="BG64" s="22">
        <f t="shared" si="7"/>
        <v>517.93079633437981</v>
      </c>
      <c r="BH64" s="62">
        <f t="shared" si="8"/>
        <v>811.26412966771318</v>
      </c>
      <c r="BI64" s="62">
        <f ca="1">AVERAGE(OFFSET($BH$3,0,0,'Données projet'!$E$11+1,1))-AVERAGE(OFFSET($H$3,0,0,'Données projet'!$E$11+1,1))</f>
        <v>287.69656598881124</v>
      </c>
      <c r="BJ64" s="62">
        <f t="shared" si="38"/>
        <v>221.9773436301067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5.6784612807181345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2.8129828901757645E-4</v>
      </c>
      <c r="BS64" s="24">
        <f t="shared" si="9"/>
        <v>5.6787425790071522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16.673333333333336</v>
      </c>
      <c r="N65" s="14">
        <f>IF('Données projet'!$A$36&gt;35,N64+M65-V64,IF(A65&lt;'Données projet'!$A$36,$K$205^A65,IF(A65='Données projet'!$A$36,'Données projet'!$B$36,N64+M65-V64)))</f>
        <v>399.81666666666655</v>
      </c>
      <c r="O65" s="14">
        <f>N65*VLOOKUP('Données projet'!$B$9,Paramètres!$A$1:$I$89,3,0)*VLOOKUP('Données projet'!$B$9,Paramètres!$A$1:$I$89,5,0)</f>
        <v>187.11419999999993</v>
      </c>
      <c r="P65" s="14">
        <f t="shared" si="33"/>
        <v>46.901376252207641</v>
      </c>
      <c r="Q65" s="22">
        <f t="shared" si="53"/>
        <v>407.57712863926145</v>
      </c>
      <c r="R65" s="62">
        <f t="shared" si="0"/>
        <v>700.9104619725947</v>
      </c>
      <c r="S65" s="62">
        <f ca="1">AVERAGE(OFFSET($R$3,0,0,'Données projet'!$E$9+1,1))-AVERAGE(OFFSET($H$3,0,0,'Données projet'!$E$9+1,1))</f>
        <v>228.57322051753096</v>
      </c>
      <c r="T65" s="62">
        <f t="shared" si="34"/>
        <v>168.91992124331932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14.3</v>
      </c>
      <c r="AI65" s="14">
        <f>IF('Données projet'!$A$62&gt;35,AI64+AH65-AQ64,IF(A65&lt;'Données projet'!$A$62,$AF$205^A65,IF(A65='Données projet'!$A$62,'Données projet'!$B$62,AI64+AH65-AQ64)))</f>
        <v>333.6</v>
      </c>
      <c r="AJ65" s="14">
        <f>AI65*VLOOKUP('Données projet'!$B$10,Paramètres!$A$1:$I$89,3,0)*VLOOKUP('Données projet'!$B$10,Paramètres!$A$1:$I$89,5,0)</f>
        <v>199.49280000000002</v>
      </c>
      <c r="AK65" s="14">
        <f t="shared" si="35"/>
        <v>49.632684049228061</v>
      </c>
      <c r="AL65" s="22">
        <f t="shared" si="4"/>
        <v>433.89355138573887</v>
      </c>
      <c r="AM65" s="62">
        <f t="shared" si="5"/>
        <v>727.22688471907213</v>
      </c>
      <c r="AN65" s="62">
        <f ca="1">AVERAGE(OFFSET($AM$3,0,0,'Données projet'!$E$10+1,1))-AVERAGE(OFFSET($H$3,0,0,'Données projet'!$E$10+1,1))</f>
        <v>221.96671908615446</v>
      </c>
      <c r="AO65" s="62">
        <f t="shared" si="36"/>
        <v>141.9613211447562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2.1790139014844363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1.0674323758018705E-4</v>
      </c>
      <c r="AX65" s="23">
        <f t="shared" si="6"/>
        <v>2.1791206447220164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416.50000000000006</v>
      </c>
      <c r="BE65" s="14">
        <f>BD65*VLOOKUP('Données projet'!$B$11,Paramètres!$A$1:$I$89,3,0)*VLOOKUP('Données projet'!$B$11,Paramètres!$A$1:$I$89,5,0)</f>
        <v>249.06700000000004</v>
      </c>
      <c r="BF65" s="14">
        <f t="shared" si="37"/>
        <v>60.386109489804014</v>
      </c>
      <c r="BG65" s="22">
        <f t="shared" si="7"/>
        <v>538.96416569474195</v>
      </c>
      <c r="BH65" s="62">
        <f t="shared" si="8"/>
        <v>832.29749902807521</v>
      </c>
      <c r="BI65" s="62">
        <f ca="1">AVERAGE(OFFSET($BH$3,0,0,'Données projet'!$E$11+1,1))-AVERAGE(OFFSET($H$3,0,0,'Données projet'!$E$11+1,1))</f>
        <v>287.69656598881124</v>
      </c>
      <c r="BJ65" s="62">
        <f t="shared" si="38"/>
        <v>221.9773436301067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5.5671101185226393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1.9890792770050164E-4</v>
      </c>
      <c r="BS65" s="24">
        <f t="shared" si="9"/>
        <v>5.5673090264503395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416.49</v>
      </c>
      <c r="L66" s="13">
        <f>VLOOKUP(A66,'Données projet'!$A$35:$I$55,9,0)</f>
        <v>16.673333333333336</v>
      </c>
      <c r="M66" s="13">
        <f t="array" ref="M66">INDEX(L:L,MIN(IF(ISNUMBER(L66:L262),ROW(L66:L262),"")))</f>
        <v>16.673333333333336</v>
      </c>
      <c r="N66" s="14">
        <f>IF('Données projet'!$A$36&gt;35,N65+M66-V65,IF(A66&lt;'Données projet'!$A$36,$K$205^A66,IF(A66='Données projet'!$A$36,'Données projet'!$B$36,N65+M66-V65)))</f>
        <v>416.4899999999999</v>
      </c>
      <c r="O66" s="14">
        <f>N66*VLOOKUP('Données projet'!$B$9,Paramètres!$A$1:$I$89,3,0)*VLOOKUP('Données projet'!$B$9,Paramètres!$A$1:$I$89,5,0)</f>
        <v>194.91731999999996</v>
      </c>
      <c r="P66" s="14">
        <f t="shared" si="33"/>
        <v>48.625480522444235</v>
      </c>
      <c r="Q66" s="22">
        <f t="shared" si="53"/>
        <v>424.17037757659028</v>
      </c>
      <c r="R66" s="62">
        <f t="shared" si="0"/>
        <v>717.5037109099236</v>
      </c>
      <c r="S66" s="62">
        <f ca="1">AVERAGE(OFFSET($R$3,0,0,'Données projet'!$E$9+1,1))-AVERAGE(OFFSET($H$3,0,0,'Données projet'!$E$9+1,1))</f>
        <v>228.57322051753096</v>
      </c>
      <c r="T66" s="62">
        <f t="shared" si="34"/>
        <v>168.91992124331932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79.099999999999994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14.3</v>
      </c>
      <c r="AI66" s="14">
        <f>IF('Données projet'!$A$62&gt;35,AI65+AH66-AQ65,IF(A66&lt;'Données projet'!$A$62,$AF$205^A66,IF(A66='Données projet'!$A$62,'Données projet'!$B$62,AI65+AH66-AQ65)))</f>
        <v>347.90000000000003</v>
      </c>
      <c r="AJ66" s="14">
        <f>AI66*VLOOKUP('Données projet'!$B$10,Paramètres!$A$1:$I$89,3,0)*VLOOKUP('Données projet'!$B$10,Paramètres!$A$1:$I$89,5,0)</f>
        <v>208.04420000000005</v>
      </c>
      <c r="AK66" s="14">
        <f t="shared" si="35"/>
        <v>51.507961722634242</v>
      </c>
      <c r="AL66" s="22">
        <f t="shared" si="4"/>
        <v>452.05334833358802</v>
      </c>
      <c r="AM66" s="62">
        <f t="shared" si="5"/>
        <v>745.38668166692128</v>
      </c>
      <c r="AN66" s="62">
        <f ca="1">AVERAGE(OFFSET($AM$3,0,0,'Données projet'!$E$10+1,1))-AVERAGE(OFFSET($H$3,0,0,'Données projet'!$E$10+1,1))</f>
        <v>221.96671908615446</v>
      </c>
      <c r="AO66" s="62">
        <f t="shared" si="36"/>
        <v>141.9613211447562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2.1362847679435721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7.5478867138756983E-5</v>
      </c>
      <c r="AX66" s="23">
        <f t="shared" si="6"/>
        <v>2.1363602468107108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433.12500000000006</v>
      </c>
      <c r="BE66" s="14">
        <f>BD66*VLOOKUP('Données projet'!$B$11,Paramètres!$A$1:$I$89,3,0)*VLOOKUP('Données projet'!$B$11,Paramètres!$A$1:$I$89,5,0)</f>
        <v>259.00875000000008</v>
      </c>
      <c r="BF66" s="14">
        <f t="shared" si="37"/>
        <v>62.511036563235727</v>
      </c>
      <c r="BG66" s="22">
        <f t="shared" si="7"/>
        <v>559.98029493096897</v>
      </c>
      <c r="BH66" s="62">
        <f t="shared" si="8"/>
        <v>853.31362826430222</v>
      </c>
      <c r="BI66" s="62">
        <f ca="1">AVERAGE(OFFSET($BH$3,0,0,'Données projet'!$E$11+1,1))-AVERAGE(OFFSET($H$3,0,0,'Données projet'!$E$11+1,1))</f>
        <v>287.69656598881124</v>
      </c>
      <c r="BJ66" s="62">
        <f t="shared" si="38"/>
        <v>221.9773436301067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5.4579424847002951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1.4064914450878822E-4</v>
      </c>
      <c r="BS66" s="24">
        <f t="shared" si="9"/>
        <v>5.4580831338448039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353.22</v>
      </c>
      <c r="L67" s="13">
        <f>VLOOKUP(A67,'Données projet'!$A$35:$I$55,9,0)</f>
        <v>15.830000000000041</v>
      </c>
      <c r="M67" s="13">
        <f t="array" ref="M67">INDEX(L:L,MIN(IF(ISNUMBER(L67:L263),ROW(L67:L263),"")))</f>
        <v>15.830000000000041</v>
      </c>
      <c r="N67" s="14">
        <f>IF('Données projet'!$A$36&gt;35,N66+M67-V66,IF(A67&lt;'Données projet'!$A$36,$K$205^A67,IF(A67='Données projet'!$A$36,'Données projet'!$B$36,N66+M67-V66)))</f>
        <v>353.21999999999991</v>
      </c>
      <c r="O67" s="14">
        <f>N67*VLOOKUP('Données projet'!$B$9,Paramètres!$A$1:$I$89,3,0)*VLOOKUP('Données projet'!$B$9,Paramètres!$A$1:$I$89,5,0)</f>
        <v>165.30695999999998</v>
      </c>
      <c r="P67" s="14">
        <f t="shared" si="33"/>
        <v>42.037232382813684</v>
      </c>
      <c r="Q67" s="22">
        <f t="shared" ref="Q67:Q98" si="54">(O67+P67)*0.475*44/12</f>
        <v>361.12446840006714</v>
      </c>
      <c r="R67" s="62">
        <f t="shared" ref="R67:R130" si="55">Q67+(I67+J67)*44/12</f>
        <v>654.4578017334004</v>
      </c>
      <c r="S67" s="62">
        <f ca="1">AVERAGE(OFFSET($R$3,0,0,'Données projet'!$E$9+1,1))-AVERAGE(OFFSET($H$3,0,0,'Données projet'!$E$9+1,1))</f>
        <v>228.57322051753096</v>
      </c>
      <c r="T67" s="62">
        <f t="shared" si="34"/>
        <v>168.91992124331932</v>
      </c>
      <c r="U67" s="16">
        <f>IF(ISNA(VLOOKUP(A67,'Données projet'!$A$35:$I$55,3,0)),0,VLOOKUP(A67,'Données projet'!$A$35:$I$55,3,0))</f>
        <v>10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14.3</v>
      </c>
      <c r="AI67" s="14">
        <f>IF('Données projet'!$A$62&gt;35,AI66+AH67-AQ66,IF(A67&lt;'Données projet'!$A$62,$AF$205^A67,IF(A67='Données projet'!$A$62,'Données projet'!$B$62,AI66+AH67-AQ66)))</f>
        <v>362.20000000000005</v>
      </c>
      <c r="AJ67" s="14">
        <f>AI67*VLOOKUP('Données projet'!$B$10,Paramètres!$A$1:$I$89,3,0)*VLOOKUP('Données projet'!$B$10,Paramètres!$A$1:$I$89,5,0)</f>
        <v>216.59560000000005</v>
      </c>
      <c r="AK67" s="14">
        <f t="shared" si="35"/>
        <v>53.374285937607603</v>
      </c>
      <c r="AL67" s="22">
        <f t="shared" si="4"/>
        <v>470.19755134133334</v>
      </c>
      <c r="AM67" s="62">
        <f t="shared" si="5"/>
        <v>763.53088467466659</v>
      </c>
      <c r="AN67" s="62">
        <f ca="1">AVERAGE(OFFSET($AM$3,0,0,'Données projet'!$E$10+1,1))-AVERAGE(OFFSET($H$3,0,0,'Données projet'!$E$10+1,1))</f>
        <v>221.96671908615446</v>
      </c>
      <c r="AO67" s="62">
        <f t="shared" si="36"/>
        <v>141.9613211447562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2.0943935266492462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5.3371618790093527E-5</v>
      </c>
      <c r="AX67" s="23">
        <f t="shared" si="6"/>
        <v>2.0944468982680364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449.75000000000006</v>
      </c>
      <c r="BE67" s="14">
        <f>BD67*VLOOKUP('Données projet'!$B$11,Paramètres!$A$1:$I$89,3,0)*VLOOKUP('Données projet'!$B$11,Paramètres!$A$1:$I$89,5,0)</f>
        <v>268.95050000000009</v>
      </c>
      <c r="BF67" s="14">
        <f t="shared" si="37"/>
        <v>64.626488439895155</v>
      </c>
      <c r="BG67" s="22">
        <f t="shared" si="7"/>
        <v>580.97992153281746</v>
      </c>
      <c r="BH67" s="62">
        <f t="shared" si="8"/>
        <v>874.31325486615083</v>
      </c>
      <c r="BI67" s="62">
        <f ca="1">AVERAGE(OFFSET($BH$3,0,0,'Données projet'!$E$11+1,1))-AVERAGE(OFFSET($H$3,0,0,'Données projet'!$E$11+1,1))</f>
        <v>287.69656598881124</v>
      </c>
      <c r="BJ67" s="62">
        <f t="shared" si="38"/>
        <v>221.9773436301067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5.3509155615915249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9.9453963850250818E-5</v>
      </c>
      <c r="BS67" s="24">
        <f t="shared" si="9"/>
        <v>5.3510150155553751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16.081428571428571</v>
      </c>
      <c r="N68" s="14">
        <f>IF('Données projet'!$A$36&gt;35,N67+M68-V67,IF(A68&lt;'Données projet'!$A$36,$K$205^A68,IF(A68='Données projet'!$A$36,'Données projet'!$B$36,N67+M68-V67)))</f>
        <v>369.30142857142846</v>
      </c>
      <c r="O68" s="14">
        <f>N68*VLOOKUP('Données projet'!$B$9,Paramètres!$A$1:$I$89,3,0)*VLOOKUP('Données projet'!$B$9,Paramètres!$A$1:$I$89,5,0)</f>
        <v>172.83306857142853</v>
      </c>
      <c r="P68" s="14">
        <f t="shared" si="33"/>
        <v>43.723925064552304</v>
      </c>
      <c r="Q68" s="22">
        <f t="shared" si="54"/>
        <v>377.17009724933331</v>
      </c>
      <c r="R68" s="62">
        <f t="shared" si="55"/>
        <v>670.50343058266662</v>
      </c>
      <c r="S68" s="62">
        <f ca="1">AVERAGE(OFFSET($R$3,0,0,'Données projet'!$E$9+1,1))-AVERAGE(OFFSET($H$3,0,0,'Données projet'!$E$9+1,1))</f>
        <v>228.57322051753096</v>
      </c>
      <c r="T68" s="62">
        <f t="shared" si="34"/>
        <v>168.91992124331932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14.3</v>
      </c>
      <c r="AI68" s="14">
        <f>IF('Données projet'!$A$62&gt;35,AI67+AH68-AQ67,IF(A68&lt;'Données projet'!$A$62,$AF$205^A68,IF(A68='Données projet'!$A$62,'Données projet'!$B$62,AI67+AH68-AQ67)))</f>
        <v>376.50000000000006</v>
      </c>
      <c r="AJ68" s="14">
        <f>AI68*VLOOKUP('Données projet'!$B$10,Paramètres!$A$1:$I$89,3,0)*VLOOKUP('Données projet'!$B$10,Paramètres!$A$1:$I$89,5,0)</f>
        <v>225.14700000000005</v>
      </c>
      <c r="AK68" s="14">
        <f t="shared" si="35"/>
        <v>55.232050634645063</v>
      </c>
      <c r="AL68" s="22">
        <f t="shared" ref="AL68:AL131" si="58">(AJ68+AK68)*0.475*44/12</f>
        <v>488.32684652200686</v>
      </c>
      <c r="AM68" s="62">
        <f t="shared" ref="AM68:AM131" si="59">AL68+(AD68+AE68)*44/12</f>
        <v>781.66017985534017</v>
      </c>
      <c r="AN68" s="62">
        <f ca="1">AVERAGE(OFFSET($AM$3,0,0,'Données projet'!$E$10+1,1))-AVERAGE(OFFSET($H$3,0,0,'Données projet'!$E$10+1,1))</f>
        <v>221.96671908615446</v>
      </c>
      <c r="AO68" s="62">
        <f t="shared" si="36"/>
        <v>141.9613211447562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2.0533237470455674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3.7739433569378492E-5</v>
      </c>
      <c r="AX68" s="23">
        <f t="shared" ref="AX68:AX131" si="60">SUM(AU68:AW68)</f>
        <v>2.0533614864791367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466.37500000000006</v>
      </c>
      <c r="BE68" s="14">
        <f>BD68*VLOOKUP('Données projet'!$B$11,Paramètres!$A$1:$I$89,3,0)*VLOOKUP('Données projet'!$B$11,Paramètres!$A$1:$I$89,5,0)</f>
        <v>278.89225000000005</v>
      </c>
      <c r="BF68" s="14">
        <f t="shared" si="37"/>
        <v>66.732855480271084</v>
      </c>
      <c r="BG68" s="22">
        <f t="shared" ref="BG68:BG131" si="61">(BE68+BF68)*0.475*44/12</f>
        <v>601.96372537813886</v>
      </c>
      <c r="BH68" s="62">
        <f t="shared" ref="BH68:BH131" si="62">BG68+(AY68+AZ68)*44/12</f>
        <v>895.29705871147212</v>
      </c>
      <c r="BI68" s="62">
        <f ca="1">AVERAGE(OFFSET($BH$3,0,0,'Données projet'!$E$11+1,1))-AVERAGE(OFFSET($H$3,0,0,'Données projet'!$E$11+1,1))</f>
        <v>287.69656598881124</v>
      </c>
      <c r="BJ68" s="62">
        <f t="shared" si="38"/>
        <v>221.9773436301067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5.2459873711649401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7.0324572254394112E-5</v>
      </c>
      <c r="BS68" s="24">
        <f t="shared" ref="BS68:BS131" si="63">SUM(BP68:BR68)</f>
        <v>5.2460576957371945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16.081428571428571</v>
      </c>
      <c r="N69" s="14">
        <f>IF('Données projet'!$A$36&gt;35,N68+M69-V68,IF(A69&lt;'Données projet'!$A$36,$K$205^A69,IF(A69='Données projet'!$A$36,'Données projet'!$B$36,N68+M69-V68)))</f>
        <v>385.38285714285701</v>
      </c>
      <c r="O69" s="14">
        <f>N69*VLOOKUP('Données projet'!$B$9,Paramètres!$A$1:$I$89,3,0)*VLOOKUP('Données projet'!$B$9,Paramètres!$A$1:$I$89,5,0)</f>
        <v>180.35917714285708</v>
      </c>
      <c r="P69" s="14">
        <f t="shared" ref="P69:P132" si="87">EXP(-1.0587+0.8836*LN(O69)+0.284)</f>
        <v>45.402087189989615</v>
      </c>
      <c r="Q69" s="22">
        <f t="shared" si="54"/>
        <v>393.2008687130413</v>
      </c>
      <c r="R69" s="62">
        <f t="shared" si="55"/>
        <v>686.53420204637462</v>
      </c>
      <c r="S69" s="62">
        <f ca="1">AVERAGE(OFFSET($R$3,0,0,'Données projet'!$E$9+1,1))-AVERAGE(OFFSET($H$3,0,0,'Données projet'!$E$9+1,1))</f>
        <v>228.57322051753096</v>
      </c>
      <c r="T69" s="62">
        <f t="shared" ref="T69:T132" si="88">$T$3</f>
        <v>168.91992124331932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14.3</v>
      </c>
      <c r="AI69" s="14">
        <f>IF('Données projet'!$A$62&gt;35,AI68+AH69-AQ68,IF(A69&lt;'Données projet'!$A$62,$AF$205^A69,IF(A69='Données projet'!$A$62,'Données projet'!$B$62,AI68+AH69-AQ68)))</f>
        <v>390.80000000000007</v>
      </c>
      <c r="AJ69" s="14">
        <f>AI69*VLOOKUP('Données projet'!$B$10,Paramètres!$A$1:$I$89,3,0)*VLOOKUP('Données projet'!$B$10,Paramètres!$A$1:$I$89,5,0)</f>
        <v>233.69840000000005</v>
      </c>
      <c r="AK69" s="14">
        <f t="shared" ref="AK69:AK132" si="89">EXP(-1.0587+0.8836*LN(AJ69)+0.284)</f>
        <v>57.081618134454175</v>
      </c>
      <c r="AL69" s="22">
        <f t="shared" si="58"/>
        <v>506.44186491750776</v>
      </c>
      <c r="AM69" s="62">
        <f t="shared" si="59"/>
        <v>799.77519825084107</v>
      </c>
      <c r="AN69" s="62">
        <f ca="1">AVERAGE(OFFSET($AM$3,0,0,'Données projet'!$E$10+1,1))-AVERAGE(OFFSET($H$3,0,0,'Données projet'!$E$10+1,1))</f>
        <v>221.96671908615446</v>
      </c>
      <c r="AO69" s="62">
        <f t="shared" ref="AO69:AO132" si="90">$AO$3</f>
        <v>141.9613211447562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2.0130593207698251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2.6685809395046764E-5</v>
      </c>
      <c r="AX69" s="23">
        <f t="shared" si="60"/>
        <v>2.0130860065792202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483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483.00000000000006</v>
      </c>
      <c r="BE69" s="14">
        <f>BD69*VLOOKUP('Données projet'!$B$11,Paramètres!$A$1:$I$89,3,0)*VLOOKUP('Données projet'!$B$11,Paramètres!$A$1:$I$89,5,0)</f>
        <v>288.83400000000006</v>
      </c>
      <c r="BF69" s="14">
        <f t="shared" ref="BF69:BF132" si="91">EXP(-1.0587+0.8836*LN(BE69)+0.284)</f>
        <v>68.830498636563377</v>
      </c>
      <c r="BG69" s="22">
        <f t="shared" si="61"/>
        <v>622.932335125348</v>
      </c>
      <c r="BH69" s="62">
        <f t="shared" si="62"/>
        <v>916.26566845868138</v>
      </c>
      <c r="BI69" s="62">
        <f ca="1">AVERAGE(OFFSET($BH$3,0,0,'Données projet'!$E$11+1,1))-AVERAGE(OFFSET($H$3,0,0,'Données projet'!$E$11+1,1))</f>
        <v>287.69656598881124</v>
      </c>
      <c r="BJ69" s="62">
        <f t="shared" ref="BJ69:BJ132" si="92">$BJ$3</f>
        <v>221.9773436301067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5.1431167585527442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4.9726981925125409E-5</v>
      </c>
      <c r="BS69" s="24">
        <f t="shared" si="63"/>
        <v>5.1431664855346693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16.081428571428571</v>
      </c>
      <c r="N70" s="14">
        <f>IF('Données projet'!$A$36&gt;35,N69+M70-V69,IF(A70&lt;'Données projet'!$A$36,$K$205^A70,IF(A70='Données projet'!$A$36,'Données projet'!$B$36,N69+M70-V69)))</f>
        <v>401.46428571428555</v>
      </c>
      <c r="O70" s="14">
        <f>N70*VLOOKUP('Données projet'!$B$9,Paramètres!$A$1:$I$89,3,0)*VLOOKUP('Données projet'!$B$9,Paramètres!$A$1:$I$89,5,0)</f>
        <v>187.88528571428563</v>
      </c>
      <c r="P70" s="14">
        <f t="shared" si="87"/>
        <v>47.072115431776766</v>
      </c>
      <c r="Q70" s="22">
        <f t="shared" si="54"/>
        <v>409.21747366272535</v>
      </c>
      <c r="R70" s="62">
        <f t="shared" si="55"/>
        <v>702.55080699605867</v>
      </c>
      <c r="S70" s="62">
        <f ca="1">AVERAGE(OFFSET($R$3,0,0,'Données projet'!$E$9+1,1))-AVERAGE(OFFSET($H$3,0,0,'Données projet'!$E$9+1,1))</f>
        <v>228.57322051753096</v>
      </c>
      <c r="T70" s="62">
        <f t="shared" si="88"/>
        <v>168.91992124331932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14.3</v>
      </c>
      <c r="AI70" s="14">
        <f>IF('Données projet'!$A$62&gt;35,AI69+AH70-AQ69,IF(A70&lt;'Données projet'!$A$62,$AF$205^A70,IF(A70='Données projet'!$A$62,'Données projet'!$B$62,AI69+AH70-AQ69)))</f>
        <v>405.10000000000008</v>
      </c>
      <c r="AJ70" s="14">
        <f>AI70*VLOOKUP('Données projet'!$B$10,Paramètres!$A$1:$I$89,3,0)*VLOOKUP('Données projet'!$B$10,Paramètres!$A$1:$I$89,5,0)</f>
        <v>242.24980000000005</v>
      </c>
      <c r="AK70" s="14">
        <f t="shared" si="89"/>
        <v>58.923322739321947</v>
      </c>
      <c r="AL70" s="22">
        <f t="shared" si="58"/>
        <v>524.54318877098581</v>
      </c>
      <c r="AM70" s="62">
        <f t="shared" si="59"/>
        <v>817.87652210431906</v>
      </c>
      <c r="AN70" s="62">
        <f ca="1">AVERAGE(OFFSET($AM$3,0,0,'Données projet'!$E$10+1,1))-AVERAGE(OFFSET($H$3,0,0,'Données projet'!$E$10+1,1))</f>
        <v>221.96671908615446</v>
      </c>
      <c r="AO70" s="62">
        <f t="shared" si="90"/>
        <v>141.9613211447562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1.9735844553344748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1.8869716784689246E-5</v>
      </c>
      <c r="AX70" s="23">
        <f t="shared" si="60"/>
        <v>1.9736033250512595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430.87500000000006</v>
      </c>
      <c r="BE70" s="14">
        <f>BD70*VLOOKUP('Données projet'!$B$11,Paramètres!$A$1:$I$89,3,0)*VLOOKUP('Données projet'!$B$11,Paramètres!$A$1:$I$89,5,0)</f>
        <v>257.66325000000006</v>
      </c>
      <c r="BF70" s="14">
        <f t="shared" si="91"/>
        <v>62.224015868041043</v>
      </c>
      <c r="BG70" s="22">
        <f t="shared" si="61"/>
        <v>557.13698805350487</v>
      </c>
      <c r="BH70" s="62">
        <f t="shared" si="62"/>
        <v>850.47032138683812</v>
      </c>
      <c r="BI70" s="62">
        <f ca="1">AVERAGE(OFFSET($BH$3,0,0,'Données projet'!$E$11+1,1))-AVERAGE(OFFSET($H$3,0,0,'Données projet'!$E$11+1,1))</f>
        <v>287.69656598881124</v>
      </c>
      <c r="BJ70" s="62">
        <f t="shared" si="92"/>
        <v>221.9773436301067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5.0422633759089956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3.5162286127197056E-5</v>
      </c>
      <c r="BS70" s="24">
        <f t="shared" si="63"/>
        <v>5.0422985381951229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16.081428571428571</v>
      </c>
      <c r="N71" s="14">
        <f>IF('Données projet'!$A$36&gt;35,N70+M71-V70,IF(A71&lt;'Données projet'!$A$36,$K$205^A71,IF(A71='Données projet'!$A$36,'Données projet'!$B$36,N70+M71-V70)))</f>
        <v>417.5457142857141</v>
      </c>
      <c r="O71" s="14">
        <f>N71*VLOOKUP('Données projet'!$B$9,Paramètres!$A$1:$I$89,3,0)*VLOOKUP('Données projet'!$B$9,Paramètres!$A$1:$I$89,5,0)</f>
        <v>195.41139428571421</v>
      </c>
      <c r="P71" s="14">
        <f t="shared" si="87"/>
        <v>48.734372884823564</v>
      </c>
      <c r="Q71" s="22">
        <f t="shared" si="54"/>
        <v>425.22054448868658</v>
      </c>
      <c r="R71" s="62">
        <f t="shared" si="55"/>
        <v>718.5538778220199</v>
      </c>
      <c r="S71" s="62">
        <f ca="1">AVERAGE(OFFSET($R$3,0,0,'Données projet'!$E$9+1,1))-AVERAGE(OFFSET($H$3,0,0,'Données projet'!$E$9+1,1))</f>
        <v>228.57322051753096</v>
      </c>
      <c r="T71" s="62">
        <f t="shared" si="88"/>
        <v>168.91992124331932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14.3</v>
      </c>
      <c r="AI71" s="14">
        <f>IF('Données projet'!$A$62&gt;35,AI70+AH71-AQ70,IF(A71&lt;'Données projet'!$A$62,$AF$205^A71,IF(A71='Données projet'!$A$62,'Données projet'!$B$62,AI70+AH71-AQ70)))</f>
        <v>419.40000000000009</v>
      </c>
      <c r="AJ71" s="14">
        <f>AI71*VLOOKUP('Données projet'!$B$10,Paramètres!$A$1:$I$89,3,0)*VLOOKUP('Données projet'!$B$10,Paramètres!$A$1:$I$89,5,0)</f>
        <v>250.80120000000008</v>
      </c>
      <c r="AK71" s="14">
        <f t="shared" si="89"/>
        <v>60.757473811682686</v>
      </c>
      <c r="AL71" s="22">
        <f t="shared" si="58"/>
        <v>542.63135688868078</v>
      </c>
      <c r="AM71" s="62">
        <f t="shared" si="59"/>
        <v>835.96469022201404</v>
      </c>
      <c r="AN71" s="62">
        <f ca="1">AVERAGE(OFFSET($AM$3,0,0,'Données projet'!$E$10+1,1))-AVERAGE(OFFSET($H$3,0,0,'Données projet'!$E$10+1,1))</f>
        <v>221.96671908615446</v>
      </c>
      <c r="AO71" s="62">
        <f t="shared" si="90"/>
        <v>141.9613211447562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1.9348836679330212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1.3342904697523382E-5</v>
      </c>
      <c r="AX71" s="23">
        <f t="shared" si="60"/>
        <v>1.9348970108377188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443.75000000000006</v>
      </c>
      <c r="BE71" s="14">
        <f>BD71*VLOOKUP('Données projet'!$B$11,Paramètres!$A$1:$I$89,3,0)*VLOOKUP('Données projet'!$B$11,Paramètres!$A$1:$I$89,5,0)</f>
        <v>265.36250000000007</v>
      </c>
      <c r="BF71" s="14">
        <f t="shared" si="91"/>
        <v>63.864084559847946</v>
      </c>
      <c r="BG71" s="22">
        <f t="shared" si="61"/>
        <v>573.40296810840198</v>
      </c>
      <c r="BH71" s="62">
        <f t="shared" si="62"/>
        <v>866.73630144173535</v>
      </c>
      <c r="BI71" s="62">
        <f ca="1">AVERAGE(OFFSET($BH$3,0,0,'Données projet'!$E$11+1,1))-AVERAGE(OFFSET($H$3,0,0,'Données projet'!$E$11+1,1))</f>
        <v>287.69656598881124</v>
      </c>
      <c r="BJ71" s="62">
        <f t="shared" si="92"/>
        <v>221.9773436301067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4.9433876665844014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2.4863490962562704E-5</v>
      </c>
      <c r="BS71" s="24">
        <f t="shared" si="63"/>
        <v>4.9434125300753644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16.081428571428571</v>
      </c>
      <c r="N72" s="14">
        <f>IF('Données projet'!$A$36&gt;35,N71+M72-V71,IF(A72&lt;'Données projet'!$A$36,$K$205^A72,IF(A72='Données projet'!$A$36,'Données projet'!$B$36,N71+M72-V71)))</f>
        <v>433.62714285714264</v>
      </c>
      <c r="O72" s="14">
        <f>N72*VLOOKUP('Données projet'!$B$9,Paramètres!$A$1:$I$89,3,0)*VLOOKUP('Données projet'!$B$9,Paramètres!$A$1:$I$89,5,0)</f>
        <v>202.93750285714276</v>
      </c>
      <c r="P72" s="14">
        <f t="shared" si="87"/>
        <v>50.389193091569247</v>
      </c>
      <c r="Q72" s="22">
        <f t="shared" si="54"/>
        <v>441.21066211067341</v>
      </c>
      <c r="R72" s="62">
        <f t="shared" si="55"/>
        <v>734.54399544400667</v>
      </c>
      <c r="S72" s="62">
        <f ca="1">AVERAGE(OFFSET($R$3,0,0,'Données projet'!$E$9+1,1))-AVERAGE(OFFSET($H$3,0,0,'Données projet'!$E$9+1,1))</f>
        <v>228.57322051753096</v>
      </c>
      <c r="T72" s="62">
        <f t="shared" si="88"/>
        <v>168.91992124331932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14.3</v>
      </c>
      <c r="AI72" s="14">
        <f>IF('Données projet'!$A$62&gt;35,AI71+AH72-AQ71,IF(A72&lt;'Données projet'!$A$62,$AF$205^A72,IF(A72='Données projet'!$A$62,'Données projet'!$B$62,AI71+AH72-AQ71)))</f>
        <v>433.7000000000001</v>
      </c>
      <c r="AJ72" s="14">
        <f>AI72*VLOOKUP('Données projet'!$B$10,Paramètres!$A$1:$I$89,3,0)*VLOOKUP('Données projet'!$B$10,Paramètres!$A$1:$I$89,5,0)</f>
        <v>259.35260000000011</v>
      </c>
      <c r="AK72" s="14">
        <f t="shared" si="89"/>
        <v>62.58435842101963</v>
      </c>
      <c r="AL72" s="22">
        <f t="shared" si="58"/>
        <v>560.70686924994277</v>
      </c>
      <c r="AM72" s="62">
        <f t="shared" si="59"/>
        <v>854.04020258327614</v>
      </c>
      <c r="AN72" s="62">
        <f ca="1">AVERAGE(OFFSET($AM$3,0,0,'Données projet'!$E$10+1,1))-AVERAGE(OFFSET($H$3,0,0,'Données projet'!$E$10+1,1))</f>
        <v>221.96671908615446</v>
      </c>
      <c r="AO72" s="62">
        <f t="shared" si="90"/>
        <v>141.9613211447562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1.8969417793673609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9.4348583923446229E-6</v>
      </c>
      <c r="AX72" s="23">
        <f t="shared" si="60"/>
        <v>1.8969512142257532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456.62500000000006</v>
      </c>
      <c r="BE72" s="14">
        <f>BD72*VLOOKUP('Données projet'!$B$11,Paramètres!$A$1:$I$89,3,0)*VLOOKUP('Données projet'!$B$11,Paramètres!$A$1:$I$89,5,0)</f>
        <v>273.06175000000007</v>
      </c>
      <c r="BF72" s="14">
        <f t="shared" si="91"/>
        <v>65.49862286970442</v>
      </c>
      <c r="BG72" s="22">
        <f t="shared" si="61"/>
        <v>589.65931608140193</v>
      </c>
      <c r="BH72" s="62">
        <f t="shared" si="62"/>
        <v>882.9926494147353</v>
      </c>
      <c r="BI72" s="62">
        <f ca="1">AVERAGE(OFFSET($BH$3,0,0,'Données projet'!$E$11+1,1))-AVERAGE(OFFSET($H$3,0,0,'Données projet'!$E$11+1,1))</f>
        <v>287.69656598881124</v>
      </c>
      <c r="BJ72" s="62">
        <f t="shared" si="92"/>
        <v>221.9773436301067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4.8464508496114345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1.7581143063598528E-5</v>
      </c>
      <c r="BS72" s="24">
        <f t="shared" si="63"/>
        <v>4.8464684307544976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16.081428571428571</v>
      </c>
      <c r="N73" s="14">
        <f>IF('Données projet'!$A$36&gt;35,N72+M73-V72,IF(A73&lt;'Données projet'!$A$36,$K$205^A73,IF(A73='Données projet'!$A$36,'Données projet'!$B$36,N72+M73-V72)))</f>
        <v>449.70857142857119</v>
      </c>
      <c r="O73" s="14">
        <f>N73*VLOOKUP('Données projet'!$B$9,Paramètres!$A$1:$I$89,3,0)*VLOOKUP('Données projet'!$B$9,Paramètres!$A$1:$I$89,5,0)</f>
        <v>210.46361142857131</v>
      </c>
      <c r="P73" s="14">
        <f t="shared" si="87"/>
        <v>52.036883453344181</v>
      </c>
      <c r="Q73" s="22">
        <f t="shared" si="54"/>
        <v>457.1883619193361</v>
      </c>
      <c r="R73" s="62">
        <f t="shared" si="55"/>
        <v>750.52169525266936</v>
      </c>
      <c r="S73" s="62">
        <f ca="1">AVERAGE(OFFSET($R$3,0,0,'Données projet'!$E$9+1,1))-AVERAGE(OFFSET($H$3,0,0,'Données projet'!$E$9+1,1))</f>
        <v>228.57322051753096</v>
      </c>
      <c r="T73" s="62">
        <f t="shared" si="88"/>
        <v>168.91992124331932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448</v>
      </c>
      <c r="AG73" s="13">
        <f>VLOOKUP(A73,'Données projet'!$A$61:$I$81,9,0)</f>
        <v>14.3</v>
      </c>
      <c r="AH73" s="13">
        <f t="array" ref="AH73">INDEX(AG:AG,MIN(IF(ISNUMBER(AG73:AG269),ROW(AG73:AG269),"")))</f>
        <v>14.3</v>
      </c>
      <c r="AI73" s="14">
        <f>IF('Données projet'!$A$62&gt;35,AI72+AH73-AQ72,IF(A73&lt;'Données projet'!$A$62,$AF$205^A73,IF(A73='Données projet'!$A$62,'Données projet'!$B$62,AI72+AH73-AQ72)))</f>
        <v>448.00000000000011</v>
      </c>
      <c r="AJ73" s="14">
        <f>AI73*VLOOKUP('Données projet'!$B$10,Paramètres!$A$1:$I$89,3,0)*VLOOKUP('Données projet'!$B$10,Paramètres!$A$1:$I$89,5,0)</f>
        <v>267.90400000000011</v>
      </c>
      <c r="AK73" s="14">
        <f t="shared" si="89"/>
        <v>64.404243631863267</v>
      </c>
      <c r="AL73" s="22">
        <f t="shared" si="58"/>
        <v>578.77019099216204</v>
      </c>
      <c r="AM73" s="62">
        <f t="shared" si="59"/>
        <v>872.1035243254953</v>
      </c>
      <c r="AN73" s="62">
        <f ca="1">AVERAGE(OFFSET($AM$3,0,0,'Données projet'!$E$10+1,1))-AVERAGE(OFFSET($H$3,0,0,'Données projet'!$E$10+1,1))</f>
        <v>221.96671908615446</v>
      </c>
      <c r="AO73" s="62">
        <f t="shared" si="90"/>
        <v>141.9613211447562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78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1.859743908094206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6.6714523487616909E-6</v>
      </c>
      <c r="AX73" s="23">
        <f t="shared" si="60"/>
        <v>1.8597505795465548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469.50000000000006</v>
      </c>
      <c r="BE73" s="14">
        <f>BD73*VLOOKUP('Données projet'!$B$11,Paramètres!$A$1:$I$89,3,0)*VLOOKUP('Données projet'!$B$11,Paramètres!$A$1:$I$89,5,0)</f>
        <v>280.76100000000002</v>
      </c>
      <c r="BF73" s="14">
        <f t="shared" si="91"/>
        <v>67.12780464438184</v>
      </c>
      <c r="BG73" s="22">
        <f t="shared" si="61"/>
        <v>605.90633475563175</v>
      </c>
      <c r="BH73" s="62">
        <f t="shared" si="62"/>
        <v>899.23966808896512</v>
      </c>
      <c r="BI73" s="62">
        <f ca="1">AVERAGE(OFFSET($BH$3,0,0,'Données projet'!$E$11+1,1))-AVERAGE(OFFSET($H$3,0,0,'Données projet'!$E$11+1,1))</f>
        <v>287.69656598881124</v>
      </c>
      <c r="BJ73" s="62">
        <f t="shared" si="92"/>
        <v>221.9773436301067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4.7514149044936875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1.2431745481281352E-5</v>
      </c>
      <c r="BS73" s="24">
        <f t="shared" si="63"/>
        <v>4.7514273362391686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465.79</v>
      </c>
      <c r="L74" s="13">
        <f>VLOOKUP(A74,'Données projet'!$A$35:$I$55,9,0)</f>
        <v>16.081428571428571</v>
      </c>
      <c r="M74" s="13">
        <f t="array" ref="M74">INDEX(L:L,MIN(IF(ISNUMBER(L74:L270),ROW(L74:L270),"")))</f>
        <v>16.081428571428571</v>
      </c>
      <c r="N74" s="14">
        <f>IF('Données projet'!$A$36&gt;35,N73+M74-V73,IF(A74&lt;'Données projet'!$A$36,$K$205^A74,IF(A74='Données projet'!$A$36,'Données projet'!$B$36,N73+M74-V73)))</f>
        <v>465.78999999999974</v>
      </c>
      <c r="O74" s="14">
        <f>N74*VLOOKUP('Données projet'!$B$9,Paramètres!$A$1:$I$89,3,0)*VLOOKUP('Données projet'!$B$9,Paramètres!$A$1:$I$89,5,0)</f>
        <v>217.98971999999986</v>
      </c>
      <c r="P74" s="14">
        <f t="shared" si="87"/>
        <v>53.677728140063046</v>
      </c>
      <c r="Q74" s="22">
        <f t="shared" si="54"/>
        <v>473.15413884394292</v>
      </c>
      <c r="R74" s="62">
        <f t="shared" si="55"/>
        <v>766.48747217727623</v>
      </c>
      <c r="S74" s="62">
        <f ca="1">AVERAGE(OFFSET($R$3,0,0,'Données projet'!$E$9+1,1))-AVERAGE(OFFSET($H$3,0,0,'Données projet'!$E$9+1,1))</f>
        <v>228.57322051753096</v>
      </c>
      <c r="T74" s="62">
        <f t="shared" si="88"/>
        <v>168.91992124331932</v>
      </c>
      <c r="U74" s="16">
        <f>IF(ISNA(VLOOKUP(A74,'Données projet'!$A$35:$I$55,3,0)),0,VLOOKUP(A74,'Données projet'!$A$35:$I$55,3,0))</f>
        <v>11</v>
      </c>
      <c r="V74" s="16">
        <f>IF(ISNA(VLOOKUP(A74,'Données projet'!$A$35:$I$55,4,0)),0,VLOOKUP(A74,'Données projet'!$A$35:$I$55,4,0))</f>
        <v>90.8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</v>
      </c>
      <c r="AI74" s="14">
        <f>IF('Données projet'!$A$62&gt;35,AI73+AH74-AQ73,IF(A74&lt;'Données projet'!$A$62,$AF$205^A74,IF(A74='Données projet'!$A$62,'Données projet'!$B$62,AI73+AH74-AQ73)))</f>
        <v>379.00000000000011</v>
      </c>
      <c r="AJ74" s="14">
        <f>AI74*VLOOKUP('Données projet'!$B$10,Paramètres!$A$1:$I$89,3,0)*VLOOKUP('Données projet'!$B$10,Paramètres!$A$1:$I$89,5,0)</f>
        <v>226.64200000000008</v>
      </c>
      <c r="AK74" s="14">
        <f t="shared" si="89"/>
        <v>55.555983079812862</v>
      </c>
      <c r="AL74" s="22">
        <f t="shared" si="58"/>
        <v>491.49482053067413</v>
      </c>
      <c r="AM74" s="62">
        <f t="shared" si="59"/>
        <v>784.82815386400739</v>
      </c>
      <c r="AN74" s="62">
        <f ca="1">AVERAGE(OFFSET($AM$3,0,0,'Données projet'!$E$10+1,1))-AVERAGE(OFFSET($H$3,0,0,'Données projet'!$E$10+1,1))</f>
        <v>221.96671908615446</v>
      </c>
      <c r="AO74" s="62">
        <f t="shared" si="90"/>
        <v>141.9613211447562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1.8232754643882565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4.7174291961723114E-6</v>
      </c>
      <c r="AX74" s="23">
        <f t="shared" si="60"/>
        <v>1.8232801818174527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482.37500000000006</v>
      </c>
      <c r="BE74" s="14">
        <f>BD74*VLOOKUP('Données projet'!$B$11,Paramètres!$A$1:$I$89,3,0)*VLOOKUP('Données projet'!$B$11,Paramètres!$A$1:$I$89,5,0)</f>
        <v>288.46025000000009</v>
      </c>
      <c r="BF74" s="14">
        <f t="shared" si="91"/>
        <v>68.75179365327233</v>
      </c>
      <c r="BG74" s="22">
        <f t="shared" si="61"/>
        <v>622.14430936278279</v>
      </c>
      <c r="BH74" s="62">
        <f t="shared" si="62"/>
        <v>915.47764269611616</v>
      </c>
      <c r="BI74" s="62">
        <f ca="1">AVERAGE(OFFSET($BH$3,0,0,'Données projet'!$E$11+1,1))-AVERAGE(OFFSET($H$3,0,0,'Données projet'!$E$11+1,1))</f>
        <v>287.69656598881124</v>
      </c>
      <c r="BJ74" s="62">
        <f t="shared" si="92"/>
        <v>221.9773436301067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4.658242556293497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8.790571531799264E-6</v>
      </c>
      <c r="BS74" s="24">
        <f t="shared" si="63"/>
        <v>4.6582513468650291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390.06</v>
      </c>
      <c r="L75" s="13">
        <f>VLOOKUP(A75,'Données projet'!$A$35:$I$55,9,0)</f>
        <v>15.069999999999993</v>
      </c>
      <c r="M75" s="13">
        <f t="array" ref="M75">INDEX(L:L,MIN(IF(ISNUMBER(L75:L271),ROW(L75:L271),"")))</f>
        <v>15.069999999999993</v>
      </c>
      <c r="N75" s="14">
        <f>IF('Données projet'!$A$36&gt;35,N74+M75-V74,IF(A75&lt;'Données projet'!$A$36,$K$205^A75,IF(A75='Données projet'!$A$36,'Données projet'!$B$36,N74+M75-V74)))</f>
        <v>390.05999999999972</v>
      </c>
      <c r="O75" s="14">
        <f>N75*VLOOKUP('Données projet'!$B$9,Paramètres!$A$1:$I$89,3,0)*VLOOKUP('Données projet'!$B$9,Paramètres!$A$1:$I$89,5,0)</f>
        <v>182.54807999999989</v>
      </c>
      <c r="P75" s="14">
        <f t="shared" si="87"/>
        <v>45.88862240530873</v>
      </c>
      <c r="Q75" s="22">
        <f t="shared" si="54"/>
        <v>397.86059002257917</v>
      </c>
      <c r="R75" s="62">
        <f t="shared" si="55"/>
        <v>691.19392335591249</v>
      </c>
      <c r="S75" s="62">
        <f ca="1">AVERAGE(OFFSET($R$3,0,0,'Données projet'!$E$9+1,1))-AVERAGE(OFFSET($H$3,0,0,'Données projet'!$E$9+1,1))</f>
        <v>228.57322051753096</v>
      </c>
      <c r="T75" s="62">
        <f t="shared" si="88"/>
        <v>168.91992124331932</v>
      </c>
      <c r="U75" s="16">
        <f>IF(ISNA(VLOOKUP(A75,'Données projet'!$A$35:$I$55,3,0)),0,VLOOKUP(A75,'Données projet'!$A$35:$I$55,3,0))</f>
        <v>12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</v>
      </c>
      <c r="AI75" s="14">
        <f>IF('Données projet'!$A$62&gt;35,AI74+AH75-AQ74,IF(A75&lt;'Données projet'!$A$62,$AF$205^A75,IF(A75='Données projet'!$A$62,'Données projet'!$B$62,AI74+AH75-AQ74)))</f>
        <v>388.00000000000011</v>
      </c>
      <c r="AJ75" s="14">
        <f>AI75*VLOOKUP('Données projet'!$B$10,Paramètres!$A$1:$I$89,3,0)*VLOOKUP('Données projet'!$B$10,Paramètres!$A$1:$I$89,5,0)</f>
        <v>232.02400000000006</v>
      </c>
      <c r="AK75" s="14">
        <f t="shared" si="89"/>
        <v>56.720094243161071</v>
      </c>
      <c r="AL75" s="22">
        <f t="shared" si="58"/>
        <v>502.89596414017234</v>
      </c>
      <c r="AM75" s="62">
        <f t="shared" si="59"/>
        <v>796.22929747350565</v>
      </c>
      <c r="AN75" s="62">
        <f ca="1">AVERAGE(OFFSET($AM$3,0,0,'Données projet'!$E$10+1,1))-AVERAGE(OFFSET($H$3,0,0,'Données projet'!$E$10+1,1))</f>
        <v>221.96671908615446</v>
      </c>
      <c r="AO75" s="62">
        <f t="shared" si="90"/>
        <v>141.9613211447562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1.7875221446198264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3.3357261743808455E-6</v>
      </c>
      <c r="AX75" s="23">
        <f t="shared" si="60"/>
        <v>1.7875254803460008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495.25000000000006</v>
      </c>
      <c r="BE75" s="14">
        <f>BD75*VLOOKUP('Données projet'!$B$11,Paramètres!$A$1:$I$89,3,0)*VLOOKUP('Données projet'!$B$11,Paramètres!$A$1:$I$89,5,0)</f>
        <v>296.15950000000004</v>
      </c>
      <c r="BF75" s="14">
        <f t="shared" si="91"/>
        <v>70.370744425720076</v>
      </c>
      <c r="BG75" s="22">
        <f t="shared" si="61"/>
        <v>638.37350904146251</v>
      </c>
      <c r="BH75" s="62">
        <f t="shared" si="62"/>
        <v>931.70684237479577</v>
      </c>
      <c r="BI75" s="62">
        <f ca="1">AVERAGE(OFFSET($BH$3,0,0,'Données projet'!$E$11+1,1))-AVERAGE(OFFSET($H$3,0,0,'Données projet'!$E$11+1,1))</f>
        <v>287.69656598881124</v>
      </c>
      <c r="BJ75" s="62">
        <f t="shared" si="92"/>
        <v>221.9773436301067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4.5668972610119907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6.2158727406406761E-6</v>
      </c>
      <c r="BS75" s="24">
        <f t="shared" si="63"/>
        <v>4.5669034768847316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15.121428571428575</v>
      </c>
      <c r="N76" s="14">
        <f>IF('Données projet'!$A$36&gt;35,N75+M76-V75,IF(A76&lt;'Données projet'!$A$36,$K$205^A76,IF(A76='Données projet'!$A$36,'Données projet'!$B$36,N75+M76-V75)))</f>
        <v>405.18142857142828</v>
      </c>
      <c r="O76" s="14">
        <f>N76*VLOOKUP('Données projet'!$B$9,Paramètres!$A$1:$I$89,3,0)*VLOOKUP('Données projet'!$B$9,Paramètres!$A$1:$I$89,5,0)</f>
        <v>189.62490857142842</v>
      </c>
      <c r="P76" s="14">
        <f t="shared" si="87"/>
        <v>47.457015926931383</v>
      </c>
      <c r="Q76" s="22">
        <f t="shared" si="54"/>
        <v>412.91768516797657</v>
      </c>
      <c r="R76" s="62">
        <f t="shared" si="55"/>
        <v>706.25101850130989</v>
      </c>
      <c r="S76" s="62">
        <f ca="1">AVERAGE(OFFSET($R$3,0,0,'Données projet'!$E$9+1,1))-AVERAGE(OFFSET($H$3,0,0,'Données projet'!$E$9+1,1))</f>
        <v>228.57322051753096</v>
      </c>
      <c r="T76" s="62">
        <f t="shared" si="88"/>
        <v>168.91992124331932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</v>
      </c>
      <c r="AI76" s="14">
        <f>IF('Données projet'!$A$62&gt;35,AI75+AH76-AQ75,IF(A76&lt;'Données projet'!$A$62,$AF$205^A76,IF(A76='Données projet'!$A$62,'Données projet'!$B$62,AI75+AH76-AQ75)))</f>
        <v>397.00000000000011</v>
      </c>
      <c r="AJ76" s="14">
        <f>AI76*VLOOKUP('Données projet'!$B$10,Paramètres!$A$1:$I$89,3,0)*VLOOKUP('Données projet'!$B$10,Paramètres!$A$1:$I$89,5,0)</f>
        <v>237.40600000000009</v>
      </c>
      <c r="AK76" s="14">
        <f t="shared" si="89"/>
        <v>57.881066248213493</v>
      </c>
      <c r="AL76" s="22">
        <f t="shared" si="58"/>
        <v>514.29164038230522</v>
      </c>
      <c r="AM76" s="62">
        <f t="shared" si="59"/>
        <v>807.62497371563859</v>
      </c>
      <c r="AN76" s="62">
        <f ca="1">AVERAGE(OFFSET($AM$3,0,0,'Données projet'!$E$10+1,1))-AVERAGE(OFFSET($H$3,0,0,'Données projet'!$E$10+1,1))</f>
        <v>221.96671908615446</v>
      </c>
      <c r="AO76" s="62">
        <f t="shared" si="90"/>
        <v>141.9613211447562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1.7524699256446836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2.3587145980861557E-6</v>
      </c>
      <c r="AX76" s="23">
        <f t="shared" si="60"/>
        <v>1.7524722843592817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508.12500000000006</v>
      </c>
      <c r="BE76" s="14">
        <f>BD76*VLOOKUP('Données projet'!$B$11,Paramètres!$A$1:$I$89,3,0)*VLOOKUP('Données projet'!$B$11,Paramètres!$A$1:$I$89,5,0)</f>
        <v>303.85875000000004</v>
      </c>
      <c r="BF76" s="14">
        <f t="shared" si="91"/>
        <v>71.984802998830631</v>
      </c>
      <c r="BG76" s="22">
        <f t="shared" si="61"/>
        <v>654.59418813963009</v>
      </c>
      <c r="BH76" s="62">
        <f t="shared" si="62"/>
        <v>947.92752147296346</v>
      </c>
      <c r="BI76" s="62">
        <f ca="1">AVERAGE(OFFSET($BH$3,0,0,'Données projet'!$E$11+1,1))-AVERAGE(OFFSET($H$3,0,0,'Données projet'!$E$11+1,1))</f>
        <v>287.69656598881124</v>
      </c>
      <c r="BJ76" s="62">
        <f t="shared" si="92"/>
        <v>221.9773436301067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4.4773431912558266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4.395285765899632E-6</v>
      </c>
      <c r="BS76" s="24">
        <f t="shared" si="63"/>
        <v>4.4773475865415922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15.121428571428575</v>
      </c>
      <c r="N77" s="14">
        <f>IF('Données projet'!$A$36&gt;35,N76+M77-V76,IF(A77&lt;'Données projet'!$A$36,$K$205^A77,IF(A77='Données projet'!$A$36,'Données projet'!$B$36,N76+M77-V76)))</f>
        <v>420.30285714285685</v>
      </c>
      <c r="O77" s="14">
        <f>N77*VLOOKUP('Données projet'!$B$9,Paramètres!$A$1:$I$89,3,0)*VLOOKUP('Données projet'!$B$9,Paramètres!$A$1:$I$89,5,0)</f>
        <v>196.70173714285701</v>
      </c>
      <c r="P77" s="14">
        <f t="shared" si="87"/>
        <v>49.018609355598009</v>
      </c>
      <c r="Q77" s="22">
        <f t="shared" si="54"/>
        <v>427.96293681814245</v>
      </c>
      <c r="R77" s="62">
        <f t="shared" si="55"/>
        <v>721.29627015147571</v>
      </c>
      <c r="S77" s="62">
        <f ca="1">AVERAGE(OFFSET($R$3,0,0,'Données projet'!$E$9+1,1))-AVERAGE(OFFSET($H$3,0,0,'Données projet'!$E$9+1,1))</f>
        <v>228.57322051753096</v>
      </c>
      <c r="T77" s="62">
        <f t="shared" si="88"/>
        <v>168.91992124331932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</v>
      </c>
      <c r="AI77" s="14">
        <f>IF('Données projet'!$A$62&gt;35,AI76+AH77-AQ76,IF(A77&lt;'Données projet'!$A$62,$AF$205^A77,IF(A77='Données projet'!$A$62,'Données projet'!$B$62,AI76+AH77-AQ76)))</f>
        <v>406.00000000000011</v>
      </c>
      <c r="AJ77" s="14">
        <f>AI77*VLOOKUP('Données projet'!$B$10,Paramètres!$A$1:$I$89,3,0)*VLOOKUP('Données projet'!$B$10,Paramètres!$A$1:$I$89,5,0)</f>
        <v>242.78800000000007</v>
      </c>
      <c r="AK77" s="14">
        <f t="shared" si="89"/>
        <v>59.038978452354563</v>
      </c>
      <c r="AL77" s="22">
        <f t="shared" si="58"/>
        <v>525.68198747118436</v>
      </c>
      <c r="AM77" s="62">
        <f t="shared" si="59"/>
        <v>819.01532080451761</v>
      </c>
      <c r="AN77" s="62">
        <f ca="1">AVERAGE(OFFSET($AM$3,0,0,'Données projet'!$E$10+1,1))-AVERAGE(OFFSET($H$3,0,0,'Données projet'!$E$10+1,1))</f>
        <v>221.96671908615446</v>
      </c>
      <c r="AO77" s="62">
        <f t="shared" si="90"/>
        <v>141.9613211447562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1.7181050593039009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1.6678630871904227E-6</v>
      </c>
      <c r="AX77" s="23">
        <f t="shared" si="60"/>
        <v>1.7181067271669881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521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521</v>
      </c>
      <c r="BE77" s="14">
        <f>BD77*VLOOKUP('Données projet'!$B$11,Paramètres!$A$1:$I$89,3,0)*VLOOKUP('Données projet'!$B$11,Paramètres!$A$1:$I$89,5,0)</f>
        <v>311.55799999999999</v>
      </c>
      <c r="BF77" s="14">
        <f t="shared" si="91"/>
        <v>73.594107587354372</v>
      </c>
      <c r="BG77" s="22">
        <f t="shared" si="61"/>
        <v>670.80658738130876</v>
      </c>
      <c r="BH77" s="62">
        <f t="shared" si="62"/>
        <v>964.13992071464213</v>
      </c>
      <c r="BI77" s="62">
        <f ca="1">AVERAGE(OFFSET($BH$3,0,0,'Données projet'!$E$11+1,1))-AVERAGE(OFFSET($H$3,0,0,'Données projet'!$E$11+1,1))</f>
        <v>287.69656598881124</v>
      </c>
      <c r="BJ77" s="62">
        <f t="shared" si="92"/>
        <v>221.9773436301067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4.3895452221849913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3.1079363703203381E-6</v>
      </c>
      <c r="BS77" s="24">
        <f t="shared" si="63"/>
        <v>4.3895483301213618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15.121428571428575</v>
      </c>
      <c r="N78" s="14">
        <f>IF('Données projet'!$A$36&gt;35,N77+M78-V77,IF(A78&lt;'Données projet'!$A$36,$K$205^A78,IF(A78='Données projet'!$A$36,'Données projet'!$B$36,N77+M78-V77)))</f>
        <v>435.42428571428542</v>
      </c>
      <c r="O78" s="14">
        <f>N78*VLOOKUP('Données projet'!$B$9,Paramètres!$A$1:$I$89,3,0)*VLOOKUP('Données projet'!$B$9,Paramètres!$A$1:$I$89,5,0)</f>
        <v>203.77856571428558</v>
      </c>
      <c r="P78" s="14">
        <f t="shared" si="87"/>
        <v>50.57367536717328</v>
      </c>
      <c r="Q78" s="22">
        <f t="shared" si="54"/>
        <v>442.99681988354081</v>
      </c>
      <c r="R78" s="62">
        <f t="shared" si="55"/>
        <v>736.33015321687412</v>
      </c>
      <c r="S78" s="62">
        <f ca="1">AVERAGE(OFFSET($R$3,0,0,'Données projet'!$E$9+1,1))-AVERAGE(OFFSET($H$3,0,0,'Données projet'!$E$9+1,1))</f>
        <v>228.57322051753096</v>
      </c>
      <c r="T78" s="62">
        <f t="shared" si="88"/>
        <v>168.91992124331932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</v>
      </c>
      <c r="AI78" s="14">
        <f>IF('Données projet'!$A$62&gt;35,AI77+AH78-AQ77,IF(A78&lt;'Données projet'!$A$62,$AF$205^A78,IF(A78='Données projet'!$A$62,'Données projet'!$B$62,AI77+AH78-AQ77)))</f>
        <v>415.00000000000011</v>
      </c>
      <c r="AJ78" s="14">
        <f>AI78*VLOOKUP('Données projet'!$B$10,Paramètres!$A$1:$I$89,3,0)*VLOOKUP('Données projet'!$B$10,Paramètres!$A$1:$I$89,5,0)</f>
        <v>248.1700000000001</v>
      </c>
      <c r="AK78" s="14">
        <f t="shared" si="89"/>
        <v>60.193906493778854</v>
      </c>
      <c r="AL78" s="22">
        <f t="shared" si="58"/>
        <v>537.06713714333159</v>
      </c>
      <c r="AM78" s="62">
        <f t="shared" si="59"/>
        <v>830.40047047666485</v>
      </c>
      <c r="AN78" s="62">
        <f ca="1">AVERAGE(OFFSET($AM$3,0,0,'Données projet'!$E$10+1,1))-AVERAGE(OFFSET($H$3,0,0,'Données projet'!$E$10+1,1))</f>
        <v>221.96671908615446</v>
      </c>
      <c r="AO78" s="62">
        <f t="shared" si="90"/>
        <v>141.9613211447562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1.6844140670315619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1.1793572990430779E-6</v>
      </c>
      <c r="AX78" s="23">
        <f t="shared" si="60"/>
        <v>1.6844152463888611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492.875</v>
      </c>
      <c r="BE78" s="14">
        <f>BD78*VLOOKUP('Données projet'!$B$11,Paramètres!$A$1:$I$89,3,0)*VLOOKUP('Données projet'!$B$11,Paramètres!$A$1:$I$89,5,0)</f>
        <v>294.73925000000003</v>
      </c>
      <c r="BF78" s="14">
        <f t="shared" si="91"/>
        <v>70.072475236035828</v>
      </c>
      <c r="BG78" s="22">
        <f t="shared" si="61"/>
        <v>635.38042145276233</v>
      </c>
      <c r="BH78" s="62">
        <f t="shared" si="62"/>
        <v>928.71375478609571</v>
      </c>
      <c r="BI78" s="62">
        <f ca="1">AVERAGE(OFFSET($BH$3,0,0,'Données projet'!$E$11+1,1))-AVERAGE(OFFSET($H$3,0,0,'Données projet'!$E$11+1,1))</f>
        <v>287.69656598881124</v>
      </c>
      <c r="BJ78" s="62">
        <f t="shared" si="92"/>
        <v>221.9773436301067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4.3034689177361622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2.197642882949816E-6</v>
      </c>
      <c r="BS78" s="24">
        <f t="shared" si="63"/>
        <v>4.303471115379045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15.121428571428575</v>
      </c>
      <c r="N79" s="14">
        <f>IF('Données projet'!$A$36&gt;35,N78+M79-V78,IF(A79&lt;'Données projet'!$A$36,$K$205^A79,IF(A79='Données projet'!$A$36,'Données projet'!$B$36,N78+M79-V78)))</f>
        <v>450.54571428571398</v>
      </c>
      <c r="O79" s="14">
        <f>N79*VLOOKUP('Données projet'!$B$9,Paramètres!$A$1:$I$89,3,0)*VLOOKUP('Données projet'!$B$9,Paramètres!$A$1:$I$89,5,0)</f>
        <v>210.85539428571417</v>
      </c>
      <c r="P79" s="14">
        <f t="shared" si="87"/>
        <v>52.122466624482129</v>
      </c>
      <c r="Q79" s="22">
        <f t="shared" si="54"/>
        <v>458.01977441859185</v>
      </c>
      <c r="R79" s="62">
        <f t="shared" si="55"/>
        <v>751.35310775192511</v>
      </c>
      <c r="S79" s="62">
        <f ca="1">AVERAGE(OFFSET($R$3,0,0,'Données projet'!$E$9+1,1))-AVERAGE(OFFSET($H$3,0,0,'Données projet'!$E$9+1,1))</f>
        <v>228.57322051753096</v>
      </c>
      <c r="T79" s="62">
        <f t="shared" si="88"/>
        <v>168.91992124331932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</v>
      </c>
      <c r="AI79" s="14">
        <f>IF('Données projet'!$A$62&gt;35,AI78+AH79-AQ78,IF(A79&lt;'Données projet'!$A$62,$AF$205^A79,IF(A79='Données projet'!$A$62,'Données projet'!$B$62,AI78+AH79-AQ78)))</f>
        <v>424.00000000000011</v>
      </c>
      <c r="AJ79" s="14">
        <f>AI79*VLOOKUP('Données projet'!$B$10,Paramètres!$A$1:$I$89,3,0)*VLOOKUP('Données projet'!$B$10,Paramètres!$A$1:$I$89,5,0)</f>
        <v>253.55200000000008</v>
      </c>
      <c r="AK79" s="14">
        <f t="shared" si="89"/>
        <v>61.345922542613536</v>
      </c>
      <c r="AL79" s="22">
        <f t="shared" si="58"/>
        <v>548.447215095052</v>
      </c>
      <c r="AM79" s="62">
        <f t="shared" si="59"/>
        <v>841.78054842838537</v>
      </c>
      <c r="AN79" s="62">
        <f ca="1">AVERAGE(OFFSET($AM$3,0,0,'Données projet'!$E$10+1,1))-AVERAGE(OFFSET($H$3,0,0,'Données projet'!$E$10+1,1))</f>
        <v>221.96671908615446</v>
      </c>
      <c r="AO79" s="62">
        <f t="shared" si="90"/>
        <v>141.9613211447562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1.6513837345682074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8.3393154359521136E-7</v>
      </c>
      <c r="AX79" s="23">
        <f t="shared" si="60"/>
        <v>1.651384568499751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501.75</v>
      </c>
      <c r="BE79" s="14">
        <f>BD79*VLOOKUP('Données projet'!$B$11,Paramètres!$A$1:$I$89,3,0)*VLOOKUP('Données projet'!$B$11,Paramètres!$A$1:$I$89,5,0)</f>
        <v>300.04650000000004</v>
      </c>
      <c r="BF79" s="14">
        <f t="shared" si="91"/>
        <v>71.186211573839699</v>
      </c>
      <c r="BG79" s="22">
        <f t="shared" si="61"/>
        <v>646.56363932443753</v>
      </c>
      <c r="BH79" s="62">
        <f t="shared" si="62"/>
        <v>939.8969726577709</v>
      </c>
      <c r="BI79" s="62">
        <f ca="1">AVERAGE(OFFSET($BH$3,0,0,'Données projet'!$E$11+1,1))-AVERAGE(OFFSET($H$3,0,0,'Données projet'!$E$11+1,1))</f>
        <v>287.69656598881124</v>
      </c>
      <c r="BJ79" s="62">
        <f t="shared" si="92"/>
        <v>221.9773436301067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4.2190805171162129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1.553968185160169E-6</v>
      </c>
      <c r="BS79" s="24">
        <f t="shared" si="63"/>
        <v>4.2190820710843981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15.121428571428575</v>
      </c>
      <c r="N80" s="14">
        <f>IF('Données projet'!$A$36&gt;35,N79+M80-V79,IF(A80&lt;'Données projet'!$A$36,$K$205^A80,IF(A80='Données projet'!$A$36,'Données projet'!$B$36,N79+M80-V79)))</f>
        <v>465.66714285714255</v>
      </c>
      <c r="O80" s="14">
        <f>N80*VLOOKUP('Données projet'!$B$9,Paramètres!$A$1:$I$89,3,0)*VLOOKUP('Données projet'!$B$9,Paramètres!$A$1:$I$89,5,0)</f>
        <v>217.9322228571427</v>
      </c>
      <c r="P80" s="14">
        <f t="shared" si="87"/>
        <v>53.665217868077001</v>
      </c>
      <c r="Q80" s="22">
        <f t="shared" si="54"/>
        <v>473.03220926309092</v>
      </c>
      <c r="R80" s="62">
        <f t="shared" si="55"/>
        <v>766.36554259642423</v>
      </c>
      <c r="S80" s="62">
        <f ca="1">AVERAGE(OFFSET($R$3,0,0,'Données projet'!$E$9+1,1))-AVERAGE(OFFSET($H$3,0,0,'Données projet'!$E$9+1,1))</f>
        <v>228.57322051753096</v>
      </c>
      <c r="T80" s="62">
        <f t="shared" si="88"/>
        <v>168.91992124331932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</v>
      </c>
      <c r="AI80" s="14">
        <f>IF('Données projet'!$A$62&gt;35,AI79+AH80-AQ79,IF(A80&lt;'Données projet'!$A$62,$AF$205^A80,IF(A80='Données projet'!$A$62,'Données projet'!$B$62,AI79+AH80-AQ79)))</f>
        <v>433.00000000000011</v>
      </c>
      <c r="AJ80" s="14">
        <f>AI80*VLOOKUP('Données projet'!$B$10,Paramètres!$A$1:$I$89,3,0)*VLOOKUP('Données projet'!$B$10,Paramètres!$A$1:$I$89,5,0)</f>
        <v>258.93400000000008</v>
      </c>
      <c r="AK80" s="14">
        <f t="shared" si="89"/>
        <v>62.495095530116075</v>
      </c>
      <c r="AL80" s="22">
        <f t="shared" si="58"/>
        <v>559.82234138161891</v>
      </c>
      <c r="AM80" s="62">
        <f t="shared" si="59"/>
        <v>853.15567471495228</v>
      </c>
      <c r="AN80" s="62">
        <f ca="1">AVERAGE(OFFSET($AM$3,0,0,'Données projet'!$E$10+1,1))-AVERAGE(OFFSET($H$3,0,0,'Données projet'!$E$10+1,1))</f>
        <v>221.96671908615446</v>
      </c>
      <c r="AO80" s="62">
        <f t="shared" si="90"/>
        <v>141.9613211447562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1.6190011067779457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5.8967864952153893E-7</v>
      </c>
      <c r="AX80" s="23">
        <f t="shared" si="60"/>
        <v>1.6190016964565952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510.625</v>
      </c>
      <c r="BE80" s="14">
        <f>BD80*VLOOKUP('Données projet'!$B$11,Paramètres!$A$1:$I$89,3,0)*VLOOKUP('Données projet'!$B$11,Paramètres!$A$1:$I$89,5,0)</f>
        <v>305.35375000000005</v>
      </c>
      <c r="BF80" s="14">
        <f t="shared" si="91"/>
        <v>72.297657079406008</v>
      </c>
      <c r="BG80" s="22">
        <f t="shared" si="61"/>
        <v>657.74286732996552</v>
      </c>
      <c r="BH80" s="62">
        <f t="shared" si="62"/>
        <v>951.07620066329878</v>
      </c>
      <c r="BI80" s="62">
        <f ca="1">AVERAGE(OFFSET($BH$3,0,0,'Données projet'!$E$11+1,1))-AVERAGE(OFFSET($H$3,0,0,'Données projet'!$E$11+1,1))</f>
        <v>287.69656598881124</v>
      </c>
      <c r="BJ80" s="62">
        <f t="shared" si="92"/>
        <v>221.9773436301067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4.1363469215605786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1.098821441474908E-6</v>
      </c>
      <c r="BS80" s="24">
        <f t="shared" si="63"/>
        <v>4.1363480203820204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15.121428571428575</v>
      </c>
      <c r="N81" s="14">
        <f>IF('Données projet'!$A$36&gt;35,N80+M81-V80,IF(A81&lt;'Données projet'!$A$36,$K$205^A81,IF(A81='Données projet'!$A$36,'Données projet'!$B$36,N80+M81-V80)))</f>
        <v>480.78857142857112</v>
      </c>
      <c r="O81" s="14">
        <f>N81*VLOOKUP('Données projet'!$B$9,Paramètres!$A$1:$I$89,3,0)*VLOOKUP('Données projet'!$B$9,Paramètres!$A$1:$I$89,5,0)</f>
        <v>225.0090514285713</v>
      </c>
      <c r="P81" s="14">
        <f t="shared" si="87"/>
        <v>55.202147727806029</v>
      </c>
      <c r="Q81" s="22">
        <f t="shared" si="54"/>
        <v>488.03450519735719</v>
      </c>
      <c r="R81" s="62">
        <f t="shared" si="55"/>
        <v>781.36783853069051</v>
      </c>
      <c r="S81" s="62">
        <f ca="1">AVERAGE(OFFSET($R$3,0,0,'Données projet'!$E$9+1,1))-AVERAGE(OFFSET($H$3,0,0,'Données projet'!$E$9+1,1))</f>
        <v>228.57322051753096</v>
      </c>
      <c r="T81" s="62">
        <f t="shared" si="88"/>
        <v>168.91992124331932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9</v>
      </c>
      <c r="AI81" s="14">
        <f>IF('Données projet'!$A$62&gt;35,AI80+AH81-AQ80,IF(A81&lt;'Données projet'!$A$62,$AF$205^A81,IF(A81='Données projet'!$A$62,'Données projet'!$B$62,AI80+AH81-AQ80)))</f>
        <v>442.00000000000011</v>
      </c>
      <c r="AJ81" s="14">
        <f>AI81*VLOOKUP('Données projet'!$B$10,Paramètres!$A$1:$I$89,3,0)*VLOOKUP('Données projet'!$B$10,Paramètres!$A$1:$I$89,5,0)</f>
        <v>264.31600000000009</v>
      </c>
      <c r="AK81" s="14">
        <f t="shared" si="89"/>
        <v>63.641491358279801</v>
      </c>
      <c r="AL81" s="22">
        <f t="shared" si="58"/>
        <v>571.19263078233746</v>
      </c>
      <c r="AM81" s="62">
        <f t="shared" si="59"/>
        <v>864.52596411567083</v>
      </c>
      <c r="AN81" s="62">
        <f ca="1">AVERAGE(OFFSET($AM$3,0,0,'Données projet'!$E$10+1,1))-AVERAGE(OFFSET($H$3,0,0,'Données projet'!$E$10+1,1))</f>
        <v>221.96671908615446</v>
      </c>
      <c r="AO81" s="62">
        <f t="shared" si="90"/>
        <v>141.9613211447562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1.5872534825671984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4.1696577179760568E-7</v>
      </c>
      <c r="AX81" s="23">
        <f t="shared" si="60"/>
        <v>1.5872538995329701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519.5</v>
      </c>
      <c r="BE81" s="14">
        <f>BD81*VLOOKUP('Données projet'!$B$11,Paramètres!$A$1:$I$89,3,0)*VLOOKUP('Données projet'!$B$11,Paramètres!$A$1:$I$89,5,0)</f>
        <v>310.661</v>
      </c>
      <c r="BF81" s="14">
        <f t="shared" si="91"/>
        <v>73.406856163089444</v>
      </c>
      <c r="BG81" s="22">
        <f t="shared" si="61"/>
        <v>668.91818281738085</v>
      </c>
      <c r="BH81" s="62">
        <f t="shared" si="62"/>
        <v>962.25151615071422</v>
      </c>
      <c r="BI81" s="62">
        <f ca="1">AVERAGE(OFFSET($BH$3,0,0,'Données projet'!$E$11+1,1))-AVERAGE(OFFSET($H$3,0,0,'Données projet'!$E$11+1,1))</f>
        <v>287.69656598881124</v>
      </c>
      <c r="BJ81" s="62">
        <f t="shared" si="92"/>
        <v>221.9773436301067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4.05523568135128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7.7698409258008451E-7</v>
      </c>
      <c r="BS81" s="24">
        <f t="shared" si="63"/>
        <v>4.0552364583353722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495.91</v>
      </c>
      <c r="L82" s="13">
        <f>VLOOKUP(A82,'Données projet'!$A$35:$I$55,9,0)</f>
        <v>15.121428571428575</v>
      </c>
      <c r="M82" s="13">
        <f t="array" ref="M82">INDEX(L:L,MIN(IF(ISNUMBER(L82:L278),ROW(L82:L278),"")))</f>
        <v>15.121428571428575</v>
      </c>
      <c r="N82" s="14">
        <f>IF('Données projet'!$A$36&gt;35,N81+M82-V81,IF(A82&lt;'Données projet'!$A$36,$K$205^A82,IF(A82='Données projet'!$A$36,'Données projet'!$B$36,N81+M82-V81)))</f>
        <v>495.90999999999968</v>
      </c>
      <c r="O82" s="14">
        <f>N82*VLOOKUP('Données projet'!$B$9,Paramètres!$A$1:$I$89,3,0)*VLOOKUP('Données projet'!$B$9,Paramètres!$A$1:$I$89,5,0)</f>
        <v>232.08587999999986</v>
      </c>
      <c r="P82" s="14">
        <f t="shared" si="87"/>
        <v>56.733460300074178</v>
      </c>
      <c r="Q82" s="22">
        <f t="shared" si="54"/>
        <v>503.02701768929563</v>
      </c>
      <c r="R82" s="62">
        <f t="shared" si="55"/>
        <v>796.36035102262895</v>
      </c>
      <c r="S82" s="62">
        <f ca="1">AVERAGE(OFFSET($R$3,0,0,'Données projet'!$E$9+1,1))-AVERAGE(OFFSET($H$3,0,0,'Données projet'!$E$9+1,1))</f>
        <v>228.57322051753096</v>
      </c>
      <c r="T82" s="62">
        <f t="shared" si="88"/>
        <v>168.91992124331932</v>
      </c>
      <c r="U82" s="16">
        <f>IF(ISNA(VLOOKUP(A82,'Données projet'!$A$35:$I$55,3,0)),0,VLOOKUP(A82,'Données projet'!$A$35:$I$55,3,0))</f>
        <v>13</v>
      </c>
      <c r="V82" s="16">
        <f>IF(ISNA(VLOOKUP(A82,'Données projet'!$A$35:$I$55,4,0)),0,VLOOKUP(A82,'Données projet'!$A$35:$I$55,4,0))</f>
        <v>87.99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</v>
      </c>
      <c r="AI82" s="14">
        <f>IF('Données projet'!$A$62&gt;35,AI81+AH82-AQ81,IF(A82&lt;'Données projet'!$A$62,$AF$205^A82,IF(A82='Données projet'!$A$62,'Données projet'!$B$62,AI81+AH82-AQ81)))</f>
        <v>451.00000000000011</v>
      </c>
      <c r="AJ82" s="14">
        <f>AI82*VLOOKUP('Données projet'!$B$10,Paramètres!$A$1:$I$89,3,0)*VLOOKUP('Données projet'!$B$10,Paramètres!$A$1:$I$89,5,0)</f>
        <v>269.69800000000009</v>
      </c>
      <c r="AK82" s="14">
        <f t="shared" si="89"/>
        <v>64.785173091884289</v>
      </c>
      <c r="AL82" s="22">
        <f t="shared" si="58"/>
        <v>582.55819313503196</v>
      </c>
      <c r="AM82" s="62">
        <f t="shared" si="59"/>
        <v>875.89152646836533</v>
      </c>
      <c r="AN82" s="62">
        <f ca="1">AVERAGE(OFFSET($AM$3,0,0,'Données projet'!$E$10+1,1))-AVERAGE(OFFSET($H$3,0,0,'Données projet'!$E$10+1,1))</f>
        <v>221.96671908615446</v>
      </c>
      <c r="AO82" s="62">
        <f t="shared" si="90"/>
        <v>141.9613211447562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1.5561284099030852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2.9483932476076947E-7</v>
      </c>
      <c r="AX82" s="23">
        <f t="shared" si="60"/>
        <v>1.5561287047424099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528.375</v>
      </c>
      <c r="BE82" s="14">
        <f>BD82*VLOOKUP('Données projet'!$B$11,Paramètres!$A$1:$I$89,3,0)*VLOOKUP('Données projet'!$B$11,Paramètres!$A$1:$I$89,5,0)</f>
        <v>315.96825000000001</v>
      </c>
      <c r="BF82" s="14">
        <f t="shared" si="91"/>
        <v>74.513851630905478</v>
      </c>
      <c r="BG82" s="22">
        <f t="shared" si="61"/>
        <v>680.08966034049365</v>
      </c>
      <c r="BH82" s="62">
        <f t="shared" si="62"/>
        <v>973.42299367382702</v>
      </c>
      <c r="BI82" s="62">
        <f ca="1">AVERAGE(OFFSET($BH$3,0,0,'Données projet'!$E$11+1,1))-AVERAGE(OFFSET($H$3,0,0,'Données projet'!$E$11+1,1))</f>
        <v>287.69656598881124</v>
      </c>
      <c r="BJ82" s="62">
        <f t="shared" si="92"/>
        <v>221.9773436301067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3.9757149830895142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5.49410720737454E-7</v>
      </c>
      <c r="BS82" s="24">
        <f t="shared" si="63"/>
        <v>3.9757155325002351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422.5</v>
      </c>
      <c r="L83" s="13">
        <f>VLOOKUP(A83,'Données projet'!$A$35:$I$55,9,0)</f>
        <v>14.579999999999984</v>
      </c>
      <c r="M83" s="13">
        <f t="array" ref="M83">INDEX(L:L,MIN(IF(ISNUMBER(L83:L279),ROW(L83:L279),"")))</f>
        <v>14.579999999999984</v>
      </c>
      <c r="N83" s="14">
        <f>IF('Données projet'!$A$36&gt;35,N82+M83-V82,IF(A83&lt;'Données projet'!$A$36,$K$205^A83,IF(A83='Données projet'!$A$36,'Données projet'!$B$36,N82+M83-V82)))</f>
        <v>422.49999999999966</v>
      </c>
      <c r="O83" s="14">
        <f>N83*VLOOKUP('Données projet'!$B$9,Paramètres!$A$1:$I$89,3,0)*VLOOKUP('Données projet'!$B$9,Paramètres!$A$1:$I$89,5,0)</f>
        <v>197.72999999999985</v>
      </c>
      <c r="P83" s="14">
        <f t="shared" si="87"/>
        <v>49.244959487759623</v>
      </c>
      <c r="Q83" s="22">
        <f t="shared" si="54"/>
        <v>430.14805444118105</v>
      </c>
      <c r="R83" s="62">
        <f t="shared" si="55"/>
        <v>723.48138777451436</v>
      </c>
      <c r="S83" s="62">
        <f ca="1">AVERAGE(OFFSET($R$3,0,0,'Données projet'!$E$9+1,1))-AVERAGE(OFFSET($H$3,0,0,'Données projet'!$E$9+1,1))</f>
        <v>228.57322051753096</v>
      </c>
      <c r="T83" s="62">
        <f t="shared" si="88"/>
        <v>168.91992124331932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460</v>
      </c>
      <c r="AG83" s="13">
        <f>VLOOKUP(A83,'Données projet'!$A$61:$I$81,9,0)</f>
        <v>9</v>
      </c>
      <c r="AH83" s="13">
        <f t="array" ref="AH83">INDEX(AG:AG,MIN(IF(ISNUMBER(AG83:AG279),ROW(AG83:AG279),"")))</f>
        <v>9</v>
      </c>
      <c r="AI83" s="14">
        <f>IF('Données projet'!$A$62&gt;35,AI82+AH83-AQ82,IF(A83&lt;'Données projet'!$A$62,$AF$205^A83,IF(A83='Données projet'!$A$62,'Données projet'!$B$62,AI82+AH83-AQ82)))</f>
        <v>460.00000000000011</v>
      </c>
      <c r="AJ83" s="14">
        <f>AI83*VLOOKUP('Données projet'!$B$10,Paramètres!$A$1:$I$89,3,0)*VLOOKUP('Données projet'!$B$10,Paramètres!$A$1:$I$89,5,0)</f>
        <v>275.0800000000001</v>
      </c>
      <c r="AK83" s="14">
        <f t="shared" si="89"/>
        <v>65.926201134783341</v>
      </c>
      <c r="AL83" s="22">
        <f t="shared" si="58"/>
        <v>593.91913364308118</v>
      </c>
      <c r="AM83" s="62">
        <f t="shared" si="59"/>
        <v>887.25246697641455</v>
      </c>
      <c r="AN83" s="62">
        <f ca="1">AVERAGE(OFFSET($AM$3,0,0,'Données projet'!$E$10+1,1))-AVERAGE(OFFSET($H$3,0,0,'Données projet'!$E$10+1,1))</f>
        <v>221.96671908615446</v>
      </c>
      <c r="AO83" s="62">
        <f t="shared" si="90"/>
        <v>141.9613211447562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460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1.5256136809294956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2.0848288589880284E-7</v>
      </c>
      <c r="AX83" s="23">
        <f t="shared" si="60"/>
        <v>1.5256138894123814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537.25</v>
      </c>
      <c r="BE83" s="14">
        <f>BD83*VLOOKUP('Données projet'!$B$11,Paramètres!$A$1:$I$89,3,0)*VLOOKUP('Données projet'!$B$11,Paramètres!$A$1:$I$89,5,0)</f>
        <v>321.27550000000002</v>
      </c>
      <c r="BF83" s="14">
        <f t="shared" si="91"/>
        <v>75.618684768443416</v>
      </c>
      <c r="BG83" s="22">
        <f t="shared" si="61"/>
        <v>691.25737180503893</v>
      </c>
      <c r="BH83" s="62">
        <f t="shared" si="62"/>
        <v>984.59070513837219</v>
      </c>
      <c r="BI83" s="62">
        <f ca="1">AVERAGE(OFFSET($BH$3,0,0,'Données projet'!$E$11+1,1))-AVERAGE(OFFSET($H$3,0,0,'Données projet'!$E$11+1,1))</f>
        <v>287.69656598881124</v>
      </c>
      <c r="BJ83" s="62">
        <f t="shared" si="92"/>
        <v>221.9773436301067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3.897753637217825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3.8849204629004226E-7</v>
      </c>
      <c r="BS83" s="24">
        <f t="shared" si="63"/>
        <v>3.8977540257098711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14.16</v>
      </c>
      <c r="N84" s="14">
        <f>IF('Données projet'!$A$36&gt;35,N83+M84-V83,IF(A84&lt;'Données projet'!$A$36,$K$205^A84,IF(A84='Données projet'!$A$36,'Données projet'!$B$36,N83+M84-V83)))</f>
        <v>436.65999999999968</v>
      </c>
      <c r="O84" s="14">
        <f>N84*VLOOKUP('Données projet'!$B$9,Paramètres!$A$1:$I$89,3,0)*VLOOKUP('Données projet'!$B$9,Paramètres!$A$1:$I$89,5,0)</f>
        <v>204.35687999999985</v>
      </c>
      <c r="P84" s="14">
        <f t="shared" si="87"/>
        <v>50.70047382771854</v>
      </c>
      <c r="Q84" s="22">
        <f t="shared" si="54"/>
        <v>444.22489124994286</v>
      </c>
      <c r="R84" s="62">
        <f t="shared" si="55"/>
        <v>737.55822458327611</v>
      </c>
      <c r="S84" s="62">
        <f ca="1">AVERAGE(OFFSET($R$3,0,0,'Données projet'!$E$9+1,1))-AVERAGE(OFFSET($H$3,0,0,'Données projet'!$E$9+1,1))</f>
        <v>228.57322051753096</v>
      </c>
      <c r="T84" s="62">
        <f t="shared" si="88"/>
        <v>168.91992124331932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221.96671908615446</v>
      </c>
      <c r="AO84" s="62">
        <f t="shared" si="90"/>
        <v>141.9613211447562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1.4956973271789311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1.4741966238038473E-7</v>
      </c>
      <c r="AX84" s="23">
        <f t="shared" si="60"/>
        <v>1.4956974745985936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546.125</v>
      </c>
      <c r="BE84" s="14">
        <f>BD84*VLOOKUP('Données projet'!$B$11,Paramètres!$A$1:$I$89,3,0)*VLOOKUP('Données projet'!$B$11,Paramètres!$A$1:$I$89,5,0)</f>
        <v>326.58275000000003</v>
      </c>
      <c r="BF84" s="14">
        <f t="shared" si="91"/>
        <v>76.72139541907876</v>
      </c>
      <c r="BG84" s="22">
        <f t="shared" si="61"/>
        <v>702.42138660489547</v>
      </c>
      <c r="BH84" s="62">
        <f t="shared" si="62"/>
        <v>995.75471993822885</v>
      </c>
      <c r="BI84" s="62">
        <f ca="1">AVERAGE(OFFSET($BH$3,0,0,'Données projet'!$E$11+1,1))-AVERAGE(OFFSET($H$3,0,0,'Données projet'!$E$11+1,1))</f>
        <v>287.69656598881124</v>
      </c>
      <c r="BJ84" s="62">
        <f t="shared" si="92"/>
        <v>221.9773436301067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3.8213210657869539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2.74705360368727E-7</v>
      </c>
      <c r="BS84" s="24">
        <f t="shared" si="63"/>
        <v>3.8213213404923141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14.16</v>
      </c>
      <c r="N85" s="14">
        <f>IF('Données projet'!$A$36&gt;35,N84+M85-V84,IF(A85&lt;'Données projet'!$A$36,$K$205^A85,IF(A85='Données projet'!$A$36,'Données projet'!$B$36,N84+M85-V84)))</f>
        <v>450.81999999999971</v>
      </c>
      <c r="O85" s="14">
        <f>N85*VLOOKUP('Données projet'!$B$9,Paramètres!$A$1:$I$89,3,0)*VLOOKUP('Données projet'!$B$9,Paramètres!$A$1:$I$89,5,0)</f>
        <v>210.98375999999985</v>
      </c>
      <c r="P85" s="14">
        <f t="shared" si="87"/>
        <v>52.150503499682415</v>
      </c>
      <c r="Q85" s="22">
        <f t="shared" si="54"/>
        <v>458.29217559527996</v>
      </c>
      <c r="R85" s="62">
        <f t="shared" si="55"/>
        <v>751.62550892861327</v>
      </c>
      <c r="S85" s="62">
        <f ca="1">AVERAGE(OFFSET($R$3,0,0,'Données projet'!$E$9+1,1))-AVERAGE(OFFSET($H$3,0,0,'Données projet'!$E$9+1,1))</f>
        <v>228.57322051753096</v>
      </c>
      <c r="T85" s="62">
        <f t="shared" si="88"/>
        <v>168.91992124331932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221.96671908615446</v>
      </c>
      <c r="AO85" s="62">
        <f t="shared" si="90"/>
        <v>141.9613211447562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1.4663676148782412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1.0424144294940142E-7</v>
      </c>
      <c r="AX85" s="23">
        <f t="shared" si="60"/>
        <v>1.4663677191196842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555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555</v>
      </c>
      <c r="BE85" s="14">
        <f>BD85*VLOOKUP('Données projet'!$B$11,Paramètres!$A$1:$I$89,3,0)*VLOOKUP('Données projet'!$B$11,Paramètres!$A$1:$I$89,5,0)</f>
        <v>331.89000000000004</v>
      </c>
      <c r="BF85" s="14">
        <f t="shared" si="91"/>
        <v>77.822022056956186</v>
      </c>
      <c r="BG85" s="22">
        <f t="shared" si="61"/>
        <v>713.58177174919865</v>
      </c>
      <c r="BH85" s="62">
        <f t="shared" si="62"/>
        <v>1006.9151050825319</v>
      </c>
      <c r="BI85" s="62">
        <f ca="1">AVERAGE(OFFSET($BH$3,0,0,'Données projet'!$E$11+1,1))-AVERAGE(OFFSET($H$3,0,0,'Données projet'!$E$11+1,1))</f>
        <v>287.69656598881124</v>
      </c>
      <c r="BJ85" s="62">
        <f t="shared" si="92"/>
        <v>221.9773436301067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555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3.746387290462577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1.9424602314502113E-7</v>
      </c>
      <c r="BS85" s="24">
        <f t="shared" si="63"/>
        <v>3.7463874847086003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14.16</v>
      </c>
      <c r="N86" s="14">
        <f>IF('Données projet'!$A$36&gt;35,N85+M86-V85,IF(A86&lt;'Données projet'!$A$36,$K$205^A86,IF(A86='Données projet'!$A$36,'Données projet'!$B$36,N85+M86-V85)))</f>
        <v>464.97999999999973</v>
      </c>
      <c r="O86" s="14">
        <f>N86*VLOOKUP('Données projet'!$B$9,Paramètres!$A$1:$I$89,3,0)*VLOOKUP('Données projet'!$B$9,Paramètres!$A$1:$I$89,5,0)</f>
        <v>217.61063999999988</v>
      </c>
      <c r="P86" s="14">
        <f t="shared" si="87"/>
        <v>53.595240539151249</v>
      </c>
      <c r="Q86" s="22">
        <f t="shared" si="54"/>
        <v>472.35024193902149</v>
      </c>
      <c r="R86" s="62">
        <f t="shared" si="55"/>
        <v>765.6835752723548</v>
      </c>
      <c r="S86" s="62">
        <f ca="1">AVERAGE(OFFSET($R$3,0,0,'Données projet'!$E$9+1,1))-AVERAGE(OFFSET($H$3,0,0,'Données projet'!$E$9+1,1))</f>
        <v>228.57322051753096</v>
      </c>
      <c r="T86" s="62">
        <f t="shared" si="88"/>
        <v>168.91992124331932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221.96671908615446</v>
      </c>
      <c r="AO86" s="62">
        <f t="shared" si="90"/>
        <v>141.9613211447562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1.4376130403464098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7.3709831190192366E-8</v>
      </c>
      <c r="AX86" s="23">
        <f t="shared" si="60"/>
        <v>1.4376131140562409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287.69656598881124</v>
      </c>
      <c r="BJ86" s="62">
        <f t="shared" si="92"/>
        <v>221.9773436301067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3.6729229207672209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1.373526801843635E-7</v>
      </c>
      <c r="BS86" s="24">
        <f t="shared" si="63"/>
        <v>3.6729230581199013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14.16</v>
      </c>
      <c r="N87" s="14">
        <f>IF('Données projet'!$A$36&gt;35,N86+M87-V86,IF(A87&lt;'Données projet'!$A$36,$K$205^A87,IF(A87='Données projet'!$A$36,'Données projet'!$B$36,N86+M87-V86)))</f>
        <v>479.13999999999976</v>
      </c>
      <c r="O87" s="14">
        <f>N87*VLOOKUP('Données projet'!$B$9,Paramètres!$A$1:$I$89,3,0)*VLOOKUP('Données projet'!$B$9,Paramètres!$A$1:$I$89,5,0)</f>
        <v>224.23751999999988</v>
      </c>
      <c r="P87" s="14">
        <f t="shared" si="87"/>
        <v>55.034864620946642</v>
      </c>
      <c r="Q87" s="22">
        <f t="shared" si="54"/>
        <v>486.39940321481521</v>
      </c>
      <c r="R87" s="62">
        <f t="shared" si="55"/>
        <v>779.73273654814852</v>
      </c>
      <c r="S87" s="62">
        <f ca="1">AVERAGE(OFFSET($R$3,0,0,'Données projet'!$E$9+1,1))-AVERAGE(OFFSET($H$3,0,0,'Données projet'!$E$9+1,1))</f>
        <v>228.57322051753096</v>
      </c>
      <c r="T87" s="62">
        <f t="shared" si="88"/>
        <v>168.91992124331932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221.96671908615446</v>
      </c>
      <c r="AO87" s="62">
        <f t="shared" si="90"/>
        <v>141.9613211447562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1.4094223254825888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5.212072147470071E-8</v>
      </c>
      <c r="AX87" s="23">
        <f t="shared" si="60"/>
        <v>1.4094223776033104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287.69656598881124</v>
      </c>
      <c r="BJ87" s="62">
        <f t="shared" si="92"/>
        <v>221.9773436301067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3.6008991425527501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9.7123011572510564E-8</v>
      </c>
      <c r="BS87" s="24">
        <f t="shared" si="63"/>
        <v>3.6008992396757615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14.16</v>
      </c>
      <c r="N88" s="14">
        <f>IF('Données projet'!$A$36&gt;35,N87+M88-V87,IF(A88&lt;'Données projet'!$A$36,$K$205^A88,IF(A88='Données projet'!$A$36,'Données projet'!$B$36,N87+M88-V87)))</f>
        <v>493.29999999999978</v>
      </c>
      <c r="O88" s="14">
        <f>N88*VLOOKUP('Données projet'!$B$9,Paramètres!$A$1:$I$89,3,0)*VLOOKUP('Données projet'!$B$9,Paramètres!$A$1:$I$89,5,0)</f>
        <v>230.86439999999988</v>
      </c>
      <c r="P88" s="14">
        <f t="shared" si="87"/>
        <v>56.469544196332308</v>
      </c>
      <c r="Q88" s="22">
        <f t="shared" si="54"/>
        <v>500.43995280861191</v>
      </c>
      <c r="R88" s="62">
        <f t="shared" si="55"/>
        <v>793.77328614194516</v>
      </c>
      <c r="S88" s="62">
        <f ca="1">AVERAGE(OFFSET($R$3,0,0,'Données projet'!$E$9+1,1))-AVERAGE(OFFSET($H$3,0,0,'Données projet'!$E$9+1,1))</f>
        <v>228.57322051753096</v>
      </c>
      <c r="T88" s="62">
        <f t="shared" si="88"/>
        <v>168.91992124331932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221.96671908615446</v>
      </c>
      <c r="AO88" s="62">
        <f t="shared" si="90"/>
        <v>141.9613211447562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1.3817844133426092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3.6854915595096183E-8</v>
      </c>
      <c r="AX88" s="23">
        <f t="shared" si="60"/>
        <v>1.3817844501975247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287.69656598881124</v>
      </c>
      <c r="BJ88" s="62">
        <f t="shared" si="92"/>
        <v>221.9773436301067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3.530287706698898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6.867634009218175E-8</v>
      </c>
      <c r="BS88" s="24">
        <f t="shared" si="63"/>
        <v>3.5302877753752382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14.16</v>
      </c>
      <c r="N89" s="14">
        <f>IF('Données projet'!$A$36&gt;35,N88+M89-V88,IF(A89&lt;'Données projet'!$A$36,$K$205^A89,IF(A89='Données projet'!$A$36,'Données projet'!$B$36,N88+M89-V88)))</f>
        <v>507.45999999999981</v>
      </c>
      <c r="O89" s="14">
        <f>N89*VLOOKUP('Données projet'!$B$9,Paramètres!$A$1:$I$89,3,0)*VLOOKUP('Données projet'!$B$9,Paramètres!$A$1:$I$89,5,0)</f>
        <v>237.49127999999993</v>
      </c>
      <c r="P89" s="14">
        <f t="shared" si="87"/>
        <v>57.899437495902355</v>
      </c>
      <c r="Q89" s="22">
        <f t="shared" si="54"/>
        <v>514.47216630536309</v>
      </c>
      <c r="R89" s="62">
        <f t="shared" si="55"/>
        <v>807.80549963869635</v>
      </c>
      <c r="S89" s="62">
        <f ca="1">AVERAGE(OFFSET($R$3,0,0,'Données projet'!$E$9+1,1))-AVERAGE(OFFSET($H$3,0,0,'Données projet'!$E$9+1,1))</f>
        <v>228.57322051753096</v>
      </c>
      <c r="T89" s="62">
        <f t="shared" si="88"/>
        <v>168.91992124331932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221.96671908615446</v>
      </c>
      <c r="AO89" s="62">
        <f t="shared" si="90"/>
        <v>141.9613211447562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1.3546884638022325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2.6060360737350355E-8</v>
      </c>
      <c r="AX89" s="23">
        <f t="shared" si="60"/>
        <v>1.3546884898625933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287.69656598881124</v>
      </c>
      <c r="BJ89" s="62">
        <f t="shared" si="92"/>
        <v>221.9773436301067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3.4610609180334166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4.8561505786255282E-8</v>
      </c>
      <c r="BS89" s="24">
        <f t="shared" si="63"/>
        <v>3.4610609665949226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521.62</v>
      </c>
      <c r="L90" s="13">
        <f>VLOOKUP(A90,'Données projet'!$A$35:$I$55,9,0)</f>
        <v>14.16</v>
      </c>
      <c r="M90" s="13">
        <f t="array" ref="M90">INDEX(L:L,MIN(IF(ISNUMBER(L90:L286),ROW(L90:L286),"")))</f>
        <v>14.16</v>
      </c>
      <c r="N90" s="14">
        <f>IF('Données projet'!$A$36&gt;35,N89+M90-V89,IF(A90&lt;'Données projet'!$A$36,$K$205^A90,IF(A90='Données projet'!$A$36,'Données projet'!$B$36,N89+M90-V89)))</f>
        <v>521.61999999999978</v>
      </c>
      <c r="O90" s="14">
        <f>N90*VLOOKUP('Données projet'!$B$9,Paramètres!$A$1:$I$89,3,0)*VLOOKUP('Données projet'!$B$9,Paramètres!$A$1:$I$89,5,0)</f>
        <v>244.11815999999988</v>
      </c>
      <c r="P90" s="14">
        <f t="shared" si="87"/>
        <v>59.324693417385667</v>
      </c>
      <c r="Q90" s="22">
        <f t="shared" si="54"/>
        <v>528.49630303527977</v>
      </c>
      <c r="R90" s="62">
        <f t="shared" si="55"/>
        <v>821.82963636861314</v>
      </c>
      <c r="S90" s="62">
        <f ca="1">AVERAGE(OFFSET($R$3,0,0,'Données projet'!$E$9+1,1))-AVERAGE(OFFSET($H$3,0,0,'Données projet'!$E$9+1,1))</f>
        <v>228.57322051753096</v>
      </c>
      <c r="T90" s="62">
        <f t="shared" si="88"/>
        <v>168.91992124331932</v>
      </c>
      <c r="U90" s="16">
        <f>IF(ISNA(VLOOKUP(A90,'Données projet'!$A$35:$I$55,3,0)),0,VLOOKUP(A90,'Données projet'!$A$35:$I$55,3,0))</f>
        <v>15</v>
      </c>
      <c r="V90" s="16">
        <f>IF(ISNA(VLOOKUP(A90,'Données projet'!$A$35:$I$55,4,0)),0,VLOOKUP(A90,'Données projet'!$A$35:$I$55,4,0))</f>
        <v>88.62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221.96671908615446</v>
      </c>
      <c r="AO90" s="62">
        <f t="shared" si="90"/>
        <v>141.9613211447562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1.3281238493054455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1.8427457797548092E-8</v>
      </c>
      <c r="AX90" s="23">
        <f t="shared" si="60"/>
        <v>1.3281238677329033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287.69656598881124</v>
      </c>
      <c r="BJ90" s="62">
        <f t="shared" si="92"/>
        <v>221.9773436301067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3.3931916244694937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3.4338170046090875E-8</v>
      </c>
      <c r="BS90" s="24">
        <f t="shared" si="63"/>
        <v>3.3931916588076638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446.67</v>
      </c>
      <c r="L91" s="13">
        <f>VLOOKUP(A91,'Données projet'!$A$35:$I$55,9,0)</f>
        <v>13.670000000000016</v>
      </c>
      <c r="M91" s="13">
        <f t="array" ref="M91">INDEX(L:L,MIN(IF(ISNUMBER(L91:L287),ROW(L91:L287),"")))</f>
        <v>13.670000000000016</v>
      </c>
      <c r="N91" s="14">
        <f>IF('Données projet'!$A$36&gt;35,N90+M91-V90,IF(A91&lt;'Données projet'!$A$36,$K$205^A91,IF(A91='Données projet'!$A$36,'Données projet'!$B$36,N90+M91-V90)))</f>
        <v>446.66999999999973</v>
      </c>
      <c r="O91" s="14">
        <f>N91*VLOOKUP('Données projet'!$B$9,Paramètres!$A$1:$I$89,3,0)*VLOOKUP('Données projet'!$B$9,Paramètres!$A$1:$I$89,5,0)</f>
        <v>209.04155999999989</v>
      </c>
      <c r="P91" s="14">
        <f t="shared" si="87"/>
        <v>51.72608671626201</v>
      </c>
      <c r="Q91" s="22">
        <f t="shared" si="54"/>
        <v>454.17031803082273</v>
      </c>
      <c r="R91" s="62">
        <f t="shared" si="55"/>
        <v>747.50365136415598</v>
      </c>
      <c r="S91" s="62">
        <f ca="1">AVERAGE(OFFSET($R$3,0,0,'Données projet'!$E$9+1,1))-AVERAGE(OFFSET($H$3,0,0,'Données projet'!$E$9+1,1))</f>
        <v>228.57322051753096</v>
      </c>
      <c r="T91" s="62">
        <f t="shared" si="88"/>
        <v>168.91992124331932</v>
      </c>
      <c r="U91" s="16">
        <f>IF(ISNA(VLOOKUP(A91,'Données projet'!$A$35:$I$55,3,0)),0,VLOOKUP(A91,'Données projet'!$A$35:$I$55,3,0))</f>
        <v>16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221.96671908615446</v>
      </c>
      <c r="AO91" s="62">
        <f t="shared" si="90"/>
        <v>141.9613211447562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1.3020801506961255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1.3030180368675178E-8</v>
      </c>
      <c r="AX91" s="23">
        <f t="shared" si="60"/>
        <v>1.3020801637263058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287.69656598881124</v>
      </c>
      <c r="BJ91" s="62">
        <f t="shared" si="92"/>
        <v>221.9773436301067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3.3266532063561778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2.4280752893127641E-8</v>
      </c>
      <c r="BS91" s="24">
        <f t="shared" si="63"/>
        <v>3.3266532306369307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13.046666666666672</v>
      </c>
      <c r="N92" s="14">
        <f>IF('Données projet'!$A$36&gt;35,N91+M92-V91,IF(A92&lt;'Données projet'!$A$36,$K$205^A92,IF(A92='Données projet'!$A$36,'Données projet'!$B$36,N91+M92-V91)))</f>
        <v>459.71666666666641</v>
      </c>
      <c r="O92" s="14">
        <f>N92*VLOOKUP('Données projet'!$B$9,Paramètres!$A$1:$I$89,3,0)*VLOOKUP('Données projet'!$B$9,Paramètres!$A$1:$I$89,5,0)</f>
        <v>215.14739999999989</v>
      </c>
      <c r="P92" s="14">
        <f t="shared" si="87"/>
        <v>53.058831902483895</v>
      </c>
      <c r="Q92" s="22">
        <f t="shared" si="54"/>
        <v>467.12585389682596</v>
      </c>
      <c r="R92" s="62">
        <f t="shared" si="55"/>
        <v>760.45918723015927</v>
      </c>
      <c r="S92" s="62">
        <f ca="1">AVERAGE(OFFSET($R$3,0,0,'Données projet'!$E$9+1,1))-AVERAGE(OFFSET($H$3,0,0,'Données projet'!$E$9+1,1))</f>
        <v>228.57322051753096</v>
      </c>
      <c r="T92" s="62">
        <f t="shared" si="88"/>
        <v>168.91992124331932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221.96671908615446</v>
      </c>
      <c r="AO92" s="62">
        <f t="shared" si="90"/>
        <v>141.9613211447562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1.2765471531314465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9.2137288987740458E-9</v>
      </c>
      <c r="AX92" s="23">
        <f t="shared" si="60"/>
        <v>1.2765471623451754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287.69656598881124</v>
      </c>
      <c r="BJ92" s="62">
        <f t="shared" si="92"/>
        <v>221.9773436301067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3.2614195660376364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1.7169085023045438E-8</v>
      </c>
      <c r="BS92" s="24">
        <f t="shared" si="63"/>
        <v>3.2614195832067212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13.046666666666672</v>
      </c>
      <c r="N93" s="14">
        <f>IF('Données projet'!$A$36&gt;35,N92+M93-V92,IF(A93&lt;'Données projet'!$A$36,$K$205^A93,IF(A93='Données projet'!$A$36,'Données projet'!$B$36,N92+M93-V92)))</f>
        <v>472.76333333333309</v>
      </c>
      <c r="O93" s="14">
        <f>N93*VLOOKUP('Données projet'!$B$9,Paramètres!$A$1:$I$89,3,0)*VLOOKUP('Données projet'!$B$9,Paramètres!$A$1:$I$89,5,0)</f>
        <v>221.25323999999989</v>
      </c>
      <c r="P93" s="14">
        <f t="shared" si="87"/>
        <v>54.387181127035049</v>
      </c>
      <c r="Q93" s="22">
        <f t="shared" si="54"/>
        <v>480.07373346291911</v>
      </c>
      <c r="R93" s="62">
        <f t="shared" si="55"/>
        <v>773.40706679625237</v>
      </c>
      <c r="S93" s="62">
        <f ca="1">AVERAGE(OFFSET($R$3,0,0,'Données projet'!$E$9+1,1))-AVERAGE(OFFSET($H$3,0,0,'Données projet'!$E$9+1,1))</f>
        <v>228.57322051753096</v>
      </c>
      <c r="T93" s="62">
        <f t="shared" si="88"/>
        <v>168.91992124331932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221.96671908615446</v>
      </c>
      <c r="AO93" s="62">
        <f t="shared" si="90"/>
        <v>141.9613211447562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1.2515148420754203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6.5150901843375888E-9</v>
      </c>
      <c r="AX93" s="23">
        <f t="shared" si="60"/>
        <v>1.2515148485905105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287.69656598881124</v>
      </c>
      <c r="BJ93" s="62">
        <f t="shared" si="92"/>
        <v>221.9773436301067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3.1974651176171496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1.2140376446563821E-8</v>
      </c>
      <c r="BS93" s="24">
        <f t="shared" si="63"/>
        <v>3.1974651297575258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13.046666666666672</v>
      </c>
      <c r="N94" s="14">
        <f>IF('Données projet'!$A$36&gt;35,N93+M94-V93,IF(A94&lt;'Données projet'!$A$36,$K$205^A94,IF(A94='Données projet'!$A$36,'Données projet'!$B$36,N93+M94-V93)))</f>
        <v>485.80999999999977</v>
      </c>
      <c r="O94" s="14">
        <f>N94*VLOOKUP('Données projet'!$B$9,Paramètres!$A$1:$I$89,3,0)*VLOOKUP('Données projet'!$B$9,Paramètres!$A$1:$I$89,5,0)</f>
        <v>227.35907999999992</v>
      </c>
      <c r="P94" s="14">
        <f t="shared" si="87"/>
        <v>55.711269641958147</v>
      </c>
      <c r="Q94" s="22">
        <f t="shared" si="54"/>
        <v>493.01419229307686</v>
      </c>
      <c r="R94" s="62">
        <f t="shared" si="55"/>
        <v>786.34752562641017</v>
      </c>
      <c r="S94" s="62">
        <f ca="1">AVERAGE(OFFSET($R$3,0,0,'Données projet'!$E$9+1,1))-AVERAGE(OFFSET($H$3,0,0,'Données projet'!$E$9+1,1))</f>
        <v>228.57322051753096</v>
      </c>
      <c r="T94" s="62">
        <f t="shared" si="88"/>
        <v>168.91992124331932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221.96671908615446</v>
      </c>
      <c r="AO94" s="62">
        <f t="shared" si="90"/>
        <v>141.9613211447562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1.2269733993710006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4.6068644493870229E-9</v>
      </c>
      <c r="AX94" s="23">
        <f t="shared" si="60"/>
        <v>1.226973403977865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287.69656598881124</v>
      </c>
      <c r="BJ94" s="62">
        <f t="shared" si="92"/>
        <v>221.9773436301067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3.1347647769218265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8.5845425115227188E-9</v>
      </c>
      <c r="BS94" s="24">
        <f t="shared" si="63"/>
        <v>3.1347647855063689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13.046666666666672</v>
      </c>
      <c r="N95" s="14">
        <f>IF('Données projet'!$A$36&gt;35,N94+M95-V94,IF(A95&lt;'Données projet'!$A$36,$K$205^A95,IF(A95='Données projet'!$A$36,'Données projet'!$B$36,N94+M95-V94)))</f>
        <v>498.85666666666646</v>
      </c>
      <c r="O95" s="14">
        <f>N95*VLOOKUP('Données projet'!$B$9,Paramètres!$A$1:$I$89,3,0)*VLOOKUP('Données projet'!$B$9,Paramètres!$A$1:$I$89,5,0)</f>
        <v>233.46491999999989</v>
      </c>
      <c r="P95" s="14">
        <f t="shared" si="87"/>
        <v>57.031225021195233</v>
      </c>
      <c r="Q95" s="22">
        <f t="shared" si="54"/>
        <v>505.94745257858148</v>
      </c>
      <c r="R95" s="62">
        <f t="shared" si="55"/>
        <v>799.28078591191479</v>
      </c>
      <c r="S95" s="62">
        <f ca="1">AVERAGE(OFFSET($R$3,0,0,'Données projet'!$E$9+1,1))-AVERAGE(OFFSET($H$3,0,0,'Données projet'!$E$9+1,1))</f>
        <v>228.57322051753096</v>
      </c>
      <c r="T95" s="62">
        <f t="shared" si="88"/>
        <v>168.91992124331932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221.96671908615446</v>
      </c>
      <c r="AO95" s="62">
        <f t="shared" si="90"/>
        <v>141.9613211447562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1.2029131993892126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3.2575450921687944E-9</v>
      </c>
      <c r="AX95" s="23">
        <f t="shared" si="60"/>
        <v>1.2029132026467577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287.69656598881124</v>
      </c>
      <c r="BJ95" s="62">
        <f t="shared" si="92"/>
        <v>221.9773436301067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3.0732939516641076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6.0701882232819103E-9</v>
      </c>
      <c r="BS95" s="24">
        <f t="shared" si="63"/>
        <v>3.0732939577342959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13.046666666666672</v>
      </c>
      <c r="N96" s="14">
        <f>IF('Données projet'!$A$36&gt;35,N95+M96-V95,IF(A96&lt;'Données projet'!$A$36,$K$205^A96,IF(A96='Données projet'!$A$36,'Données projet'!$B$36,N95+M96-V95)))</f>
        <v>511.90333333333314</v>
      </c>
      <c r="O96" s="14">
        <f>N96*VLOOKUP('Données projet'!$B$9,Paramètres!$A$1:$I$89,3,0)*VLOOKUP('Données projet'!$B$9,Paramètres!$A$1:$I$89,5,0)</f>
        <v>239.57075999999989</v>
      </c>
      <c r="P96" s="14">
        <f t="shared" si="87"/>
        <v>58.347167785717573</v>
      </c>
      <c r="Q96" s="22">
        <f t="shared" si="54"/>
        <v>518.87372422679118</v>
      </c>
      <c r="R96" s="62">
        <f t="shared" si="55"/>
        <v>812.20705756012444</v>
      </c>
      <c r="S96" s="62">
        <f ca="1">AVERAGE(OFFSET($R$3,0,0,'Données projet'!$E$9+1,1))-AVERAGE(OFFSET($H$3,0,0,'Données projet'!$E$9+1,1))</f>
        <v>228.57322051753096</v>
      </c>
      <c r="T96" s="62">
        <f t="shared" si="88"/>
        <v>168.91992124331932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221.96671908615446</v>
      </c>
      <c r="AO96" s="62">
        <f t="shared" si="90"/>
        <v>141.9613211447562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1.1793248052537944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2.3034322246935114E-9</v>
      </c>
      <c r="AX96" s="23">
        <f t="shared" si="60"/>
        <v>1.1793248075572267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287.69656598881124</v>
      </c>
      <c r="BJ96" s="62">
        <f t="shared" si="92"/>
        <v>221.9773436301067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3.0130285317961909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4.2922712557613594E-9</v>
      </c>
      <c r="BS96" s="24">
        <f t="shared" si="63"/>
        <v>3.0130285360884623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524.95000000000005</v>
      </c>
      <c r="L97" s="13">
        <f>VLOOKUP(A97,'Données projet'!$A$35:$I$55,9,0)</f>
        <v>13.046666666666672</v>
      </c>
      <c r="M97" s="13">
        <f t="array" ref="M97">INDEX(L:L,MIN(IF(ISNUMBER(L97:L293),ROW(L97:L293),"")))</f>
        <v>13.046666666666672</v>
      </c>
      <c r="N97" s="14">
        <f>IF('Données projet'!$A$36&gt;35,N96+M97-V96,IF(A97&lt;'Données projet'!$A$36,$K$205^A97,IF(A97='Données projet'!$A$36,'Données projet'!$B$36,N96+M97-V96)))</f>
        <v>524.94999999999982</v>
      </c>
      <c r="O97" s="14">
        <f>N97*VLOOKUP('Données projet'!$B$9,Paramètres!$A$1:$I$89,3,0)*VLOOKUP('Données projet'!$B$9,Paramètres!$A$1:$I$89,5,0)</f>
        <v>245.67659999999989</v>
      </c>
      <c r="P97" s="14">
        <f t="shared" si="87"/>
        <v>59.659211963131973</v>
      </c>
      <c r="Q97" s="22">
        <f t="shared" si="54"/>
        <v>531.79320583578794</v>
      </c>
      <c r="R97" s="62">
        <f t="shared" si="55"/>
        <v>825.12653916912132</v>
      </c>
      <c r="S97" s="62">
        <f ca="1">AVERAGE(OFFSET($R$3,0,0,'Données projet'!$E$9+1,1))-AVERAGE(OFFSET($H$3,0,0,'Données projet'!$E$9+1,1))</f>
        <v>228.57322051753096</v>
      </c>
      <c r="T97" s="62">
        <f t="shared" si="88"/>
        <v>168.91992124331932</v>
      </c>
      <c r="U97" s="16">
        <f>IF(ISNA(VLOOKUP(A97,'Données projet'!$A$35:$I$55,3,0)),0,VLOOKUP(A97,'Données projet'!$A$35:$I$55,3,0))</f>
        <v>17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221.96671908615446</v>
      </c>
      <c r="AO97" s="62">
        <f t="shared" si="90"/>
        <v>141.9613211447562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1.1561989651398721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1.6287725460843972E-9</v>
      </c>
      <c r="AX97" s="23">
        <f t="shared" si="60"/>
        <v>1.1561989667686445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287.69656598881124</v>
      </c>
      <c r="BJ97" s="62">
        <f t="shared" si="92"/>
        <v>221.9773436301067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2.9539448800536077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3.0350941116409551E-9</v>
      </c>
      <c r="BS97" s="24">
        <f t="shared" si="63"/>
        <v>2.9539448830887016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538.28</v>
      </c>
      <c r="L98" s="13">
        <f>VLOOKUP(A98,'Données projet'!$A$35:$I$55,9,0)</f>
        <v>13.329999999999927</v>
      </c>
      <c r="M98" s="13">
        <f t="array" ref="M98">INDEX(L:L,MIN(IF(ISNUMBER(L98:L294),ROW(L98:L294),"")))</f>
        <v>13.329999999999927</v>
      </c>
      <c r="N98" s="14">
        <f>IF('Données projet'!$A$36&gt;35,N97+M98-V97,IF(A98&lt;'Données projet'!$A$36,$K$205^A98,IF(A98='Données projet'!$A$36,'Données projet'!$B$36,N97+M98-V97)))</f>
        <v>538.27999999999975</v>
      </c>
      <c r="O98" s="14">
        <f>N98*VLOOKUP('Données projet'!$B$9,Paramètres!$A$1:$I$89,3,0)*VLOOKUP('Données projet'!$B$9,Paramètres!$A$1:$I$89,5,0)</f>
        <v>251.91503999999989</v>
      </c>
      <c r="P98" s="14">
        <f t="shared" si="87"/>
        <v>60.995835543729605</v>
      </c>
      <c r="Q98" s="22">
        <f t="shared" si="54"/>
        <v>544.98644157199544</v>
      </c>
      <c r="R98" s="62">
        <f t="shared" si="55"/>
        <v>838.31977490532881</v>
      </c>
      <c r="S98" s="62">
        <f ca="1">AVERAGE(OFFSET($R$3,0,0,'Données projet'!$E$9+1,1))-AVERAGE(OFFSET($H$3,0,0,'Données projet'!$E$9+1,1))</f>
        <v>228.57322051753096</v>
      </c>
      <c r="T98" s="62">
        <f t="shared" si="88"/>
        <v>168.91992124331932</v>
      </c>
      <c r="U98" s="16">
        <f>IF(ISNA(VLOOKUP(A98,'Données projet'!$A$35:$I$55,3,0)),0,VLOOKUP(A98,'Données projet'!$A$35:$I$55,3,0))</f>
        <v>18</v>
      </c>
      <c r="V98" s="16">
        <f>IF(ISNA(VLOOKUP(A98,'Données projet'!$A$35:$I$55,4,0)),0,VLOOKUP(A98,'Données projet'!$A$35:$I$55,4,0))</f>
        <v>268.81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221.96671908615446</v>
      </c>
      <c r="AO98" s="62">
        <f t="shared" si="90"/>
        <v>141.9613211447562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1.133526608645214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1.1517161123467557E-9</v>
      </c>
      <c r="AX98" s="23">
        <f t="shared" si="60"/>
        <v>1.1335266097969301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287.69656598881124</v>
      </c>
      <c r="BJ98" s="62">
        <f t="shared" si="92"/>
        <v>221.9773436301067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2.8960198226842273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2.1461356278806797E-9</v>
      </c>
      <c r="BS98" s="24">
        <f t="shared" si="63"/>
        <v>2.896019824830363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280.02999999999997</v>
      </c>
      <c r="L99" s="13">
        <f>VLOOKUP(A99,'Données projet'!$A$35:$I$55,9,0)</f>
        <v>10.560000000000002</v>
      </c>
      <c r="M99" s="13">
        <f t="array" ref="M99">INDEX(L:L,MIN(IF(ISNUMBER(L99:L295),ROW(L99:L295),"")))</f>
        <v>10.560000000000002</v>
      </c>
      <c r="N99" s="14">
        <f>IF('Données projet'!$A$36&gt;35,N98+M99-V98,IF(A99&lt;'Données projet'!$A$36,$K$205^A99,IF(A99='Données projet'!$A$36,'Données projet'!$B$36,N98+M99-V98)))</f>
        <v>280.02999999999969</v>
      </c>
      <c r="O99" s="14">
        <f>N99*VLOOKUP('Données projet'!$B$9,Paramètres!$A$1:$I$89,3,0)*VLOOKUP('Données projet'!$B$9,Paramètres!$A$1:$I$89,5,0)</f>
        <v>131.05403999999984</v>
      </c>
      <c r="P99" s="14">
        <f t="shared" si="87"/>
        <v>34.239802442901187</v>
      </c>
      <c r="Q99" s="22">
        <f t="shared" ref="Q99:Q130" si="107">(O99+P99)*0.475*44/12</f>
        <v>287.88677558805261</v>
      </c>
      <c r="R99" s="62">
        <f t="shared" si="55"/>
        <v>581.22010892138587</v>
      </c>
      <c r="S99" s="62">
        <f ca="1">AVERAGE(OFFSET($R$3,0,0,'Données projet'!$E$9+1,1))-AVERAGE(OFFSET($H$3,0,0,'Données projet'!$E$9+1,1))</f>
        <v>228.57322051753096</v>
      </c>
      <c r="T99" s="62">
        <f t="shared" si="88"/>
        <v>168.91992124331932</v>
      </c>
      <c r="U99" s="16">
        <f>IF(ISNA(VLOOKUP(A99,'Données projet'!$A$35:$I$55,3,0)),0,VLOOKUP(A99,'Données projet'!$A$35:$I$55,3,0))</f>
        <v>19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221.96671908615446</v>
      </c>
      <c r="AO99" s="62">
        <f t="shared" si="90"/>
        <v>141.9613211447562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1.1112988432326443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8.143862730421986E-10</v>
      </c>
      <c r="AX99" s="23">
        <f t="shared" si="60"/>
        <v>1.1112988440470306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287.69656598881124</v>
      </c>
      <c r="BJ99" s="62">
        <f t="shared" si="92"/>
        <v>221.9773436301067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2.8392306403590641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1.5175470558204776E-9</v>
      </c>
      <c r="BS99" s="24">
        <f t="shared" si="63"/>
        <v>2.8392306418766111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8.516666666666671</v>
      </c>
      <c r="N100" s="14">
        <f>IF('Données projet'!$A$36&gt;35,N99+M100-V99,IF(A100&lt;'Données projet'!$A$36,$K$205^A100,IF(A100='Données projet'!$A$36,'Données projet'!$B$36,N99+M100-V99)))</f>
        <v>288.54666666666634</v>
      </c>
      <c r="O100" s="14">
        <f>N100*VLOOKUP('Données projet'!$B$9,Paramètres!$A$1:$I$89,3,0)*VLOOKUP('Données projet'!$B$9,Paramètres!$A$1:$I$89,5,0)</f>
        <v>135.03983999999986</v>
      </c>
      <c r="P100" s="14">
        <f t="shared" si="87"/>
        <v>35.158327939856818</v>
      </c>
      <c r="Q100" s="22">
        <f t="shared" si="107"/>
        <v>296.42847582858366</v>
      </c>
      <c r="R100" s="62">
        <f t="shared" si="55"/>
        <v>589.76180916191697</v>
      </c>
      <c r="S100" s="62">
        <f ca="1">AVERAGE(OFFSET($R$3,0,0,'Données projet'!$E$9+1,1))-AVERAGE(OFFSET($H$3,0,0,'Données projet'!$E$9+1,1))</f>
        <v>228.57322051753096</v>
      </c>
      <c r="T100" s="62">
        <f t="shared" si="88"/>
        <v>168.91992124331932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221.96671908615446</v>
      </c>
      <c r="AO100" s="62">
        <f t="shared" si="90"/>
        <v>141.9613211447562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1.0895069507422168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5.7585805617337786E-10</v>
      </c>
      <c r="AX100" s="23">
        <f t="shared" si="60"/>
        <v>1.0895069513180748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287.69656598881124</v>
      </c>
      <c r="BJ100" s="62">
        <f t="shared" si="92"/>
        <v>221.9773436301067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2.7835550592613165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1.0730678139403398E-9</v>
      </c>
      <c r="BS100" s="24">
        <f t="shared" si="63"/>
        <v>2.7835550603343844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8.516666666666671</v>
      </c>
      <c r="N101" s="14">
        <f>IF('Données projet'!$A$36&gt;35,N100+M101-V100,IF(A101&lt;'Données projet'!$A$36,$K$205^A101,IF(A101='Données projet'!$A$36,'Données projet'!$B$36,N100+M101-V100)))</f>
        <v>297.06333333333299</v>
      </c>
      <c r="O101" s="14">
        <f>N101*VLOOKUP('Données projet'!$B$9,Paramètres!$A$1:$I$89,3,0)*VLOOKUP('Données projet'!$B$9,Paramètres!$A$1:$I$89,5,0)</f>
        <v>139.02563999999984</v>
      </c>
      <c r="P101" s="14">
        <f t="shared" si="87"/>
        <v>36.073702653091566</v>
      </c>
      <c r="Q101" s="22">
        <f t="shared" si="107"/>
        <v>304.9646884541342</v>
      </c>
      <c r="R101" s="62">
        <f t="shared" si="55"/>
        <v>598.29802178746752</v>
      </c>
      <c r="S101" s="62">
        <f ca="1">AVERAGE(OFFSET($R$3,0,0,'Données projet'!$E$9+1,1))-AVERAGE(OFFSET($H$3,0,0,'Données projet'!$E$9+1,1))</f>
        <v>228.57322051753096</v>
      </c>
      <c r="T101" s="62">
        <f t="shared" si="88"/>
        <v>168.91992124331932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221.96671908615446</v>
      </c>
      <c r="AO101" s="62">
        <f t="shared" si="90"/>
        <v>141.9613211447562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1.0681423839717847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4.071931365210993E-10</v>
      </c>
      <c r="AX101" s="23">
        <f t="shared" si="60"/>
        <v>1.0681423843789779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287.69656598881124</v>
      </c>
      <c r="BJ101" s="62">
        <f t="shared" si="92"/>
        <v>221.9773436301067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2.7289712423501444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7.5877352791023878E-10</v>
      </c>
      <c r="BS101" s="24">
        <f t="shared" si="63"/>
        <v>2.7289712431089179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8.516666666666671</v>
      </c>
      <c r="N102" s="14">
        <f>IF('Données projet'!$A$36&gt;35,N101+M102-V101,IF(A102&lt;'Données projet'!$A$36,$K$205^A102,IF(A102='Données projet'!$A$36,'Données projet'!$B$36,N101+M102-V101)))</f>
        <v>305.57999999999964</v>
      </c>
      <c r="O102" s="14">
        <f>N102*VLOOKUP('Données projet'!$B$9,Paramètres!$A$1:$I$89,3,0)*VLOOKUP('Données projet'!$B$9,Paramètres!$A$1:$I$89,5,0)</f>
        <v>143.01143999999982</v>
      </c>
      <c r="P102" s="14">
        <f t="shared" si="87"/>
        <v>36.986027288561935</v>
      </c>
      <c r="Q102" s="22">
        <f t="shared" si="107"/>
        <v>313.49558886091171</v>
      </c>
      <c r="R102" s="62">
        <f t="shared" si="55"/>
        <v>606.82892219424502</v>
      </c>
      <c r="S102" s="62">
        <f ca="1">AVERAGE(OFFSET($R$3,0,0,'Données projet'!$E$9+1,1))-AVERAGE(OFFSET($H$3,0,0,'Données projet'!$E$9+1,1))</f>
        <v>228.57322051753096</v>
      </c>
      <c r="T102" s="62">
        <f t="shared" si="88"/>
        <v>168.91992124331932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221.96671908615446</v>
      </c>
      <c r="AO102" s="62">
        <f t="shared" si="90"/>
        <v>141.9613211447562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1.0471967633246217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2.8792902808668893E-10</v>
      </c>
      <c r="AX102" s="23">
        <f t="shared" si="60"/>
        <v>1.0471967636125508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287.69656598881124</v>
      </c>
      <c r="BJ102" s="62">
        <f t="shared" si="92"/>
        <v>221.9773436301067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2.6754577807957594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5.3653390697016992E-10</v>
      </c>
      <c r="BS102" s="24">
        <f t="shared" si="63"/>
        <v>2.6754577813322933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8.516666666666671</v>
      </c>
      <c r="N103" s="14">
        <f>IF('Données projet'!$A$36&gt;35,N102+M103-V102,IF(A103&lt;'Données projet'!$A$36,$K$205^A103,IF(A103='Données projet'!$A$36,'Données projet'!$B$36,N102+M103-V102)))</f>
        <v>314.09666666666629</v>
      </c>
      <c r="O103" s="14">
        <f>N103*VLOOKUP('Données projet'!$B$9,Paramètres!$A$1:$I$89,3,0)*VLOOKUP('Données projet'!$B$9,Paramètres!$A$1:$I$89,5,0)</f>
        <v>146.99723999999983</v>
      </c>
      <c r="P103" s="14">
        <f t="shared" si="87"/>
        <v>37.895396619373926</v>
      </c>
      <c r="Q103" s="22">
        <f t="shared" si="107"/>
        <v>322.02134211207596</v>
      </c>
      <c r="R103" s="62">
        <f t="shared" si="55"/>
        <v>615.35467544540927</v>
      </c>
      <c r="S103" s="62">
        <f ca="1">AVERAGE(OFFSET($R$3,0,0,'Données projet'!$E$9+1,1))-AVERAGE(OFFSET($H$3,0,0,'Données projet'!$E$9+1,1))</f>
        <v>228.57322051753096</v>
      </c>
      <c r="T103" s="62">
        <f t="shared" si="88"/>
        <v>168.91992124331932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221.96671908615446</v>
      </c>
      <c r="AO103" s="62">
        <f t="shared" si="90"/>
        <v>141.9613211447562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1.0266618735227826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2.0359656826054965E-10</v>
      </c>
      <c r="AX103" s="23">
        <f t="shared" si="60"/>
        <v>1.0266618737263791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287.69656598881124</v>
      </c>
      <c r="BJ103" s="62">
        <f t="shared" si="92"/>
        <v>221.9773436301067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2.6229936855824674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3.7938676395511939E-10</v>
      </c>
      <c r="BS103" s="24">
        <f t="shared" si="63"/>
        <v>2.6229936859618541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8.516666666666671</v>
      </c>
      <c r="N104" s="14">
        <f>IF('Données projet'!$A$36&gt;35,N103+M104-V103,IF(A104&lt;'Données projet'!$A$36,$K$205^A104,IF(A104='Données projet'!$A$36,'Données projet'!$B$36,N103+M104-V103)))</f>
        <v>322.61333333333295</v>
      </c>
      <c r="O104" s="14">
        <f>N104*VLOOKUP('Données projet'!$B$9,Paramètres!$A$1:$I$89,3,0)*VLOOKUP('Données projet'!$B$9,Paramètres!$A$1:$I$89,5,0)</f>
        <v>150.98303999999982</v>
      </c>
      <c r="P104" s="14">
        <f t="shared" si="87"/>
        <v>38.801899986570255</v>
      </c>
      <c r="Q104" s="22">
        <f t="shared" si="107"/>
        <v>330.54210380994283</v>
      </c>
      <c r="R104" s="62">
        <f t="shared" si="55"/>
        <v>623.87543714327614</v>
      </c>
      <c r="S104" s="62">
        <f ca="1">AVERAGE(OFFSET($R$3,0,0,'Données projet'!$E$9+1,1))-AVERAGE(OFFSET($H$3,0,0,'Données projet'!$E$9+1,1))</f>
        <v>228.57322051753096</v>
      </c>
      <c r="T104" s="62">
        <f t="shared" si="88"/>
        <v>168.91992124331932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221.96671908615446</v>
      </c>
      <c r="AO104" s="62">
        <f t="shared" si="90"/>
        <v>141.9613211447562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1.0065296603849114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1.4396451404334447E-10</v>
      </c>
      <c r="AX104" s="23">
        <f t="shared" si="60"/>
        <v>1.006529660528876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287.69656598881124</v>
      </c>
      <c r="BJ104" s="62">
        <f t="shared" si="92"/>
        <v>221.9773436301067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2.5715583792763694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2.6826695348508496E-10</v>
      </c>
      <c r="BS104" s="24">
        <f t="shared" si="63"/>
        <v>2.5715583795446362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8.516666666666671</v>
      </c>
      <c r="N105" s="14">
        <f>IF('Données projet'!$A$36&gt;35,N104+M105-V104,IF(A105&lt;'Données projet'!$A$36,$K$205^A105,IF(A105='Données projet'!$A$36,'Données projet'!$B$36,N104+M105-V104)))</f>
        <v>331.1299999999996</v>
      </c>
      <c r="O105" s="14">
        <f>N105*VLOOKUP('Données projet'!$B$9,Paramètres!$A$1:$I$89,3,0)*VLOOKUP('Données projet'!$B$9,Paramètres!$A$1:$I$89,5,0)</f>
        <v>154.9688399999998</v>
      </c>
      <c r="P105" s="14">
        <f t="shared" si="87"/>
        <v>39.70562174554874</v>
      </c>
      <c r="Q105" s="22">
        <f t="shared" si="107"/>
        <v>339.05802087349701</v>
      </c>
      <c r="R105" s="62">
        <f t="shared" si="55"/>
        <v>632.39135420683033</v>
      </c>
      <c r="S105" s="62">
        <f ca="1">AVERAGE(OFFSET($R$3,0,0,'Données projet'!$E$9+1,1))-AVERAGE(OFFSET($H$3,0,0,'Données projet'!$E$9+1,1))</f>
        <v>228.57322051753096</v>
      </c>
      <c r="T105" s="62">
        <f t="shared" si="88"/>
        <v>168.91992124331932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221.96671908615446</v>
      </c>
      <c r="AO105" s="62">
        <f t="shared" si="90"/>
        <v>141.9613211447562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0.98679222766723629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1.0179828413027482E-10</v>
      </c>
      <c r="AX105" s="23">
        <f t="shared" si="60"/>
        <v>0.98679222776903452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287.69656598881124</v>
      </c>
      <c r="BJ105" s="62">
        <f t="shared" si="92"/>
        <v>221.9773436301067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2.5211316879544952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1.896933819775597E-10</v>
      </c>
      <c r="BS105" s="24">
        <f t="shared" si="63"/>
        <v>2.5211316881441888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8.516666666666671</v>
      </c>
      <c r="N106" s="14">
        <f>IF('Données projet'!$A$36&gt;35,N105+M106-V105,IF(A106&lt;'Données projet'!$A$36,$K$205^A106,IF(A106='Données projet'!$A$36,'Données projet'!$B$36,N105+M106-V105)))</f>
        <v>339.64666666666625</v>
      </c>
      <c r="O106" s="14">
        <f>N106*VLOOKUP('Données projet'!$B$9,Paramètres!$A$1:$I$89,3,0)*VLOOKUP('Données projet'!$B$9,Paramètres!$A$1:$I$89,5,0)</f>
        <v>158.95463999999981</v>
      </c>
      <c r="P106" s="14">
        <f t="shared" si="87"/>
        <v>40.606641665261066</v>
      </c>
      <c r="Q106" s="22">
        <f t="shared" si="107"/>
        <v>347.56923223366266</v>
      </c>
      <c r="R106" s="62">
        <f t="shared" si="55"/>
        <v>640.90256556699592</v>
      </c>
      <c r="S106" s="62">
        <f ca="1">AVERAGE(OFFSET($R$3,0,0,'Données projet'!$E$9+1,1))-AVERAGE(OFFSET($H$3,0,0,'Données projet'!$E$9+1,1))</f>
        <v>228.57322051753096</v>
      </c>
      <c r="T106" s="62">
        <f t="shared" si="88"/>
        <v>168.91992124331932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221.96671908615446</v>
      </c>
      <c r="AO106" s="62">
        <f t="shared" si="90"/>
        <v>141.9613211447562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0.96744183396650962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7.1982257021672233E-11</v>
      </c>
      <c r="AX106" s="23">
        <f t="shared" si="60"/>
        <v>0.96744183403849193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287.69656598881124</v>
      </c>
      <c r="BJ106" s="62">
        <f t="shared" si="92"/>
        <v>221.9773436301067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2.4716938332921981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1.3413347674254248E-10</v>
      </c>
      <c r="BS106" s="24">
        <f t="shared" si="63"/>
        <v>2.4716938334263316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8.516666666666671</v>
      </c>
      <c r="N107" s="14">
        <f>IF('Données projet'!$A$36&gt;35,N106+M107-V106,IF(A107&lt;'Données projet'!$A$36,$K$205^A107,IF(A107='Données projet'!$A$36,'Données projet'!$B$36,N106+M107-V106)))</f>
        <v>348.1633333333329</v>
      </c>
      <c r="O107" s="14">
        <f>N107*VLOOKUP('Données projet'!$B$9,Paramètres!$A$1:$I$89,3,0)*VLOOKUP('Données projet'!$B$9,Paramètres!$A$1:$I$89,5,0)</f>
        <v>162.9404399999998</v>
      </c>
      <c r="P107" s="14">
        <f t="shared" si="87"/>
        <v>41.505035286244862</v>
      </c>
      <c r="Q107" s="22">
        <f t="shared" si="107"/>
        <v>356.07586945687609</v>
      </c>
      <c r="R107" s="62">
        <f t="shared" si="55"/>
        <v>649.40920279020941</v>
      </c>
      <c r="S107" s="62">
        <f ca="1">AVERAGE(OFFSET($R$3,0,0,'Données projet'!$E$9+1,1))-AVERAGE(OFFSET($H$3,0,0,'Données projet'!$E$9+1,1))</f>
        <v>228.57322051753096</v>
      </c>
      <c r="T107" s="62">
        <f t="shared" si="88"/>
        <v>168.91992124331932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221.96671908615446</v>
      </c>
      <c r="AO107" s="62">
        <f t="shared" si="90"/>
        <v>141.9613211447562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0.94847088968367943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5.0899142065137412E-11</v>
      </c>
      <c r="AX107" s="23">
        <f t="shared" si="60"/>
        <v>0.9484708897345786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287.69656598881124</v>
      </c>
      <c r="BJ107" s="62">
        <f t="shared" si="92"/>
        <v>221.9773436301067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2.4232254248057146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9.4846690988779848E-11</v>
      </c>
      <c r="BS107" s="24">
        <f t="shared" si="63"/>
        <v>2.4232254249005614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356.68</v>
      </c>
      <c r="L108" s="13">
        <f>VLOOKUP(A108,'Données projet'!$A$35:$I$55,9,0)</f>
        <v>8.516666666666671</v>
      </c>
      <c r="M108" s="13">
        <f t="array" ref="M108">INDEX(L:L,MIN(IF(ISNUMBER(L108:L304),ROW(L108:L304),"")))</f>
        <v>8.516666666666671</v>
      </c>
      <c r="N108" s="14">
        <f>IF('Données projet'!$A$36&gt;35,N107+M108-V107,IF(A108&lt;'Données projet'!$A$36,$K$205^A108,IF(A108='Données projet'!$A$36,'Données projet'!$B$36,N107+M108-V107)))</f>
        <v>356.67999999999955</v>
      </c>
      <c r="O108" s="14">
        <f>N108*VLOOKUP('Données projet'!$B$9,Paramètres!$A$1:$I$89,3,0)*VLOOKUP('Données projet'!$B$9,Paramètres!$A$1:$I$89,5,0)</f>
        <v>166.92623999999978</v>
      </c>
      <c r="P108" s="14">
        <f t="shared" si="87"/>
        <v>42.400874242636554</v>
      </c>
      <c r="Q108" s="22">
        <f t="shared" si="107"/>
        <v>364.57805730592491</v>
      </c>
      <c r="R108" s="62">
        <f t="shared" si="55"/>
        <v>657.91139063925823</v>
      </c>
      <c r="S108" s="62">
        <f ca="1">AVERAGE(OFFSET($R$3,0,0,'Données projet'!$E$9+1,1))-AVERAGE(OFFSET($H$3,0,0,'Données projet'!$E$9+1,1))</f>
        <v>228.57322051753096</v>
      </c>
      <c r="T108" s="62">
        <f t="shared" si="88"/>
        <v>168.91992124331932</v>
      </c>
      <c r="U108" s="16">
        <f>IF(ISNA(VLOOKUP(A108,'Données projet'!$A$35:$I$55,3,0)),0,VLOOKUP(A108,'Données projet'!$A$35:$I$55,3,0))</f>
        <v>20</v>
      </c>
      <c r="V108" s="16">
        <f>IF(ISNA(VLOOKUP(A108,'Données projet'!$A$35:$I$55,4,0)),0,VLOOKUP(A108,'Données projet'!$A$35:$I$55,4,0))</f>
        <v>356.68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221.96671908615446</v>
      </c>
      <c r="AO108" s="62">
        <f t="shared" si="90"/>
        <v>141.9613211447562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0.9298719540471021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3.5991128510836116E-11</v>
      </c>
      <c r="AX108" s="23">
        <f t="shared" si="60"/>
        <v>0.9298719540830932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287.69656598881124</v>
      </c>
      <c r="BJ108" s="62">
        <f t="shared" si="92"/>
        <v>221.9773436301067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2.3757074522468411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6.706673837127124E-11</v>
      </c>
      <c r="BS108" s="24">
        <f t="shared" si="63"/>
        <v>2.3757074523139079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-2.1282176021486519E-13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228.57322051753096</v>
      </c>
      <c r="T109" s="62">
        <f t="shared" si="88"/>
        <v>168.91992124331932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221.96671908615446</v>
      </c>
      <c r="AO109" s="62">
        <f t="shared" si="90"/>
        <v>141.9613211447562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0.91163773219412747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2.5449571032568706E-11</v>
      </c>
      <c r="AX109" s="23">
        <f t="shared" si="60"/>
        <v>0.911637732219577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287.69656598881124</v>
      </c>
      <c r="BJ109" s="62">
        <f t="shared" si="92"/>
        <v>221.9773436301067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2.3291212781467459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4.7423345494389924E-11</v>
      </c>
      <c r="BS109" s="24">
        <f t="shared" si="63"/>
        <v>2.3291212781941693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-2.1282176021486519E-13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228.57322051753096</v>
      </c>
      <c r="T110" s="62">
        <f t="shared" si="88"/>
        <v>168.91992124331932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221.96671908615446</v>
      </c>
      <c r="AO110" s="62">
        <f t="shared" si="90"/>
        <v>141.9613211447562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0.89376107230991242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1.7995564255418058E-11</v>
      </c>
      <c r="AX110" s="23">
        <f t="shared" si="60"/>
        <v>0.89376107232790802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287.69656598881124</v>
      </c>
      <c r="BJ110" s="62">
        <f t="shared" si="92"/>
        <v>221.9773436301067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2.2834486305059931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3.353336918563562E-11</v>
      </c>
      <c r="BS110" s="24">
        <f t="shared" si="63"/>
        <v>2.2834486305395263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-2.1282176021486519E-13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228.57322051753096</v>
      </c>
      <c r="T111" s="62">
        <f t="shared" si="88"/>
        <v>168.91992124331932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221.96671908615446</v>
      </c>
      <c r="AO111" s="62">
        <f t="shared" si="90"/>
        <v>141.9613211447562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0.87623496282234103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1.2724785516284353E-11</v>
      </c>
      <c r="AX111" s="23">
        <f t="shared" si="60"/>
        <v>0.87623496283506586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287.69656598881124</v>
      </c>
      <c r="BJ111" s="62">
        <f t="shared" si="92"/>
        <v>221.9773436301067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2.2386715956279111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2.3711672747194962E-11</v>
      </c>
      <c r="BS111" s="24">
        <f t="shared" si="63"/>
        <v>2.2386715956516228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-2.1282176021486519E-13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228.57322051753096</v>
      </c>
      <c r="T112" s="62">
        <f t="shared" si="88"/>
        <v>168.91992124331932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221.96671908615446</v>
      </c>
      <c r="AO112" s="62">
        <f t="shared" si="90"/>
        <v>141.9613211447562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0.85905252965194967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8.9977821277090291E-12</v>
      </c>
      <c r="AX112" s="23">
        <f t="shared" si="60"/>
        <v>0.85905252966094747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287.69656598881124</v>
      </c>
      <c r="BJ112" s="62">
        <f t="shared" si="92"/>
        <v>221.9773436301067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2.1947726110924934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1.676668459281781E-11</v>
      </c>
      <c r="BS112" s="24">
        <f t="shared" si="63"/>
        <v>2.19477261110926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-2.1282176021486519E-13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228.57322051753096</v>
      </c>
      <c r="T113" s="62">
        <f t="shared" si="88"/>
        <v>168.91992124331932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221.96671908615446</v>
      </c>
      <c r="AO113" s="62">
        <f t="shared" si="90"/>
        <v>141.9613211447562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0.8422070335157803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6.3623927581421765E-12</v>
      </c>
      <c r="AX113" s="23">
        <f t="shared" si="60"/>
        <v>0.84220703352214266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287.69656598881124</v>
      </c>
      <c r="BJ113" s="62">
        <f t="shared" si="92"/>
        <v>221.9773436301067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2.1517344588680789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1.1855836373597481E-11</v>
      </c>
      <c r="BS113" s="24">
        <f t="shared" si="63"/>
        <v>2.1517344588799348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-2.1282176021486519E-13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228.57322051753096</v>
      </c>
      <c r="T114" s="62">
        <f t="shared" si="88"/>
        <v>168.91992124331932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221.96671908615446</v>
      </c>
      <c r="AO114" s="62">
        <f t="shared" si="90"/>
        <v>141.9613211447562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0.82569186728410304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4.4988910638545145E-12</v>
      </c>
      <c r="AX114" s="23">
        <f t="shared" si="60"/>
        <v>0.82569186728860189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287.69656598881124</v>
      </c>
      <c r="BJ114" s="62">
        <f t="shared" si="92"/>
        <v>221.9773436301067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2.1095402585581042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8.383342296408905E-12</v>
      </c>
      <c r="BS114" s="24">
        <f t="shared" si="63"/>
        <v>2.1095402585664877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-2.1282176021486519E-13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228.57322051753096</v>
      </c>
      <c r="T115" s="62">
        <f t="shared" si="88"/>
        <v>168.91992124331932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221.96671908615446</v>
      </c>
      <c r="AO115" s="62">
        <f t="shared" si="90"/>
        <v>141.9613211447562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0.8095005533889722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3.1811963790710883E-12</v>
      </c>
      <c r="AX115" s="23">
        <f t="shared" si="60"/>
        <v>0.80950055339215343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287.69656598881124</v>
      </c>
      <c r="BJ115" s="62">
        <f t="shared" si="92"/>
        <v>221.9773436301067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2.0681734607802871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5.9279181867987405E-12</v>
      </c>
      <c r="BS115" s="24">
        <f t="shared" si="63"/>
        <v>2.0681734607862148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-2.1282176021486519E-13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228.57322051753096</v>
      </c>
      <c r="T116" s="62">
        <f t="shared" si="88"/>
        <v>168.91992124331932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221.96671908615446</v>
      </c>
      <c r="AO116" s="62">
        <f t="shared" si="90"/>
        <v>141.9613211447562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0.79362674128359856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2.2494455319272573E-12</v>
      </c>
      <c r="AX116" s="23">
        <f t="shared" si="60"/>
        <v>0.79362674128584798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287.69656598881124</v>
      </c>
      <c r="BJ116" s="62">
        <f t="shared" si="92"/>
        <v>221.9773436301067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2.0276178406756378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4.1916711482044525E-12</v>
      </c>
      <c r="BS116" s="24">
        <f t="shared" si="63"/>
        <v>2.0276178406798295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-2.1282176021486519E-13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228.57322051753096</v>
      </c>
      <c r="T117" s="62">
        <f t="shared" si="88"/>
        <v>168.91992124331932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221.96671908615446</v>
      </c>
      <c r="AO117" s="62">
        <f t="shared" si="90"/>
        <v>141.9613211447562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0.77806420495154194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1.5905981895355441E-12</v>
      </c>
      <c r="AX117" s="23">
        <f t="shared" si="60"/>
        <v>0.77806420495313255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287.69656598881124</v>
      </c>
      <c r="BJ117" s="62">
        <f t="shared" si="92"/>
        <v>221.9773436301067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1.9878574915447549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2.9639590933993702E-12</v>
      </c>
      <c r="BS117" s="24">
        <f t="shared" si="63"/>
        <v>1.9878574915477187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-2.1282176021486519E-13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228.57322051753096</v>
      </c>
      <c r="T118" s="62">
        <f t="shared" si="88"/>
        <v>168.91992124331932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221.96671908615446</v>
      </c>
      <c r="AO118" s="62">
        <f t="shared" si="90"/>
        <v>141.9613211447562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0.76280684046474712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1.1247227659636286E-12</v>
      </c>
      <c r="AX118" s="23">
        <f t="shared" si="60"/>
        <v>0.76280684046587188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287.69656598881124</v>
      </c>
      <c r="BJ118" s="62">
        <f t="shared" si="92"/>
        <v>221.9773436301067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1.9488768186089103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2.0958355741022263E-12</v>
      </c>
      <c r="BS118" s="24">
        <f t="shared" si="63"/>
        <v>1.9488768186110061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-2.1282176021486519E-13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228.57322051753096</v>
      </c>
      <c r="T119" s="62">
        <f t="shared" si="88"/>
        <v>168.91992124331932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221.96671908615446</v>
      </c>
      <c r="AO119" s="62">
        <f t="shared" si="90"/>
        <v>141.9613211447562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0.74784866358946489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7.9529909476777207E-13</v>
      </c>
      <c r="AX119" s="23">
        <f t="shared" si="60"/>
        <v>0.74784866359026014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287.69656598881124</v>
      </c>
      <c r="BJ119" s="62">
        <f t="shared" si="92"/>
        <v>221.9773436301067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1.9106605328934747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1.4819795466996851E-12</v>
      </c>
      <c r="BS119" s="24">
        <f t="shared" si="63"/>
        <v>1.9106605328949566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-2.1282176021486519E-13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228.57322051753096</v>
      </c>
      <c r="T120" s="62">
        <f t="shared" si="88"/>
        <v>168.91992124331932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221.96671908615446</v>
      </c>
      <c r="AO120" s="62">
        <f t="shared" si="90"/>
        <v>141.9613211447562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0.73318380743911993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5.6236138298181432E-13</v>
      </c>
      <c r="AX120" s="23">
        <f t="shared" si="60"/>
        <v>0.73318380743968226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287.69656598881124</v>
      </c>
      <c r="BJ120" s="62">
        <f t="shared" si="92"/>
        <v>221.9773436301067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1.8731936452312863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1.0479177870511131E-12</v>
      </c>
      <c r="BS120" s="24">
        <f t="shared" si="63"/>
        <v>1.8731936452323341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-2.1282176021486519E-13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228.57322051753096</v>
      </c>
      <c r="T121" s="62">
        <f t="shared" si="88"/>
        <v>168.91992124331932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221.96671908615446</v>
      </c>
      <c r="AO121" s="62">
        <f t="shared" si="90"/>
        <v>141.9613211447562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0.71880652017320423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3.9764954738388603E-13</v>
      </c>
      <c r="AX121" s="23">
        <f t="shared" si="60"/>
        <v>0.71880652017360191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287.69656598881124</v>
      </c>
      <c r="BJ121" s="62">
        <f t="shared" si="92"/>
        <v>221.9773436301067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1.8364614603836085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7.4098977334984256E-13</v>
      </c>
      <c r="BS121" s="24">
        <f t="shared" si="63"/>
        <v>1.8364614603843494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-2.1282176021486519E-13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228.57322051753096</v>
      </c>
      <c r="T122" s="62">
        <f t="shared" si="88"/>
        <v>168.91992124331932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221.96671908615446</v>
      </c>
      <c r="AO122" s="62">
        <f t="shared" si="90"/>
        <v>141.9613211447562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0.70471116274129375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2.8118069149090716E-13</v>
      </c>
      <c r="AX122" s="23">
        <f t="shared" si="60"/>
        <v>0.70471116274157497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287.69656598881124</v>
      </c>
      <c r="BJ122" s="62">
        <f t="shared" si="92"/>
        <v>221.9773436301067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1.8004495712763731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5.2395889352555657E-13</v>
      </c>
      <c r="BS122" s="24">
        <f t="shared" si="63"/>
        <v>1.8004495712768971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-2.1282176021486519E-13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228.57322051753096</v>
      </c>
      <c r="T123" s="62">
        <f t="shared" si="88"/>
        <v>168.91992124331932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221.96671908615446</v>
      </c>
      <c r="AO123" s="62">
        <f t="shared" si="90"/>
        <v>141.9613211447562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0.69089220667130391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1.9882477369194302E-13</v>
      </c>
      <c r="AX123" s="23">
        <f t="shared" si="60"/>
        <v>0.69089220667150275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287.69656598881124</v>
      </c>
      <c r="BJ123" s="62">
        <f t="shared" si="92"/>
        <v>221.9773436301067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1.765143853349447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3.7049488667492128E-13</v>
      </c>
      <c r="BS123" s="24">
        <f t="shared" si="63"/>
        <v>1.7651438533498176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-2.1282176021486519E-13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228.57322051753096</v>
      </c>
      <c r="T124" s="62">
        <f t="shared" si="88"/>
        <v>168.91992124331932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221.96671908615446</v>
      </c>
      <c r="AO124" s="62">
        <f t="shared" si="90"/>
        <v>141.9613211447562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0.6773442319011157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1.4059034574545358E-13</v>
      </c>
      <c r="AX124" s="23">
        <f t="shared" si="60"/>
        <v>0.67734423190125626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287.69656598881124</v>
      </c>
      <c r="BJ124" s="62">
        <f t="shared" si="92"/>
        <v>221.9773436301067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1.7305304590167063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2.6197944676277828E-13</v>
      </c>
      <c r="BS124" s="24">
        <f t="shared" si="63"/>
        <v>1.7305304590169683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-2.1282176021486519E-13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228.57322051753096</v>
      </c>
      <c r="T125" s="62">
        <f t="shared" si="88"/>
        <v>168.91992124331932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221.96671908615446</v>
      </c>
      <c r="AO125" s="62">
        <f t="shared" si="90"/>
        <v>141.9613211447562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0.66406192465272218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9.9412386845971509E-14</v>
      </c>
      <c r="AX125" s="23">
        <f t="shared" si="60"/>
        <v>0.66406192465282154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287.69656598881124</v>
      </c>
      <c r="BJ125" s="62">
        <f t="shared" si="92"/>
        <v>221.9773436301067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1.6965958122347449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1.8524744333746064E-13</v>
      </c>
      <c r="BS125" s="24">
        <f t="shared" si="63"/>
        <v>1.6965958122349301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-2.1282176021486519E-13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228.57322051753096</v>
      </c>
      <c r="T126" s="62">
        <f t="shared" si="88"/>
        <v>168.91992124331932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221.96671908615446</v>
      </c>
      <c r="AO126" s="62">
        <f t="shared" si="90"/>
        <v>141.9613211447562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0.65104007534806219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7.029517287272679E-14</v>
      </c>
      <c r="AX126" s="23">
        <f t="shared" si="60"/>
        <v>0.65104007534813246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287.69656598881124</v>
      </c>
      <c r="BJ126" s="62">
        <f t="shared" si="92"/>
        <v>221.9773436301067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1.6633266031780869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1.3098972338138914E-13</v>
      </c>
      <c r="BS126" s="24">
        <f t="shared" si="63"/>
        <v>1.6633266031782179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-2.1282176021486519E-13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228.57322051753096</v>
      </c>
      <c r="T127" s="62">
        <f t="shared" si="88"/>
        <v>168.91992124331932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221.96671908615446</v>
      </c>
      <c r="AO127" s="62">
        <f t="shared" si="90"/>
        <v>141.9613211447562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0.6382735765657227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4.9706193422985754E-14</v>
      </c>
      <c r="AX127" s="23">
        <f t="shared" si="60"/>
        <v>0.63827357656577244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287.69656598881124</v>
      </c>
      <c r="BJ127" s="62">
        <f t="shared" si="92"/>
        <v>221.9773436301067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1.6307097830188162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9.262372166873032E-14</v>
      </c>
      <c r="BS127" s="24">
        <f t="shared" si="63"/>
        <v>1.6307097830189088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-2.1282176021486519E-13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228.57322051753096</v>
      </c>
      <c r="T128" s="62">
        <f t="shared" si="88"/>
        <v>168.91992124331932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221.96671908615446</v>
      </c>
      <c r="AO128" s="62">
        <f t="shared" si="90"/>
        <v>141.9613211447562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0.62575742103770959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3.5147586436363395E-14</v>
      </c>
      <c r="AX128" s="23">
        <f t="shared" si="60"/>
        <v>0.62575742103774479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287.69656598881124</v>
      </c>
      <c r="BJ128" s="62">
        <f t="shared" si="92"/>
        <v>221.9773436301067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1.5987325588085728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6.5494861690694571E-14</v>
      </c>
      <c r="BS128" s="24">
        <f t="shared" si="63"/>
        <v>1.5987325588086383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-2.1282176021486519E-13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228.57322051753096</v>
      </c>
      <c r="T129" s="62">
        <f t="shared" si="88"/>
        <v>168.91992124331932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221.96671908615446</v>
      </c>
      <c r="AO129" s="62">
        <f t="shared" si="90"/>
        <v>141.9613211447562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0.61348669968549974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2.4853096711492877E-14</v>
      </c>
      <c r="AX129" s="23">
        <f t="shared" si="60"/>
        <v>0.61348669968552461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287.69656598881124</v>
      </c>
      <c r="BJ129" s="62">
        <f t="shared" si="92"/>
        <v>221.9773436301067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1.5673823884609115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4.631186083436516E-14</v>
      </c>
      <c r="BS129" s="24">
        <f t="shared" si="63"/>
        <v>1.5673823884609579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-2.1282176021486519E-13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228.57322051753096</v>
      </c>
      <c r="T130" s="62">
        <f t="shared" si="88"/>
        <v>168.91992124331932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221.96671908615446</v>
      </c>
      <c r="AO130" s="62">
        <f t="shared" si="90"/>
        <v>141.9613211447562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0.60145659969460574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1.7573793218181697E-14</v>
      </c>
      <c r="AX130" s="23">
        <f t="shared" si="60"/>
        <v>0.60145659969462328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287.69656598881124</v>
      </c>
      <c r="BJ130" s="62">
        <f t="shared" si="92"/>
        <v>221.9773436301067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1.536646975832052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3.2747430845347285E-14</v>
      </c>
      <c r="BS130" s="24">
        <f t="shared" si="63"/>
        <v>1.5366469758320846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-2.1282176021486519E-13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228.57322051753096</v>
      </c>
      <c r="T131" s="62">
        <f t="shared" si="88"/>
        <v>168.91992124331932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221.96671908615446</v>
      </c>
      <c r="AO131" s="62">
        <f t="shared" si="90"/>
        <v>141.9613211447562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0.58966240262689673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1.2426548355746439E-14</v>
      </c>
      <c r="AX131" s="23">
        <f t="shared" si="60"/>
        <v>0.58966240262690917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287.69656598881124</v>
      </c>
      <c r="BJ131" s="62">
        <f t="shared" si="92"/>
        <v>221.9773436301067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1.5065142658980937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2.315593041718258E-14</v>
      </c>
      <c r="BS131" s="24">
        <f t="shared" si="63"/>
        <v>1.5065142658981168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-2.1282176021486519E-13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228.57322051753096</v>
      </c>
      <c r="T132" s="62">
        <f t="shared" si="88"/>
        <v>168.91992124331932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221.96671908615446</v>
      </c>
      <c r="AO132" s="62">
        <f t="shared" si="90"/>
        <v>141.9613211447562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0.5780994825699356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8.7868966090908487E-15</v>
      </c>
      <c r="AX132" s="23">
        <f t="shared" ref="AX132:AX153" si="114">SUM(AU132:AW132)</f>
        <v>0.57809948256994437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287.69656598881124</v>
      </c>
      <c r="BJ132" s="62">
        <f t="shared" si="92"/>
        <v>221.9773436301067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1.4769724400268021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1.6373715422673643E-14</v>
      </c>
      <c r="BS132" s="24">
        <f t="shared" ref="BS132:BS153" si="117">SUM(BP132:BR132)</f>
        <v>1.4769724400268185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-2.1282176021486519E-13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228.57322051753096</v>
      </c>
      <c r="T133" s="62">
        <f t="shared" ref="T133:T196" si="142">$T$3</f>
        <v>168.91992124331932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221.96671908615446</v>
      </c>
      <c r="AO133" s="62">
        <f t="shared" ref="AO133:AO196" si="144">$AO$3</f>
        <v>141.9613211447562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0.56676330432260658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6.2132741778732193E-15</v>
      </c>
      <c r="AX133" s="23">
        <f t="shared" si="114"/>
        <v>0.56676330432261279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287.69656598881124</v>
      </c>
      <c r="BJ133" s="62">
        <f t="shared" ref="BJ133:BJ196" si="146">$BJ$3</f>
        <v>221.9773436301067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1.4480099113421119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1.157796520859129E-14</v>
      </c>
      <c r="BS133" s="24">
        <f t="shared" si="117"/>
        <v>1.4480099113421234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-2.1282176021486519E-13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228.57322051753096</v>
      </c>
      <c r="T134" s="62">
        <f t="shared" si="142"/>
        <v>168.91992124331932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221.96671908615446</v>
      </c>
      <c r="AO134" s="62">
        <f t="shared" si="144"/>
        <v>141.9613211447562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0.55564942161632169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4.3934483045454244E-15</v>
      </c>
      <c r="AX134" s="23">
        <f t="shared" si="114"/>
        <v>0.55564942161632613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287.69656598881124</v>
      </c>
      <c r="BJ134" s="62">
        <f t="shared" si="146"/>
        <v>221.9773436301067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1.4196153201795303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8.1868577113368213E-15</v>
      </c>
      <c r="BS134" s="24">
        <f t="shared" si="117"/>
        <v>1.4196153201795385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-2.1282176021486519E-13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228.57322051753096</v>
      </c>
      <c r="T135" s="62">
        <f t="shared" si="142"/>
        <v>168.91992124331932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221.96671908615446</v>
      </c>
      <c r="AO135" s="62">
        <f t="shared" si="144"/>
        <v>141.9613211447562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0.54475347537110796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3.1066370889366096E-15</v>
      </c>
      <c r="AX135" s="23">
        <f t="shared" si="114"/>
        <v>0.54475347537111107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287.69656598881124</v>
      </c>
      <c r="BJ135" s="62">
        <f t="shared" si="146"/>
        <v>221.9773436301067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1.3917775296306565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5.788982604295645E-15</v>
      </c>
      <c r="BS135" s="24">
        <f t="shared" si="117"/>
        <v>1.3917775296306623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-2.1282176021486519E-13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228.57322051753096</v>
      </c>
      <c r="T136" s="62">
        <f t="shared" si="142"/>
        <v>168.91992124331932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221.96671908615446</v>
      </c>
      <c r="AO136" s="62">
        <f t="shared" si="144"/>
        <v>141.9613211447562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0.53407119198589192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2.1967241522727122E-15</v>
      </c>
      <c r="AX136" s="23">
        <f t="shared" si="114"/>
        <v>0.53407119198589414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287.69656598881124</v>
      </c>
      <c r="BJ136" s="62">
        <f t="shared" si="146"/>
        <v>221.9773436301067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1.3644856211750704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4.0934288556684107E-15</v>
      </c>
      <c r="BS136" s="24">
        <f t="shared" si="117"/>
        <v>1.3644856211750744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-2.1282176021486519E-13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228.57322051753096</v>
      </c>
      <c r="T137" s="62">
        <f t="shared" si="142"/>
        <v>168.91992124331932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221.96671908615446</v>
      </c>
      <c r="AO137" s="62">
        <f t="shared" si="144"/>
        <v>141.9613211447562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0.52359838166231043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1.5533185444683048E-15</v>
      </c>
      <c r="AX137" s="23">
        <f t="shared" si="114"/>
        <v>0.52359838166231198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287.69656598881124</v>
      </c>
      <c r="BJ137" s="62">
        <f t="shared" si="146"/>
        <v>221.9773436301067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1.3377288903978779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2.8944913021478225E-15</v>
      </c>
      <c r="BS137" s="24">
        <f t="shared" si="117"/>
        <v>1.3377288903978808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-2.1282176021486519E-13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228.57322051753096</v>
      </c>
      <c r="T138" s="62">
        <f t="shared" si="142"/>
        <v>168.91992124331932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221.96671908615446</v>
      </c>
      <c r="AO138" s="62">
        <f t="shared" si="144"/>
        <v>141.9613211447562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0.51333093676139085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1.0983620761363561E-15</v>
      </c>
      <c r="AX138" s="23">
        <f t="shared" si="114"/>
        <v>0.51333093676139196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287.69656598881124</v>
      </c>
      <c r="BJ138" s="62">
        <f t="shared" si="146"/>
        <v>221.9773436301067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1.3114968427912319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2.0467144278342053E-15</v>
      </c>
      <c r="BS138" s="24">
        <f t="shared" si="117"/>
        <v>1.3114968427912339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-2.1282176021486519E-13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228.57322051753096</v>
      </c>
      <c r="T139" s="62">
        <f t="shared" si="142"/>
        <v>168.91992124331932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221.96671908615446</v>
      </c>
      <c r="AO139" s="62">
        <f t="shared" si="144"/>
        <v>141.9613211447562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0.50326483019245527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7.7665927223415241E-16</v>
      </c>
      <c r="AX139" s="23">
        <f t="shared" si="114"/>
        <v>0.50326483019245605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287.69656598881124</v>
      </c>
      <c r="BJ139" s="62">
        <f t="shared" si="146"/>
        <v>221.9773436301067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1.2857791896381829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1.4472456510739113E-15</v>
      </c>
      <c r="BS139" s="24">
        <f t="shared" si="117"/>
        <v>1.2857791896381845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-2.1282176021486519E-13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228.57322051753096</v>
      </c>
      <c r="T140" s="62">
        <f t="shared" si="142"/>
        <v>168.91992124331932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221.96671908615446</v>
      </c>
      <c r="AO140" s="62">
        <f t="shared" si="144"/>
        <v>141.9613211447562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0.49339611383361776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5.4918103806817805E-16</v>
      </c>
      <c r="AX140" s="23">
        <f t="shared" si="114"/>
        <v>0.49339611383361831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287.69656598881124</v>
      </c>
      <c r="BJ140" s="62">
        <f t="shared" si="146"/>
        <v>221.9773436301067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1.2605658439772458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1.0233572139171027E-15</v>
      </c>
      <c r="BS140" s="24">
        <f t="shared" si="117"/>
        <v>1.2605658439772469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-2.1282176021486519E-13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228.57322051753096</v>
      </c>
      <c r="T141" s="62">
        <f t="shared" si="142"/>
        <v>168.91992124331932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221.96671908615446</v>
      </c>
      <c r="AO141" s="62">
        <f t="shared" si="144"/>
        <v>141.9613211447562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0.48372091698325442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3.8832963611707621E-16</v>
      </c>
      <c r="AX141" s="23">
        <f t="shared" si="114"/>
        <v>0.48372091698325481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287.69656598881124</v>
      </c>
      <c r="BJ141" s="62">
        <f t="shared" si="146"/>
        <v>221.9773436301067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1.2358469166460972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7.2362282553695563E-16</v>
      </c>
      <c r="BS141" s="24">
        <f t="shared" si="117"/>
        <v>1.2358469166460979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-2.1282176021486519E-13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228.57322051753096</v>
      </c>
      <c r="T142" s="62">
        <f t="shared" si="142"/>
        <v>168.91992124331932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221.96671908615446</v>
      </c>
      <c r="AO142" s="62">
        <f t="shared" si="144"/>
        <v>141.9613211447562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0.47423544484183933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2.7459051903408902E-16</v>
      </c>
      <c r="AX142" s="23">
        <f t="shared" si="114"/>
        <v>0.4742354448418396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287.69656598881124</v>
      </c>
      <c r="BJ142" s="62">
        <f t="shared" si="146"/>
        <v>221.9773436301067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1.2116127124028557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5.1167860695855133E-16</v>
      </c>
      <c r="BS142" s="24">
        <f t="shared" si="117"/>
        <v>1.2116127124028562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-2.1282176021486519E-13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228.57322051753096</v>
      </c>
      <c r="T143" s="62">
        <f t="shared" si="142"/>
        <v>168.91992124331932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221.96671908615446</v>
      </c>
      <c r="AO143" s="62">
        <f t="shared" si="144"/>
        <v>141.9613211447562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0.46493597702355066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1.941648180585381E-16</v>
      </c>
      <c r="AX143" s="23">
        <f t="shared" si="114"/>
        <v>0.46493597702355083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287.69656598881124</v>
      </c>
      <c r="BJ143" s="62">
        <f t="shared" si="146"/>
        <v>221.9773436301067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1.187853726123419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3.6181141276847781E-16</v>
      </c>
      <c r="BS143" s="24">
        <f t="shared" si="117"/>
        <v>1.1878537261234194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-2.1282176021486519E-13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228.57322051753096</v>
      </c>
      <c r="T144" s="62">
        <f t="shared" si="142"/>
        <v>168.91992124331932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221.96671908615446</v>
      </c>
      <c r="AO144" s="62">
        <f t="shared" si="144"/>
        <v>141.9613211447562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0.45581886609706335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1.3729525951704451E-16</v>
      </c>
      <c r="AX144" s="23">
        <f t="shared" si="114"/>
        <v>0.45581886609706346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287.69656598881124</v>
      </c>
      <c r="BJ144" s="62">
        <f t="shared" si="146"/>
        <v>221.9773436301067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1.1645606390733714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2.5583930347927567E-16</v>
      </c>
      <c r="BS144" s="24">
        <f t="shared" si="117"/>
        <v>1.1645606390733716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-2.1282176021486519E-13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228.57322051753096</v>
      </c>
      <c r="T145" s="62">
        <f t="shared" si="142"/>
        <v>168.91992124331932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221.96671908615446</v>
      </c>
      <c r="AO145" s="62">
        <f t="shared" si="144"/>
        <v>141.9613211447562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0.44688053615495588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9.7082409029269051E-17</v>
      </c>
      <c r="AX145" s="23">
        <f t="shared" si="114"/>
        <v>0.44688053615495599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287.69656598881124</v>
      </c>
      <c r="BJ145" s="62">
        <f t="shared" si="146"/>
        <v>221.9773436301067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1.141724315252995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1.8090570638423891E-16</v>
      </c>
      <c r="BS145" s="24">
        <f t="shared" si="117"/>
        <v>1.1417243152529952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-2.1282176021486519E-13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228.57322051753096</v>
      </c>
      <c r="T146" s="62">
        <f t="shared" si="142"/>
        <v>168.91992124331932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221.96671908615446</v>
      </c>
      <c r="AO146" s="62">
        <f t="shared" si="144"/>
        <v>141.9613211447562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0.43811748141117018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6.8647629758522256E-17</v>
      </c>
      <c r="AX146" s="23">
        <f t="shared" si="114"/>
        <v>0.43811748141117024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287.69656598881124</v>
      </c>
      <c r="BJ146" s="62">
        <f t="shared" si="146"/>
        <v>221.9773436301067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1.119335797813954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1.2791965173963783E-16</v>
      </c>
      <c r="BS146" s="24">
        <f t="shared" si="117"/>
        <v>1.1193357978139542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-2.1282176021486519E-13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228.57322051753096</v>
      </c>
      <c r="T147" s="62">
        <f t="shared" si="142"/>
        <v>168.91992124331932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221.96671908615446</v>
      </c>
      <c r="AO147" s="62">
        <f t="shared" si="144"/>
        <v>141.9613211447562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0.4295262648259745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4.8541204514634526E-17</v>
      </c>
      <c r="AX147" s="23">
        <f t="shared" si="114"/>
        <v>0.42952626482597456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287.69656598881124</v>
      </c>
      <c r="BJ147" s="62">
        <f t="shared" si="146"/>
        <v>221.9773436301067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1.0973863055462452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9.0452853192119453E-17</v>
      </c>
      <c r="BS147" s="24">
        <f t="shared" si="117"/>
        <v>1.0973863055462452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-2.1282176021486519E-13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228.57322051753096</v>
      </c>
      <c r="T148" s="62">
        <f t="shared" si="142"/>
        <v>168.91992124331932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221.96671908615446</v>
      </c>
      <c r="AO148" s="62">
        <f t="shared" si="144"/>
        <v>141.9613211447562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0.42110351675788982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3.4323814879261128E-17</v>
      </c>
      <c r="AX148" s="23">
        <f t="shared" si="114"/>
        <v>0.42110351675788987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287.69656598881124</v>
      </c>
      <c r="BJ148" s="62">
        <f t="shared" si="146"/>
        <v>221.9773436301067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1.0758672294340379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6.3959825869818917E-17</v>
      </c>
      <c r="BS148" s="24">
        <f t="shared" si="117"/>
        <v>1.0758672294340379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-2.1282176021486519E-13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228.57322051753096</v>
      </c>
      <c r="T149" s="62">
        <f t="shared" si="142"/>
        <v>168.91992124331932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221.96671908615446</v>
      </c>
      <c r="AO149" s="62">
        <f t="shared" si="144"/>
        <v>141.9613211447562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0.41284593364205119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2.4270602257317263E-17</v>
      </c>
      <c r="AX149" s="23">
        <f t="shared" si="114"/>
        <v>0.41284593364205119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287.69656598881124</v>
      </c>
      <c r="BJ149" s="62">
        <f t="shared" si="146"/>
        <v>221.9773436301067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1.0547701292790506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4.5226426596059727E-17</v>
      </c>
      <c r="BS149" s="24">
        <f t="shared" si="117"/>
        <v>1.0547701292790506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-2.1282176021486519E-13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228.57322051753096</v>
      </c>
      <c r="T150" s="62">
        <f t="shared" si="142"/>
        <v>168.91992124331932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221.96671908615446</v>
      </c>
      <c r="AO150" s="62">
        <f t="shared" si="144"/>
        <v>141.9613211447562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0.40475027669448582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1.7161907439630564E-17</v>
      </c>
      <c r="AX150" s="23">
        <f t="shared" si="114"/>
        <v>0.40475027669448582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287.69656598881124</v>
      </c>
      <c r="BJ150" s="62">
        <f t="shared" si="146"/>
        <v>221.9773436301067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1.034086730390142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3.1979912934909458E-17</v>
      </c>
      <c r="BS150" s="24">
        <f t="shared" si="117"/>
        <v>1.034086730390142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-2.1282176021486519E-13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228.57322051753096</v>
      </c>
      <c r="T151" s="62">
        <f t="shared" si="142"/>
        <v>168.91992124331932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221.96671908615446</v>
      </c>
      <c r="AO151" s="62">
        <f t="shared" si="144"/>
        <v>141.9613211447562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0.396813370641799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1.2135301128658631E-17</v>
      </c>
      <c r="AX151" s="23">
        <f t="shared" si="114"/>
        <v>0.396813370641799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287.69656598881124</v>
      </c>
      <c r="BJ151" s="62">
        <f t="shared" si="146"/>
        <v>221.9773436301067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1.0138089203378173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2.2613213298029863E-17</v>
      </c>
      <c r="BS151" s="24">
        <f t="shared" si="117"/>
        <v>1.0138089203378173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-2.1282176021486519E-13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228.57322051753096</v>
      </c>
      <c r="T152" s="62">
        <f t="shared" si="142"/>
        <v>168.91992124331932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221.96671908615446</v>
      </c>
      <c r="AO152" s="62">
        <f t="shared" si="144"/>
        <v>141.9613211447562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0.38903210247577069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8.580953719815282E-18</v>
      </c>
      <c r="AX152" s="23">
        <f t="shared" si="114"/>
        <v>0.38903210247577069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287.69656598881124</v>
      </c>
      <c r="BJ152" s="62">
        <f t="shared" si="146"/>
        <v>221.9773436301067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0.99392874577237589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1.5989956467454729E-17</v>
      </c>
      <c r="BS152" s="24">
        <f t="shared" si="117"/>
        <v>0.99392874577237589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-2.1282176021486519E-13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228.57322051753096</v>
      </c>
      <c r="T153" s="62">
        <f t="shared" si="142"/>
        <v>168.91992124331932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221.96671908615446</v>
      </c>
      <c r="AO153" s="62">
        <f t="shared" si="144"/>
        <v>141.9613211447562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0.38140342023237328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6.0676505643293157E-18</v>
      </c>
      <c r="AX153" s="23">
        <f t="shared" si="114"/>
        <v>0.38140342023237328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287.69656598881124</v>
      </c>
      <c r="BJ153" s="62">
        <f t="shared" si="146"/>
        <v>221.9773436301067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0.97443840930445358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1.1306606649014932E-17</v>
      </c>
      <c r="BS153" s="24">
        <f t="shared" si="117"/>
        <v>0.97443840930445358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-2.1282176021486519E-13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228.57322051753096</v>
      </c>
      <c r="T154" s="62">
        <f t="shared" si="142"/>
        <v>168.91992124331932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221.96671908615446</v>
      </c>
      <c r="AO154" s="62">
        <f t="shared" si="144"/>
        <v>141.9613211447562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0.37392433179473217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4.290476859907641E-18</v>
      </c>
      <c r="AX154" s="23">
        <f t="shared" ref="AX154:AX203" si="166">SUM(AU154:AW154)</f>
        <v>0.37392433179473217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287.69656598881124</v>
      </c>
      <c r="BJ154" s="62">
        <f t="shared" si="146"/>
        <v>221.9773436301067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0.95533026644673591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7.9949782337273646E-18</v>
      </c>
      <c r="BS154" s="24">
        <f t="shared" ref="BS154:BS203" si="169">SUM(BP154:BR154)</f>
        <v>0.95533026644673591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-2.1282176021486519E-13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228.57322051753096</v>
      </c>
      <c r="T155" s="62">
        <f t="shared" si="142"/>
        <v>168.91992124331932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221.96671908615446</v>
      </c>
      <c r="AO155" s="62">
        <f t="shared" si="144"/>
        <v>141.9613211447562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0.36659190371955969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3.0338252821646579E-18</v>
      </c>
      <c r="AX155" s="23">
        <f t="shared" si="166"/>
        <v>0.36659190371955969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287.69656598881124</v>
      </c>
      <c r="BJ155" s="62">
        <f t="shared" si="146"/>
        <v>221.9773436301067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0.9365968226156417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5.6533033245074658E-18</v>
      </c>
      <c r="BS155" s="24">
        <f t="shared" si="169"/>
        <v>0.9365968226156417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-2.1282176021486519E-13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228.57322051753096</v>
      </c>
      <c r="T156" s="62">
        <f t="shared" si="142"/>
        <v>168.91992124331932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221.96671908615446</v>
      </c>
      <c r="AO156" s="62">
        <f t="shared" si="144"/>
        <v>141.9613211447562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0.35940326008660184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2.1452384299538205E-18</v>
      </c>
      <c r="AX156" s="23">
        <f t="shared" si="166"/>
        <v>0.35940326008660184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287.69656598881124</v>
      </c>
      <c r="BJ156" s="62">
        <f t="shared" si="146"/>
        <v>221.9773436301067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0.91823073019180279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3.9974891168636823E-18</v>
      </c>
      <c r="BS156" s="24">
        <f t="shared" si="169"/>
        <v>0.91823073019180279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-2.1282176021486519E-13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228.57322051753096</v>
      </c>
      <c r="T157" s="62">
        <f t="shared" si="142"/>
        <v>168.91992124331932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221.96671908615446</v>
      </c>
      <c r="AO157" s="62">
        <f t="shared" si="144"/>
        <v>141.9613211447562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0.3523555813706466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1.5169126410823289E-18</v>
      </c>
      <c r="AX157" s="23">
        <f t="shared" si="166"/>
        <v>0.3523555813706466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287.69656598881124</v>
      </c>
      <c r="BJ157" s="62">
        <f t="shared" si="146"/>
        <v>221.9773436301067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0.90022478563818509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2.8266516622537329E-18</v>
      </c>
      <c r="BS157" s="24">
        <f t="shared" si="169"/>
        <v>0.90022478563818509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-2.1282176021486519E-13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228.57322051753096</v>
      </c>
      <c r="T158" s="62">
        <f t="shared" si="142"/>
        <v>168.91992124331932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221.96671908615446</v>
      </c>
      <c r="AO158" s="62">
        <f t="shared" si="144"/>
        <v>141.9613211447562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0.34544610333565168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1.0726192149769102E-18</v>
      </c>
      <c r="AX158" s="23">
        <f t="shared" si="166"/>
        <v>0.34544610333565168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287.69656598881124</v>
      </c>
      <c r="BJ158" s="62">
        <f t="shared" si="146"/>
        <v>221.9773436301067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0.88257192667472206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1.9987445584318411E-18</v>
      </c>
      <c r="BS158" s="24">
        <f t="shared" si="169"/>
        <v>0.88257192667472206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-2.1282176021486519E-13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228.57322051753096</v>
      </c>
      <c r="T159" s="62">
        <f t="shared" si="142"/>
        <v>168.91992124331932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221.96671908615446</v>
      </c>
      <c r="AO159" s="62">
        <f t="shared" si="144"/>
        <v>141.9613211447562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0.33867211595055757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7.5845632054116446E-19</v>
      </c>
      <c r="AX159" s="23">
        <f t="shared" si="166"/>
        <v>0.33867211595055757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287.69656598881124</v>
      </c>
      <c r="BJ159" s="62">
        <f t="shared" si="146"/>
        <v>221.9773436301067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0.86526522950835172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1.4133258311268665E-18</v>
      </c>
      <c r="BS159" s="24">
        <f t="shared" si="169"/>
        <v>0.86526522950835172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-2.1282176021486519E-13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228.57322051753096</v>
      </c>
      <c r="T160" s="62">
        <f t="shared" si="142"/>
        <v>168.91992124331932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221.96671908615446</v>
      </c>
      <c r="AO160" s="62">
        <f t="shared" si="144"/>
        <v>141.9613211447562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0.33203096232636081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5.3630960748845512E-19</v>
      </c>
      <c r="AX160" s="23">
        <f t="shared" si="166"/>
        <v>0.33203096232636081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287.69656598881124</v>
      </c>
      <c r="BJ160" s="62">
        <f t="shared" si="146"/>
        <v>221.9773436301067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0.84829790611737099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9.9937227921592057E-19</v>
      </c>
      <c r="BS160" s="24">
        <f t="shared" si="169"/>
        <v>0.84829790611737099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-2.1282176021486519E-13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228.57322051753096</v>
      </c>
      <c r="T161" s="62">
        <f t="shared" si="142"/>
        <v>168.91992124331932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221.96671908615446</v>
      </c>
      <c r="AO161" s="62">
        <f t="shared" si="144"/>
        <v>141.9613211447562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0.32552003767403082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3.7922816027058223E-19</v>
      </c>
      <c r="AX161" s="23">
        <f t="shared" si="166"/>
        <v>0.32552003767403082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287.69656598881124</v>
      </c>
      <c r="BJ161" s="62">
        <f t="shared" si="146"/>
        <v>221.9773436301067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0.831663301589042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7.0666291556343323E-19</v>
      </c>
      <c r="BS161" s="24">
        <f t="shared" si="169"/>
        <v>0.831663301589042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-2.1282176021486519E-13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228.57322051753096</v>
      </c>
      <c r="T162" s="62">
        <f t="shared" si="142"/>
        <v>168.91992124331932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221.96671908615446</v>
      </c>
      <c r="AO162" s="62">
        <f t="shared" si="144"/>
        <v>141.9613211447562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0.31913678828286113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2.6815480374422756E-19</v>
      </c>
      <c r="AX162" s="23">
        <f t="shared" si="166"/>
        <v>0.31913678828286113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287.69656598881124</v>
      </c>
      <c r="BJ162" s="62">
        <f t="shared" si="146"/>
        <v>221.9773436301067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0.81535489150940665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4.9968613960796029E-19</v>
      </c>
      <c r="BS162" s="24">
        <f t="shared" si="169"/>
        <v>0.81535489150940665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-2.1282176021486519E-13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228.57322051753096</v>
      </c>
      <c r="T163" s="62">
        <f t="shared" si="142"/>
        <v>168.91992124331932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221.96671908615446</v>
      </c>
      <c r="AO163" s="62">
        <f t="shared" si="144"/>
        <v>141.9613211447562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0.31287871051885457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1.8961408013529112E-19</v>
      </c>
      <c r="AX163" s="23">
        <f t="shared" si="166"/>
        <v>0.31287871051885457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287.69656598881124</v>
      </c>
      <c r="BJ163" s="62">
        <f t="shared" si="146"/>
        <v>221.9773436301067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0.79936627940428495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3.5333145778171661E-19</v>
      </c>
      <c r="BS163" s="24">
        <f t="shared" si="169"/>
        <v>0.79936627940428495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-2.1282176021486519E-13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228.57322051753096</v>
      </c>
      <c r="T164" s="62">
        <f t="shared" si="142"/>
        <v>168.91992124331932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221.96671908615446</v>
      </c>
      <c r="AO164" s="62">
        <f t="shared" si="144"/>
        <v>141.9613211447562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0.30674334984274965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1.3407740187211378E-19</v>
      </c>
      <c r="AX164" s="23">
        <f t="shared" si="166"/>
        <v>0.30674334984274965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287.69656598881124</v>
      </c>
      <c r="BJ164" s="62">
        <f t="shared" si="146"/>
        <v>221.9773436301067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0.7836911942304543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2.4984306980398014E-19</v>
      </c>
      <c r="BS164" s="24">
        <f t="shared" si="169"/>
        <v>0.7836911942304543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-2.1282176021486519E-13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228.57322051753096</v>
      </c>
      <c r="T165" s="62">
        <f t="shared" si="142"/>
        <v>168.91992124331932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221.96671908615446</v>
      </c>
      <c r="AO165" s="62">
        <f t="shared" si="144"/>
        <v>141.9613211447562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0.30072829984730265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9.4807040067645558E-20</v>
      </c>
      <c r="AX165" s="23">
        <f t="shared" si="166"/>
        <v>0.30072829984730265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287.69656598881124</v>
      </c>
      <c r="BJ165" s="62">
        <f t="shared" si="146"/>
        <v>221.9773436301067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0.76832348791602456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1.7666572889085831E-19</v>
      </c>
      <c r="BS165" s="24">
        <f t="shared" si="169"/>
        <v>0.76832348791602456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-2.1282176021486519E-13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228.57322051753096</v>
      </c>
      <c r="T166" s="62">
        <f t="shared" si="142"/>
        <v>168.91992124331932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221.96671908615446</v>
      </c>
      <c r="AO166" s="62">
        <f t="shared" si="144"/>
        <v>141.9613211447562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0.29483120131344814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6.703870093605689E-20</v>
      </c>
      <c r="AX166" s="23">
        <f t="shared" si="166"/>
        <v>0.29483120131344814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287.69656598881124</v>
      </c>
      <c r="BJ166" s="62">
        <f t="shared" si="146"/>
        <v>221.9773436301067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0.7532571329490455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1.2492153490199007E-19</v>
      </c>
      <c r="BS166" s="24">
        <f t="shared" si="169"/>
        <v>0.7532571329490455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-2.1282176021486519E-13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228.57322051753096</v>
      </c>
      <c r="T167" s="62">
        <f t="shared" si="142"/>
        <v>168.91992124331932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221.96671908615446</v>
      </c>
      <c r="AO167" s="62">
        <f t="shared" si="144"/>
        <v>141.9613211447562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0.28904974128496758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4.7403520033822779E-20</v>
      </c>
      <c r="AX167" s="23">
        <f t="shared" si="166"/>
        <v>0.28904974128496758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287.69656598881124</v>
      </c>
      <c r="BJ167" s="62">
        <f t="shared" si="146"/>
        <v>221.9773436301067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0.7384862200133997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8.8332864445429153E-20</v>
      </c>
      <c r="BS167" s="24">
        <f t="shared" si="169"/>
        <v>0.7384862200133997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-2.1282176021486519E-13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228.57322051753096</v>
      </c>
      <c r="T168" s="62">
        <f t="shared" si="142"/>
        <v>168.91992124331932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221.96671908615446</v>
      </c>
      <c r="AO168" s="62">
        <f t="shared" si="144"/>
        <v>141.9613211447562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0.28338165216130307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3.3519350468028445E-20</v>
      </c>
      <c r="AX168" s="23">
        <f t="shared" si="166"/>
        <v>0.28338165216130307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287.69656598881124</v>
      </c>
      <c r="BJ168" s="62">
        <f t="shared" si="146"/>
        <v>221.9773436301067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0.72400495567105461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6.2460767450995036E-20</v>
      </c>
      <c r="BS168" s="24">
        <f t="shared" si="169"/>
        <v>0.72400495567105461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-2.1282176021486519E-13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228.57322051753096</v>
      </c>
      <c r="T169" s="62">
        <f t="shared" si="142"/>
        <v>168.91992124331932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221.96671908615446</v>
      </c>
      <c r="AO169" s="62">
        <f t="shared" si="144"/>
        <v>141.9613211447562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0.27782471080816062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2.3701760016911389E-20</v>
      </c>
      <c r="AX169" s="23">
        <f t="shared" si="166"/>
        <v>0.27782471080816062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287.69656598881124</v>
      </c>
      <c r="BJ169" s="62">
        <f t="shared" si="146"/>
        <v>221.9773436301067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0.70980766008976381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4.4166432222714577E-20</v>
      </c>
      <c r="BS169" s="24">
        <f t="shared" si="169"/>
        <v>0.70980766008976381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-2.1282176021486519E-13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228.57322051753096</v>
      </c>
      <c r="T170" s="62">
        <f t="shared" si="142"/>
        <v>168.91992124331932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221.96671908615446</v>
      </c>
      <c r="AO170" s="62">
        <f t="shared" si="144"/>
        <v>141.9613211447562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0.27237673768555376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1.6759675234014223E-20</v>
      </c>
      <c r="AX170" s="23">
        <f t="shared" si="166"/>
        <v>0.27237673768555376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287.69656598881124</v>
      </c>
      <c r="BJ170" s="62">
        <f t="shared" si="146"/>
        <v>221.9773436301067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0.69588876481532691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3.1230383725497518E-20</v>
      </c>
      <c r="BS170" s="24">
        <f t="shared" si="169"/>
        <v>0.69588876481532691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-2.1282176021486519E-13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228.57322051753096</v>
      </c>
      <c r="T171" s="62">
        <f t="shared" si="142"/>
        <v>168.91992124331932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221.96671908615446</v>
      </c>
      <c r="AO171" s="62">
        <f t="shared" si="144"/>
        <v>141.9613211447562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0.26703559599294574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1.1850880008455695E-20</v>
      </c>
      <c r="AX171" s="23">
        <f t="shared" si="166"/>
        <v>0.26703559599294574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287.69656598881124</v>
      </c>
      <c r="BJ171" s="62">
        <f t="shared" si="146"/>
        <v>221.9773436301067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0.68224281058753389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2.2083216111357288E-20</v>
      </c>
      <c r="BS171" s="24">
        <f t="shared" si="169"/>
        <v>0.68224281058753389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-2.1282176021486519E-13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228.57322051753096</v>
      </c>
      <c r="T172" s="62">
        <f t="shared" si="142"/>
        <v>168.91992124331932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221.96671908615446</v>
      </c>
      <c r="AO172" s="62">
        <f t="shared" si="144"/>
        <v>141.9613211447562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0.26179919083115499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8.3798376170071113E-21</v>
      </c>
      <c r="AX172" s="23">
        <f t="shared" si="166"/>
        <v>0.26179919083115499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287.69656598881124</v>
      </c>
      <c r="BJ172" s="62">
        <f t="shared" si="146"/>
        <v>221.9773436301067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0.66886444519893773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1.5615191862748759E-20</v>
      </c>
      <c r="BS172" s="24">
        <f t="shared" si="169"/>
        <v>0.66886444519893773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-2.1282176021486519E-13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228.57322051753096</v>
      </c>
      <c r="T173" s="62">
        <f t="shared" si="142"/>
        <v>168.91992124331932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221.96671908615446</v>
      </c>
      <c r="AO173" s="62">
        <f t="shared" si="144"/>
        <v>141.9613211447562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0.25666546838069521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5.9254400042278474E-21</v>
      </c>
      <c r="AX173" s="23">
        <f t="shared" si="166"/>
        <v>0.25666546838069521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287.69656598881124</v>
      </c>
      <c r="BJ173" s="62">
        <f t="shared" si="146"/>
        <v>221.9773436301067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0.65574842139561473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1.1041608055678644E-20</v>
      </c>
      <c r="BS173" s="24">
        <f t="shared" si="169"/>
        <v>0.65574842139561473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-2.1282176021486519E-13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228.57322051753096</v>
      </c>
      <c r="T174" s="62">
        <f t="shared" si="142"/>
        <v>168.91992124331932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221.96671908615446</v>
      </c>
      <c r="AO174" s="62">
        <f t="shared" si="144"/>
        <v>141.9613211447562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0.25163241509622741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4.1899188085035556E-21</v>
      </c>
      <c r="AX174" s="23">
        <f t="shared" si="166"/>
        <v>0.25163241509622741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287.69656598881124</v>
      </c>
      <c r="BJ174" s="62">
        <f t="shared" si="146"/>
        <v>221.9773436301067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0.64288959481909036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7.8075959313743795E-21</v>
      </c>
      <c r="BS174" s="24">
        <f t="shared" si="169"/>
        <v>0.64288959481909036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-2.1282176021486519E-13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228.57322051753096</v>
      </c>
      <c r="T175" s="62">
        <f t="shared" si="142"/>
        <v>168.91992124331932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221.96671908615446</v>
      </c>
      <c r="AO175" s="62">
        <f t="shared" si="144"/>
        <v>141.9613211447562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0.24669805691680866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2.9627200021139237E-21</v>
      </c>
      <c r="AX175" s="23">
        <f t="shared" si="166"/>
        <v>0.24669805691680866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287.69656598881124</v>
      </c>
      <c r="BJ175" s="62">
        <f t="shared" si="146"/>
        <v>221.9773436301067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0.63028292198862179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5.5208040278393221E-21</v>
      </c>
      <c r="BS175" s="24">
        <f t="shared" si="169"/>
        <v>0.63028292198862179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-2.1282176021486519E-13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228.57322051753096</v>
      </c>
      <c r="T176" s="62">
        <f t="shared" si="142"/>
        <v>168.91992124331932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221.96671908615446</v>
      </c>
      <c r="AO176" s="62">
        <f t="shared" si="144"/>
        <v>141.9613211447562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0.24186045849162699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2.0949594042517778E-21</v>
      </c>
      <c r="AX176" s="23">
        <f t="shared" si="166"/>
        <v>0.24186045849162699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287.69656598881124</v>
      </c>
      <c r="BJ176" s="62">
        <f t="shared" si="146"/>
        <v>221.9773436301067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0.61792345832304751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3.9037979656871897E-21</v>
      </c>
      <c r="BS176" s="24">
        <f t="shared" si="169"/>
        <v>0.61792345832304751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-2.1282176021486519E-13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228.57322051753096</v>
      </c>
      <c r="T177" s="62">
        <f t="shared" si="142"/>
        <v>168.91992124331932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221.96671908615446</v>
      </c>
      <c r="AO177" s="62">
        <f t="shared" si="144"/>
        <v>141.9613211447562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0.23711772242091944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1.4813600010569618E-21</v>
      </c>
      <c r="AX177" s="23">
        <f t="shared" si="166"/>
        <v>0.23711772242091944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287.69656598881124</v>
      </c>
      <c r="BJ177" s="62">
        <f t="shared" si="146"/>
        <v>221.9773436301067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0.60580635620142675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2.760402013919661E-21</v>
      </c>
      <c r="BS177" s="24">
        <f t="shared" si="169"/>
        <v>0.60580635620142675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-2.1282176021486519E-13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228.57322051753096</v>
      </c>
      <c r="T178" s="62">
        <f t="shared" si="142"/>
        <v>168.91992124331932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221.96671908615446</v>
      </c>
      <c r="AO178" s="62">
        <f t="shared" si="144"/>
        <v>141.9613211447562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0.23246798851177511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1.0474797021258889E-21</v>
      </c>
      <c r="AX178" s="23">
        <f t="shared" si="166"/>
        <v>0.23246798851177511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287.69656598881124</v>
      </c>
      <c r="BJ178" s="62">
        <f t="shared" si="146"/>
        <v>221.9773436301067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0.59392686306170839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1.9518989828435949E-21</v>
      </c>
      <c r="BS178" s="24">
        <f t="shared" si="169"/>
        <v>0.59392686306170839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-2.1282176021486519E-13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228.57322051753096</v>
      </c>
      <c r="T179" s="62">
        <f t="shared" si="142"/>
        <v>168.91992124331932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221.96671908615446</v>
      </c>
      <c r="AO179" s="62">
        <f t="shared" si="144"/>
        <v>141.9613211447562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0.22790943304853145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7.4068000052848092E-22</v>
      </c>
      <c r="AX179" s="23">
        <f t="shared" si="166"/>
        <v>0.22790943304853145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287.69656598881124</v>
      </c>
      <c r="BJ179" s="62">
        <f t="shared" si="146"/>
        <v>221.9773436301067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0.58228031953668458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1.3802010069598305E-21</v>
      </c>
      <c r="BS179" s="24">
        <f t="shared" si="169"/>
        <v>0.58228031953668458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-2.1282176021486519E-13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228.57322051753096</v>
      </c>
      <c r="T180" s="62">
        <f t="shared" si="142"/>
        <v>168.91992124331932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221.96671908615446</v>
      </c>
      <c r="AO180" s="62">
        <f t="shared" si="144"/>
        <v>141.9613211447562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0.22344026807747772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5.2373985106294446E-22</v>
      </c>
      <c r="AX180" s="23">
        <f t="shared" si="166"/>
        <v>0.22344026807747772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287.69656598881124</v>
      </c>
      <c r="BJ180" s="62">
        <f t="shared" si="146"/>
        <v>221.9773436301067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0.57086215762649639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9.7594949142179743E-22</v>
      </c>
      <c r="BS180" s="24">
        <f t="shared" si="169"/>
        <v>0.57086215762649639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-2.1282176021486519E-13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228.57322051753096</v>
      </c>
      <c r="T181" s="62">
        <f t="shared" si="142"/>
        <v>168.91992124331932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221.96671908615446</v>
      </c>
      <c r="AO181" s="62">
        <f t="shared" si="144"/>
        <v>141.9613211447562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0.21905874070558487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3.7034000026424046E-22</v>
      </c>
      <c r="AX181" s="23">
        <f t="shared" si="166"/>
        <v>0.21905874070558487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287.69656598881124</v>
      </c>
      <c r="BJ181" s="62">
        <f t="shared" si="146"/>
        <v>221.9773436301067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0.55966789890697588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6.9010050347991526E-22</v>
      </c>
      <c r="BS181" s="24">
        <f t="shared" si="169"/>
        <v>0.55966789890697588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-2.1282176021486519E-13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228.57322051753096</v>
      </c>
      <c r="T182" s="62">
        <f t="shared" si="142"/>
        <v>168.91992124331932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221.96671908615446</v>
      </c>
      <c r="AO182" s="62">
        <f t="shared" si="144"/>
        <v>141.9613211447562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0.21476313241298703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2.6186992553147223E-22</v>
      </c>
      <c r="AX182" s="23">
        <f t="shared" si="166"/>
        <v>0.21476313241298703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287.69656598881124</v>
      </c>
      <c r="BJ182" s="62">
        <f t="shared" si="146"/>
        <v>221.9773436301067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0.54869315277312158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4.8797474571089872E-22</v>
      </c>
      <c r="BS182" s="24">
        <f t="shared" si="169"/>
        <v>0.54869315277312158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-2.1282176021486519E-13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228.57322051753096</v>
      </c>
      <c r="T183" s="62">
        <f t="shared" si="142"/>
        <v>168.91992124331932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221.96671908615446</v>
      </c>
      <c r="AO183" s="62">
        <f t="shared" si="144"/>
        <v>141.9613211447562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0.21055175837894469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1.8517000013212023E-22</v>
      </c>
      <c r="AX183" s="23">
        <f t="shared" si="166"/>
        <v>0.21055175837894469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287.69656598881124</v>
      </c>
      <c r="BJ183" s="62">
        <f t="shared" si="146"/>
        <v>221.9773436301067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0.53793361471701795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3.4505025173995763E-22</v>
      </c>
      <c r="BS183" s="24">
        <f t="shared" si="169"/>
        <v>0.53793361471701795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-2.1282176021486519E-13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228.57322051753096</v>
      </c>
      <c r="T184" s="62">
        <f t="shared" si="142"/>
        <v>168.91992124331932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221.96671908615446</v>
      </c>
      <c r="AO184" s="62">
        <f t="shared" si="144"/>
        <v>141.9613211447562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0.2064229668210254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1.3093496276573611E-22</v>
      </c>
      <c r="AX184" s="23">
        <f t="shared" si="166"/>
        <v>0.2064229668210254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287.69656598881124</v>
      </c>
      <c r="BJ184" s="62">
        <f t="shared" si="146"/>
        <v>221.9773436301067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0.52738506463952428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2.4398737285544936E-22</v>
      </c>
      <c r="BS184" s="24">
        <f t="shared" si="169"/>
        <v>0.52738506463952428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-2.1282176021486519E-13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228.57322051753096</v>
      </c>
      <c r="T185" s="62">
        <f t="shared" si="142"/>
        <v>168.91992124331932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221.96671908615446</v>
      </c>
      <c r="AO185" s="62">
        <f t="shared" si="144"/>
        <v>141.9613211447562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0.20237513834724272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9.2585000066060115E-23</v>
      </c>
      <c r="AX185" s="23">
        <f t="shared" si="166"/>
        <v>0.20237513834724272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287.69656598881124</v>
      </c>
      <c r="BJ185" s="62">
        <f t="shared" si="146"/>
        <v>221.9773436301067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0.5170433651950701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1.7252512586997882E-22</v>
      </c>
      <c r="BS185" s="24">
        <f t="shared" si="169"/>
        <v>0.5170433651950701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-2.1282176021486519E-13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228.57322051753096</v>
      </c>
      <c r="T186" s="62">
        <f t="shared" si="142"/>
        <v>168.91992124331932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221.96671908615446</v>
      </c>
      <c r="AO186" s="62">
        <f t="shared" si="144"/>
        <v>141.9613211447562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0.19840668532089933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6.5467481382868057E-23</v>
      </c>
      <c r="AX186" s="23">
        <f t="shared" si="166"/>
        <v>0.19840668532089933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287.69656598881124</v>
      </c>
      <c r="BJ186" s="62">
        <f t="shared" si="146"/>
        <v>221.9773436301067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0.50690446016890778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1.2199368642772468E-22</v>
      </c>
      <c r="BS186" s="24">
        <f t="shared" si="169"/>
        <v>0.50690446016890778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-2.1282176021486519E-13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228.57322051753096</v>
      </c>
      <c r="T187" s="62">
        <f t="shared" si="142"/>
        <v>168.91992124331932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221.96671908615446</v>
      </c>
      <c r="AO187" s="62">
        <f t="shared" si="144"/>
        <v>141.9613211447562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0.19451605123788521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4.6292500033030058E-23</v>
      </c>
      <c r="AX187" s="23">
        <f t="shared" si="166"/>
        <v>0.19451605123788521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287.69656598881124</v>
      </c>
      <c r="BJ187" s="62">
        <f t="shared" si="146"/>
        <v>221.9773436301067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0.49696437288618711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8.6262562934989408E-23</v>
      </c>
      <c r="BS187" s="24">
        <f t="shared" si="169"/>
        <v>0.49696437288618711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-2.1282176021486519E-13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228.57322051753096</v>
      </c>
      <c r="T188" s="62">
        <f t="shared" si="142"/>
        <v>168.91992124331932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221.96671908615446</v>
      </c>
      <c r="AO188" s="62">
        <f t="shared" si="144"/>
        <v>141.9613211447562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0.1907017101161865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3.2733740691434028E-23</v>
      </c>
      <c r="AX188" s="23">
        <f t="shared" si="166"/>
        <v>0.1907017101161865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287.69656598881124</v>
      </c>
      <c r="BJ188" s="62">
        <f t="shared" si="146"/>
        <v>221.9773436301067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0.48721920465222601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6.099684321386234E-23</v>
      </c>
      <c r="BS188" s="24">
        <f t="shared" si="169"/>
        <v>0.48721920465222601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-2.1282176021486519E-13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228.57322051753096</v>
      </c>
      <c r="T189" s="62">
        <f t="shared" si="142"/>
        <v>168.91992124331932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221.96671908615446</v>
      </c>
      <c r="AO189" s="62">
        <f t="shared" si="144"/>
        <v>141.9613211447562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0.18696216589736595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2.3146250016515029E-23</v>
      </c>
      <c r="AX189" s="23">
        <f t="shared" si="166"/>
        <v>0.18696216589736595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287.69656598881124</v>
      </c>
      <c r="BJ189" s="62">
        <f t="shared" si="146"/>
        <v>221.9773436301067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0.47766513322336718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4.3131281467494704E-23</v>
      </c>
      <c r="BS189" s="24">
        <f t="shared" si="169"/>
        <v>0.47766513322336718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-2.1282176021486519E-13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228.57322051753096</v>
      </c>
      <c r="T190" s="62">
        <f t="shared" si="142"/>
        <v>168.91992124331932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221.96671908615446</v>
      </c>
      <c r="AO190" s="62">
        <f t="shared" si="144"/>
        <v>141.9613211447562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0.1832959518597797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1.6366870345717014E-23</v>
      </c>
      <c r="AX190" s="23">
        <f t="shared" si="166"/>
        <v>0.1832959518597797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287.69656598881124</v>
      </c>
      <c r="BJ190" s="62">
        <f t="shared" si="146"/>
        <v>221.9773436301067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0.46829841130782007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3.049842160693117E-23</v>
      </c>
      <c r="BS190" s="24">
        <f t="shared" si="169"/>
        <v>0.46829841130782007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-2.1282176021486519E-13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228.57322051753096</v>
      </c>
      <c r="T191" s="62">
        <f t="shared" si="142"/>
        <v>168.91992124331932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221.96671908615446</v>
      </c>
      <c r="AO191" s="62">
        <f t="shared" si="144"/>
        <v>141.9613211447562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0.17970163004330078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1.1573125008257514E-23</v>
      </c>
      <c r="AX191" s="23">
        <f t="shared" si="166"/>
        <v>0.17970163004330078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287.69656598881124</v>
      </c>
      <c r="BJ191" s="62">
        <f t="shared" si="146"/>
        <v>221.9773436301067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0.45911536509590062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2.1565640733747352E-23</v>
      </c>
      <c r="BS191" s="24">
        <f t="shared" si="169"/>
        <v>0.45911536509590062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-2.1282176021486519E-13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228.57322051753096</v>
      </c>
      <c r="T192" s="62">
        <f t="shared" si="142"/>
        <v>168.91992124331932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221.96671908615446</v>
      </c>
      <c r="AO192" s="62">
        <f t="shared" si="144"/>
        <v>141.9613211447562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0.17617779068532316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8.1834351728585071E-24</v>
      </c>
      <c r="AX192" s="23">
        <f t="shared" si="166"/>
        <v>0.17617779068532316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287.69656598881124</v>
      </c>
      <c r="BJ192" s="62">
        <f t="shared" si="146"/>
        <v>221.9773436301067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0.45011239281909177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1.5249210803465585E-23</v>
      </c>
      <c r="BS192" s="24">
        <f t="shared" si="169"/>
        <v>0.45011239281909177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-2.1282176021486519E-13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228.57322051753096</v>
      </c>
      <c r="T193" s="62">
        <f t="shared" si="142"/>
        <v>168.91992124331932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221.96671908615446</v>
      </c>
      <c r="AO193" s="62">
        <f t="shared" si="144"/>
        <v>141.9613211447562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0.1727230516678257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5.7865625041287572E-24</v>
      </c>
      <c r="AX193" s="23">
        <f t="shared" si="166"/>
        <v>0.1727230516678257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287.69656598881124</v>
      </c>
      <c r="BJ193" s="62">
        <f t="shared" si="146"/>
        <v>221.9773436301067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0.44128596333736025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1.0782820366873676E-23</v>
      </c>
      <c r="BS193" s="24">
        <f t="shared" si="169"/>
        <v>0.44128596333736025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-2.1282176021486519E-13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228.57322051753096</v>
      </c>
      <c r="T194" s="62">
        <f t="shared" si="142"/>
        <v>168.91992124331932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221.96671908615446</v>
      </c>
      <c r="AO194" s="62">
        <f t="shared" si="144"/>
        <v>141.9613211447562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0.16933605797527865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4.0917175864292536E-24</v>
      </c>
      <c r="AX194" s="23">
        <f t="shared" si="166"/>
        <v>0.16933605797527865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287.69656598881124</v>
      </c>
      <c r="BJ194" s="62">
        <f t="shared" si="146"/>
        <v>221.9773436301067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0.43263261475417514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7.6246054017327925E-24</v>
      </c>
      <c r="BS194" s="24">
        <f t="shared" si="169"/>
        <v>0.43263261475417514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-2.1282176021486519E-13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228.57322051753096</v>
      </c>
      <c r="T195" s="62">
        <f t="shared" si="142"/>
        <v>168.91992124331932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221.96671908615446</v>
      </c>
      <c r="AO195" s="62">
        <f t="shared" si="144"/>
        <v>141.9613211447562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0.16601548116318027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2.8932812520643786E-24</v>
      </c>
      <c r="AX195" s="23">
        <f t="shared" si="166"/>
        <v>0.16601548116318027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287.69656598881124</v>
      </c>
      <c r="BJ195" s="62">
        <f t="shared" si="146"/>
        <v>221.9773436301067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0.42414895305868477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5.391410183436838E-24</v>
      </c>
      <c r="BS195" s="24">
        <f t="shared" si="169"/>
        <v>0.42414895305868477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-2.1282176021486519E-13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228.57322051753096</v>
      </c>
      <c r="T196" s="62">
        <f t="shared" si="142"/>
        <v>168.91992124331932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221.96671908615446</v>
      </c>
      <c r="AO196" s="62">
        <f t="shared" si="144"/>
        <v>141.9613211447562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0.16276001883701527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2.0458587932146268E-24</v>
      </c>
      <c r="AX196" s="23">
        <f t="shared" si="166"/>
        <v>0.16276001883701527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287.69656598881124</v>
      </c>
      <c r="BJ196" s="62">
        <f t="shared" si="146"/>
        <v>221.9773436301067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0.41583165079452028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3.8123027008663962E-24</v>
      </c>
      <c r="BS196" s="24">
        <f t="shared" si="169"/>
        <v>0.41583165079452028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-2.1282176021486519E-13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228.57322051753096</v>
      </c>
      <c r="T197" s="62">
        <f t="shared" ref="T197:T203" si="204">$T$3</f>
        <v>168.91992124331932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221.96671908615446</v>
      </c>
      <c r="AO197" s="62">
        <f t="shared" ref="AO197:AO203" si="205">$AO$3</f>
        <v>141.9613211447562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0.15956839414143043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1.4466406260321893E-24</v>
      </c>
      <c r="AX197" s="23">
        <f t="shared" si="166"/>
        <v>0.15956839414143043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287.69656598881124</v>
      </c>
      <c r="BJ197" s="62">
        <f t="shared" ref="BJ197:BJ203" si="206">$BJ$3</f>
        <v>221.9773436301067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0.40767744575470261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2.695705091718419E-24</v>
      </c>
      <c r="BS197" s="24">
        <f t="shared" si="169"/>
        <v>0.40767744575470261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-2.1282176021486519E-13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228.57322051753096</v>
      </c>
      <c r="T198" s="62">
        <f t="shared" si="204"/>
        <v>168.91992124331932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221.96671908615446</v>
      </c>
      <c r="AO198" s="62">
        <f t="shared" si="205"/>
        <v>141.9613211447562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0.15643935525942715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1.0229293966073134E-24</v>
      </c>
      <c r="AX198" s="23">
        <f t="shared" si="166"/>
        <v>0.15643935525942715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287.69656598881124</v>
      </c>
      <c r="BJ198" s="62">
        <f t="shared" si="206"/>
        <v>221.9773436301067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0.39968313970214181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1.9061513504331981E-24</v>
      </c>
      <c r="BS198" s="24">
        <f t="shared" si="169"/>
        <v>0.39968313970214181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-2.1282176021486519E-13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228.57322051753096</v>
      </c>
      <c r="T199" s="62">
        <f t="shared" si="204"/>
        <v>168.91992124331932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221.96671908615446</v>
      </c>
      <c r="AO199" s="62">
        <f t="shared" si="205"/>
        <v>141.9613211447562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0.15337167492137468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7.2332031301609465E-25</v>
      </c>
      <c r="AX199" s="23">
        <f t="shared" si="166"/>
        <v>0.15337167492137468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287.69656598881124</v>
      </c>
      <c r="BJ199" s="62">
        <f t="shared" si="206"/>
        <v>221.9773436301067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0.39184559711522648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1.3478525458592095E-24</v>
      </c>
      <c r="BS199" s="24">
        <f t="shared" si="169"/>
        <v>0.39184559711522648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-2.1282176021486519E-13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228.57322051753096</v>
      </c>
      <c r="T200" s="62">
        <f t="shared" si="204"/>
        <v>168.91992124331932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221.96671908615446</v>
      </c>
      <c r="AO200" s="62">
        <f t="shared" si="205"/>
        <v>141.9613211447562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0.15036414992365119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5.114646983036567E-25</v>
      </c>
      <c r="AX200" s="23">
        <f t="shared" si="166"/>
        <v>0.15036414992365119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287.69656598881124</v>
      </c>
      <c r="BJ200" s="62">
        <f t="shared" si="206"/>
        <v>221.9773436301067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0.38416174395801161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9.5307567521659906E-25</v>
      </c>
      <c r="BS200" s="24">
        <f t="shared" si="169"/>
        <v>0.38416174395801161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-2.1282176021486519E-13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228.57322051753096</v>
      </c>
      <c r="T201" s="62">
        <f t="shared" si="204"/>
        <v>168.91992124331932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221.96671908615446</v>
      </c>
      <c r="AO201" s="62">
        <f t="shared" si="205"/>
        <v>141.9613211447562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0.14741560065672393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3.6166015650804733E-25</v>
      </c>
      <c r="AX201" s="23">
        <f t="shared" si="166"/>
        <v>0.14741560065672393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287.69656598881124</v>
      </c>
      <c r="BJ201" s="62">
        <f t="shared" si="206"/>
        <v>221.9773436301067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0.37662856647452209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6.7392627292960475E-25</v>
      </c>
      <c r="BS201" s="24">
        <f t="shared" si="169"/>
        <v>0.37662856647452209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-2.1282176021486519E-13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228.57322051753096</v>
      </c>
      <c r="T202" s="62">
        <f t="shared" si="204"/>
        <v>168.91992124331932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221.96671908615446</v>
      </c>
      <c r="AO202" s="62">
        <f t="shared" si="205"/>
        <v>141.9613211447562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0.14452487064248365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2.5573234915182835E-25</v>
      </c>
      <c r="AX202" s="23">
        <f t="shared" si="166"/>
        <v>0.14452487064248365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287.69656598881124</v>
      </c>
      <c r="BJ202" s="62">
        <f t="shared" si="206"/>
        <v>221.9773436301067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0.36924311000669924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4.7653783760829953E-25</v>
      </c>
      <c r="BS202" s="24">
        <f t="shared" si="169"/>
        <v>0.36924311000669924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-2.1282176021486519E-13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228.57322051753096</v>
      </c>
      <c r="T203" s="62">
        <f t="shared" si="204"/>
        <v>168.91992124331932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221.96671908615446</v>
      </c>
      <c r="AO203" s="62">
        <f t="shared" si="205"/>
        <v>141.9613211447562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0.14169082608065139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1.8083007825402366E-25</v>
      </c>
      <c r="AX203" s="23">
        <f t="shared" si="166"/>
        <v>0.14169082608065139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287.69656598881124</v>
      </c>
      <c r="BJ203" s="62">
        <f t="shared" si="206"/>
        <v>221.9773436301067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0.36200247783552675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3.3696313646480237E-25</v>
      </c>
      <c r="BS203" s="24">
        <f t="shared" si="169"/>
        <v>0.36200247783552675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1.1922168590978506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1.1932635389591795</v>
      </c>
      <c r="BA205" s="88">
        <f>EXP(LN('Données projet'!B88)/'Données projet'!A88)</f>
        <v>1.244502252163008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20" sqref="L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1.875</v>
      </c>
      <c r="C6" s="156">
        <f ca="1">IF(OR('Données projet'!B9="",'Données projet'!C9="",'Données projet'!C9=0%),0,Calculateur!S3)</f>
        <v>228.57322051753096</v>
      </c>
      <c r="D6" s="156">
        <f>IF(OR('Données projet'!B9="",'Données projet'!C9="",'Données projet'!C9=0%),0,Calculateur!T3)</f>
        <v>168.91992124331932</v>
      </c>
      <c r="E6" s="156">
        <f ca="1">MIN(C6,D6)</f>
        <v>168.91992124331932</v>
      </c>
      <c r="F6" s="156">
        <f ca="1">E6*B6</f>
        <v>316.7248523312237</v>
      </c>
      <c r="G6" s="156">
        <f ca="1">F6*(100%-'Données projet'!$C$24)*(100%-'Données projet'!$C$25)*(100%-'Données projet'!$C$26)*(100%-'Données projet'!$C$27)</f>
        <v>242.29451203338613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242.29451203338613</v>
      </c>
      <c r="M6" s="25">
        <f ca="1">L6/B6</f>
        <v>129.22373975113928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1.21875</v>
      </c>
      <c r="C7" s="156">
        <f ca="1">IF(OR('Données projet'!B10="",'Données projet'!C10="",'Données projet'!C10=0%),0,Calculateur!AN3)</f>
        <v>221.96671908615446</v>
      </c>
      <c r="D7" s="156">
        <f>IF(OR('Données projet'!B10="",'Données projet'!C10="",'Données projet'!C10=0%),0,Calculateur!AO3)</f>
        <v>141.9613211447562</v>
      </c>
      <c r="E7" s="156">
        <f t="shared" ref="E7:E15" ca="1" si="0">MIN(C7,D7)</f>
        <v>141.9613211447562</v>
      </c>
      <c r="F7" s="156">
        <f t="shared" ref="F7:F15" ca="1" si="1">E7*B7</f>
        <v>173.01536014517163</v>
      </c>
      <c r="G7" s="156">
        <f ca="1">F7*(100%-'Données projet'!$C$24)*(100%-'Données projet'!$C$25)*(100%-'Données projet'!$C$26)*(100%-'Données projet'!$C$27)</f>
        <v>132.3567505110563</v>
      </c>
      <c r="H7" s="164">
        <f>IF(OR('Données projet'!B10="",'Données projet'!C10="",'Données projet'!C10=0%),0,AVERAGE(Calculateur!$AX$3:$AX$33)*B7)</f>
        <v>1.2129313016754724</v>
      </c>
      <c r="I7" s="158">
        <f>H7*(100%-'Données projet'!$C$24)*(100%-'Données projet'!$C$25)*(100%-'Données projet'!$C$26)*(100%-'Données projet'!$C$27)</f>
        <v>0.92789244578173624</v>
      </c>
      <c r="J7" s="159">
        <f>IF(OR('Données projet'!B10="",'Données projet'!C10="",'Données projet'!C10=0%),0,SUM(Calculateur!$AQ$3:$AQ$33)*VLOOKUP('Données projet'!$B$10,Paramètres!$A$1:$I$89,9,0)*B7)</f>
        <v>14.673749999999998</v>
      </c>
      <c r="K7" s="160">
        <f>J7*(100%-'Données projet'!$C$24)*(100%-'Données projet'!$C$25)*(100%-'Données projet'!$C$26)*(100%-'Données projet'!$C$27)</f>
        <v>11.225418749999999</v>
      </c>
      <c r="L7" s="161">
        <f t="shared" ref="L7:L15" ca="1" si="2">G7+I7+K7</f>
        <v>144.51006170683803</v>
      </c>
      <c r="M7" s="25">
        <f ca="1">L7/B7</f>
        <v>118.57235832355941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0.65625</v>
      </c>
      <c r="C8" s="156">
        <f ca="1">IF(OR('Données projet'!B11="",'Données projet'!C11="",'Données projet'!C11=0%),0,Calculateur!BI3)</f>
        <v>287.69656598881124</v>
      </c>
      <c r="D8" s="156">
        <f>IF(OR('Données projet'!B11="",'Données projet'!C11="",'Données projet'!C11=0%),0,Calculateur!BJ3)</f>
        <v>221.9773436301067</v>
      </c>
      <c r="E8" s="156">
        <f t="shared" ca="1" si="0"/>
        <v>221.9773436301067</v>
      </c>
      <c r="F8" s="156">
        <f t="shared" ca="1" si="1"/>
        <v>145.67263175725753</v>
      </c>
      <c r="G8" s="156">
        <f ca="1">F8*(100%-'Données projet'!$C$24)*(100%-'Données projet'!$C$25)*(100%-'Données projet'!$C$26)*(100%-'Données projet'!$C$27)</f>
        <v>111.43956329430202</v>
      </c>
      <c r="H8" s="164">
        <f>IF(OR('Données projet'!B11="",'Données projet'!C11="",'Données projet'!C11=0%),0,AVERAGE(Calculateur!$BS$3:$BS$33)*B8)</f>
        <v>1.9544864738004497</v>
      </c>
      <c r="I8" s="158">
        <f>H8*(100%-'Données projet'!$C$24)*(100%-'Données projet'!$C$25)*(100%-'Données projet'!$C$26)*(100%-'Données projet'!$C$27)</f>
        <v>1.4951821524573441</v>
      </c>
      <c r="J8" s="159">
        <f>IF(OR('Données projet'!B11="",'Données projet'!C11="",'Données projet'!C11=0%),0,SUM(Calculateur!$BL$3:$BL$33)*VLOOKUP('Données projet'!$B$11,Paramètres!$A$1:$I$89,9,0)*B8)</f>
        <v>18.9065625</v>
      </c>
      <c r="K8" s="160">
        <f>J8*(100%-'Données projet'!$C$24)*(100%-'Données projet'!$C$25)*(100%-'Données projet'!$C$26)*(100%-'Données projet'!$C$27)</f>
        <v>14.4635203125</v>
      </c>
      <c r="L8" s="161">
        <f t="shared" ca="1" si="2"/>
        <v>127.39826575925936</v>
      </c>
      <c r="M8" s="25">
        <f ca="1">L8/B8</f>
        <v>194.13069068077615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635.41284423365278</v>
      </c>
      <c r="G16" s="175">
        <f t="shared" ca="1" si="3"/>
        <v>486.09082583874442</v>
      </c>
      <c r="H16" s="176">
        <f t="shared" si="3"/>
        <v>3.1674177754759221</v>
      </c>
      <c r="I16" s="176">
        <f t="shared" si="3"/>
        <v>2.4230745982390802</v>
      </c>
      <c r="J16" s="177">
        <f t="shared" si="3"/>
        <v>33.580312499999998</v>
      </c>
      <c r="K16" s="177">
        <f t="shared" si="3"/>
        <v>25.688939062499998</v>
      </c>
      <c r="L16" s="178">
        <f t="shared" ca="1" si="3"/>
        <v>514.2028394994835</v>
      </c>
      <c r="M16" s="25">
        <f ca="1">L16/3.75</f>
        <v>137.12075719986225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30" sqref="I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2074.8438683025861</v>
      </c>
      <c r="U10" s="190">
        <f>'Données projet'!D9</f>
        <v>1.875</v>
      </c>
      <c r="V10" s="189">
        <f>U10*T10</f>
        <v>3890.332253067349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399.98696122768274</v>
      </c>
      <c r="U11" s="190">
        <f>'Données projet'!D10</f>
        <v>1.21875</v>
      </c>
      <c r="V11" s="189">
        <f t="shared" ref="V11" si="0">U11*T11</f>
        <v>487.48410899623832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2526.185062538596</v>
      </c>
      <c r="U12" s="190">
        <f>'Données projet'!D11</f>
        <v>0.65625</v>
      </c>
      <c r="V12" s="189">
        <f t="shared" ref="V12:V19" si="1">U12*T12</f>
        <v>1657.8089472909537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3</v>
      </c>
      <c r="I15" s="204">
        <f>13416.78/3.75</f>
        <v>3577.808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5369.6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700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730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-9692.2506105515131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35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482.0021414925933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42</v>
      </c>
      <c r="B25" s="193">
        <f>'Données projet'!D38</f>
        <v>182.39</v>
      </c>
      <c r="C25" s="206">
        <v>15</v>
      </c>
      <c r="D25" s="194">
        <f t="shared" si="2"/>
        <v>2735.85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-10174.252752044107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43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100.16</v>
      </c>
      <c r="C27" s="206">
        <v>25</v>
      </c>
      <c r="D27" s="194">
        <f t="shared" si="2"/>
        <v>2504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79.39</v>
      </c>
      <c r="C29" s="206">
        <v>30</v>
      </c>
      <c r="D29" s="194">
        <f t="shared" si="2"/>
        <v>2381.6999999999998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57</v>
      </c>
      <c r="B30" s="193">
        <f>'Données projet'!D43</f>
        <v>0</v>
      </c>
      <c r="C30" s="206">
        <v>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79.099999999999994</v>
      </c>
      <c r="C31" s="206">
        <v>35</v>
      </c>
      <c r="D31" s="194">
        <f t="shared" si="2"/>
        <v>2768.5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64</v>
      </c>
      <c r="B32" s="193">
        <f>'Données projet'!D45</f>
        <v>0</v>
      </c>
      <c r="C32" s="206">
        <v>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71</v>
      </c>
      <c r="B33" s="193">
        <f>'Données projet'!D46</f>
        <v>90.8</v>
      </c>
      <c r="C33" s="206">
        <v>40</v>
      </c>
      <c r="D33" s="194">
        <f t="shared" si="2"/>
        <v>3632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72</v>
      </c>
      <c r="B34" s="193">
        <f>'Données projet'!D47</f>
        <v>0</v>
      </c>
      <c r="C34" s="206">
        <v>0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79</v>
      </c>
      <c r="B35" s="193">
        <f>'Données projet'!D48</f>
        <v>87.99</v>
      </c>
      <c r="C35" s="206">
        <v>50</v>
      </c>
      <c r="D35" s="194">
        <f t="shared" si="2"/>
        <v>4399.5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0</v>
      </c>
      <c r="C36" s="206"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87</v>
      </c>
      <c r="B37" s="193">
        <f>'Données projet'!D50</f>
        <v>88.62</v>
      </c>
      <c r="C37" s="206">
        <v>60</v>
      </c>
      <c r="D37" s="194">
        <f t="shared" si="2"/>
        <v>5317.2000000000007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88</v>
      </c>
      <c r="B38" s="193">
        <f>'Données projet'!D51</f>
        <v>0</v>
      </c>
      <c r="C38" s="206"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94</v>
      </c>
      <c r="B39" s="193">
        <f>'Données projet'!D52</f>
        <v>0</v>
      </c>
      <c r="C39" s="206"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95</v>
      </c>
      <c r="B40" s="193">
        <f>'Données projet'!D53</f>
        <v>268.81</v>
      </c>
      <c r="C40" s="206">
        <v>70</v>
      </c>
      <c r="D40" s="194">
        <f t="shared" si="2"/>
        <v>18816.7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96</v>
      </c>
      <c r="B41" s="193">
        <f>'Données projet'!D54</f>
        <v>0</v>
      </c>
      <c r="C41" s="206"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105</v>
      </c>
      <c r="B42" s="193">
        <f>'Données projet'!D55</f>
        <v>356.68</v>
      </c>
      <c r="C42" s="206">
        <v>80</v>
      </c>
      <c r="D42" s="194">
        <f t="shared" si="2"/>
        <v>28534.400000000001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27</v>
      </c>
      <c r="B54" s="193">
        <f>'Données projet'!D62</f>
        <v>15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13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23</v>
      </c>
      <c r="C56" s="204">
        <v>15</v>
      </c>
      <c r="D56" s="191">
        <f t="shared" si="4"/>
        <v>345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34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50</v>
      </c>
      <c r="B58" s="193">
        <f>'Données projet'!D66</f>
        <v>79</v>
      </c>
      <c r="C58" s="204">
        <v>25</v>
      </c>
      <c r="D58" s="191">
        <f t="shared" si="4"/>
        <v>1975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60</v>
      </c>
      <c r="B59" s="193">
        <f>'Données projet'!D67</f>
        <v>88</v>
      </c>
      <c r="C59" s="204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70</v>
      </c>
      <c r="B60" s="193">
        <f>'Données projet'!D68</f>
        <v>78</v>
      </c>
      <c r="C60" s="204">
        <v>30</v>
      </c>
      <c r="D60" s="191">
        <f t="shared" si="4"/>
        <v>2340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80</v>
      </c>
      <c r="B61" s="193">
        <f>'Données projet'!D69</f>
        <v>460</v>
      </c>
      <c r="C61" s="204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>
        <v>0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>
        <v>35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>
        <v>0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>
        <v>40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>
        <v>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>
        <v>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>
        <v>60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>
        <v>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>
        <v>0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>
        <v>70</v>
      </c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>
        <v>0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>
        <v>80</v>
      </c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04">
        <v>15</v>
      </c>
      <c r="D85" s="191">
        <f>B85*C85</f>
        <v>240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04">
        <v>20</v>
      </c>
      <c r="D86" s="191">
        <f t="shared" ref="D86:D104" si="6">B86*C86</f>
        <v>340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04">
        <v>20</v>
      </c>
      <c r="D87" s="191">
        <f t="shared" si="6"/>
        <v>680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04">
        <v>20</v>
      </c>
      <c r="D88" s="191">
        <f t="shared" si="6"/>
        <v>820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04">
        <v>30</v>
      </c>
      <c r="D89" s="191">
        <f t="shared" si="6"/>
        <v>1230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04">
        <v>30</v>
      </c>
      <c r="D90" s="191">
        <f t="shared" si="6"/>
        <v>1590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04">
        <v>30</v>
      </c>
      <c r="D91" s="191">
        <f t="shared" si="6"/>
        <v>1590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04">
        <v>40</v>
      </c>
      <c r="D92" s="191">
        <f t="shared" si="6"/>
        <v>3120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04">
        <v>40</v>
      </c>
      <c r="D93" s="191">
        <f t="shared" si="6"/>
        <v>2600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04">
        <v>50</v>
      </c>
      <c r="D94" s="191">
        <f t="shared" si="6"/>
        <v>1850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555</v>
      </c>
      <c r="C95" s="204">
        <v>60</v>
      </c>
      <c r="D95" s="191">
        <f t="shared" si="6"/>
        <v>33300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>
        <v>15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>
        <v>20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>
        <v>30</v>
      </c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>
        <v>30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>
        <v>40</v>
      </c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>
        <v>40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>
        <v>50</v>
      </c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>
        <v>60</v>
      </c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2025-03-25T14:00:23Z</dcterms:modified>
</cp:coreProperties>
</file>