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DE RUSSON Jean/Soulgé-sur-Ouette/2.Dossier_LBC_déposé/"/>
    </mc:Choice>
  </mc:AlternateContent>
  <xr:revisionPtr revIDLastSave="1" documentId="14_{27DD4C82-E08B-40B6-9BB5-00D99FF1CC53}" xr6:coauthVersionLast="47" xr6:coauthVersionMax="47" xr10:uidLastSave="{E28C1BF3-B7D0-4729-AA40-FBB7D1A33BA7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A33" i="2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X155" i="2"/>
  <c r="ED154" i="2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HI156" i="2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H160" i="2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B163" i="2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DI163" i="2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FS175" i="2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HH179" i="2"/>
  <c r="EV179" i="2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D184" i="2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EV189" i="2"/>
  <c r="HH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EB193" i="2"/>
  <c r="DI192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X202" i="2"/>
  <c r="FS202" i="2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29" i="2" a="1"/>
  <c r="EI29" i="2" s="1"/>
  <c r="EI162" i="2" a="1"/>
  <c r="EI162" i="2" s="1"/>
  <c r="EI178" i="2" a="1"/>
  <c r="EI178" i="2" s="1"/>
  <c r="EI142" i="2" a="1"/>
  <c r="EI142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FD82" i="2" a="1"/>
  <c r="FD82" i="2" s="1"/>
  <c r="HJ202" i="2"/>
  <c r="AX200" i="2"/>
  <c r="DN152" i="2" l="1" a="1"/>
  <c r="DN152" i="2" s="1"/>
  <c r="DN31" i="2" a="1"/>
  <c r="DN31" i="2" s="1"/>
  <c r="EI145" i="2" a="1"/>
  <c r="EI145" i="2" s="1"/>
  <c r="EI150" i="2" a="1"/>
  <c r="EI150" i="2" s="1"/>
  <c r="EI153" i="2" a="1"/>
  <c r="EI153" i="2" s="1"/>
  <c r="EI166" i="2" a="1"/>
  <c r="EI166" i="2" s="1"/>
  <c r="EI198" i="2" a="1"/>
  <c r="EI198" i="2" s="1"/>
  <c r="EI195" i="2" a="1"/>
  <c r="EI195" i="2" s="1"/>
  <c r="DN168" i="2" a="1"/>
  <c r="DN168" i="2" s="1"/>
  <c r="BC143" i="2" a="1"/>
  <c r="BC143" i="2" s="1"/>
  <c r="BC7" i="2" a="1"/>
  <c r="BC7" i="2" s="1"/>
  <c r="BC185" i="2" a="1"/>
  <c r="BC185" i="2" s="1"/>
  <c r="BC68" i="2" a="1"/>
  <c r="BC68" i="2" s="1"/>
  <c r="BC151" i="2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Y26" i="2" l="1"/>
  <c r="CY54" i="2"/>
  <c r="CY65" i="2"/>
  <c r="CY164" i="2"/>
  <c r="CY94" i="2"/>
  <c r="CY188" i="2"/>
  <c r="CY103" i="2"/>
  <c r="CY152" i="2"/>
  <c r="CY85" i="2"/>
  <c r="CY194" i="2"/>
  <c r="CY149" i="2"/>
  <c r="CY102" i="2"/>
  <c r="CY11" i="2"/>
  <c r="CY99" i="2"/>
  <c r="CY31" i="2"/>
  <c r="CY148" i="2"/>
  <c r="CY192" i="2"/>
  <c r="CY51" i="2"/>
  <c r="CY119" i="2"/>
  <c r="CY81" i="2"/>
  <c r="CY68" i="2"/>
  <c r="CY88" i="2"/>
  <c r="CY117" i="2"/>
  <c r="CY199" i="2"/>
  <c r="CY133" i="2"/>
  <c r="CY185" i="2"/>
  <c r="CY46" i="2"/>
  <c r="CY165" i="2"/>
  <c r="CY62" i="2"/>
  <c r="CY153" i="2"/>
  <c r="CY37" i="2"/>
  <c r="CY24" i="2"/>
  <c r="CY33" i="2"/>
  <c r="CY57" i="2"/>
  <c r="CY130" i="2"/>
  <c r="CY39" i="2"/>
  <c r="CY157" i="2"/>
  <c r="CY66" i="2"/>
  <c r="CY174" i="2"/>
  <c r="CY193" i="2"/>
  <c r="CY110" i="2"/>
  <c r="CY167" i="2"/>
  <c r="CY176" i="2"/>
  <c r="CY63" i="2"/>
  <c r="CY169" i="2"/>
  <c r="CY96" i="2"/>
  <c r="CY69" i="2"/>
  <c r="CY177" i="2"/>
  <c r="CY58" i="2"/>
  <c r="CY20" i="2"/>
  <c r="CY123" i="2"/>
  <c r="CY53" i="2"/>
  <c r="CY34" i="2"/>
  <c r="CY143" i="2"/>
  <c r="CY22" i="2"/>
  <c r="CY87" i="2"/>
  <c r="CY40" i="2"/>
  <c r="CY126" i="2"/>
  <c r="CY139" i="2"/>
  <c r="CY113" i="2"/>
  <c r="CY159" i="2"/>
  <c r="CY170" i="2"/>
  <c r="CY107" i="2"/>
  <c r="CY36" i="2"/>
  <c r="CY190" i="2"/>
  <c r="CY14" i="2"/>
  <c r="CY142" i="2"/>
  <c r="CY184" i="2"/>
  <c r="CY44" i="2"/>
  <c r="CY114" i="2"/>
  <c r="CY27" i="2"/>
  <c r="CY67" i="2"/>
  <c r="CY16" i="2"/>
  <c r="CY195" i="2"/>
  <c r="CY86" i="2"/>
  <c r="CY108" i="2"/>
  <c r="CY180" i="2"/>
  <c r="CY80" i="2"/>
  <c r="CY151" i="2"/>
  <c r="CY30" i="2"/>
  <c r="CY154" i="2"/>
  <c r="CY13" i="2"/>
  <c r="CY175" i="2"/>
  <c r="CY59" i="2"/>
  <c r="CY146" i="2"/>
  <c r="CY105" i="2"/>
  <c r="CY98" i="2"/>
  <c r="CY124" i="2"/>
  <c r="CY3" i="2"/>
  <c r="C10" i="4" s="1"/>
  <c r="E10" i="4" s="1"/>
  <c r="F10" i="4" s="1"/>
  <c r="G10" i="4" s="1"/>
  <c r="L10" i="4" s="1"/>
  <c r="CY144" i="2"/>
  <c r="CY147" i="2"/>
  <c r="CY161" i="2"/>
  <c r="CY189" i="2"/>
  <c r="CY155" i="2"/>
  <c r="CY18" i="2"/>
  <c r="CY74" i="2"/>
  <c r="CY171" i="2"/>
  <c r="CY52" i="2"/>
  <c r="CY43" i="2"/>
  <c r="CY90" i="2"/>
  <c r="CY9" i="2"/>
  <c r="CY38" i="2"/>
  <c r="CY83" i="2"/>
  <c r="CY100" i="2"/>
  <c r="CY82" i="2"/>
  <c r="CY28" i="2"/>
  <c r="CY127" i="2"/>
  <c r="CY109" i="2"/>
  <c r="CY183" i="2"/>
  <c r="CY120" i="2"/>
  <c r="CY10" i="2"/>
  <c r="CY101" i="2"/>
  <c r="CY84" i="2"/>
  <c r="CY61" i="2"/>
  <c r="CY116" i="2"/>
  <c r="CY75" i="2"/>
  <c r="CY131" i="2"/>
  <c r="CY45" i="2"/>
  <c r="CY150" i="2"/>
  <c r="CY125" i="2"/>
  <c r="CY71" i="2"/>
  <c r="CY182" i="2"/>
  <c r="CY166" i="2"/>
  <c r="CY19" i="2"/>
  <c r="CY4" i="2"/>
  <c r="CY128" i="2"/>
  <c r="CY49" i="2"/>
  <c r="CY179" i="2"/>
  <c r="CY106" i="2"/>
  <c r="CY191" i="2"/>
  <c r="CY89" i="2"/>
  <c r="CY92" i="2"/>
  <c r="CY29" i="2"/>
  <c r="CY138" i="2"/>
  <c r="CY203" i="2"/>
  <c r="CY6" i="2"/>
  <c r="CY78" i="2"/>
  <c r="CY56" i="2"/>
  <c r="CY115" i="2"/>
  <c r="CY168" i="2"/>
  <c r="CY111" i="2"/>
  <c r="CY70" i="2"/>
  <c r="CY187" i="2"/>
  <c r="CY136" i="2"/>
  <c r="CY196" i="2"/>
  <c r="CY7" i="2"/>
  <c r="CY118" i="2"/>
  <c r="CY55" i="2"/>
  <c r="CY145" i="2"/>
  <c r="CY104" i="2"/>
  <c r="CY186" i="2"/>
  <c r="CY95" i="2"/>
  <c r="CY181" i="2"/>
  <c r="CY141" i="2"/>
  <c r="CY202" i="2"/>
  <c r="CY201" i="2"/>
  <c r="CY32" i="2"/>
  <c r="CY158" i="2"/>
  <c r="CY76" i="2"/>
  <c r="CY93" i="2"/>
  <c r="CY41" i="2"/>
  <c r="CY77" i="2"/>
  <c r="CY42" i="2"/>
  <c r="CY47" i="2"/>
  <c r="CY140" i="2"/>
  <c r="CY15" i="2"/>
  <c r="CY5" i="2"/>
  <c r="CY178" i="2"/>
  <c r="CY97" i="2"/>
  <c r="CY160" i="2"/>
  <c r="CY137" i="2"/>
  <c r="CY132" i="2"/>
  <c r="CY156" i="2"/>
  <c r="CY60" i="2"/>
  <c r="CY25" i="2"/>
  <c r="CY12" i="2"/>
  <c r="CY79" i="2"/>
  <c r="CY129" i="2"/>
  <c r="CY173" i="2"/>
  <c r="CY200" i="2"/>
  <c r="CY121" i="2"/>
  <c r="CY35" i="2"/>
  <c r="CY197" i="2"/>
  <c r="CY23" i="2"/>
  <c r="CY64" i="2"/>
  <c r="CY50" i="2"/>
  <c r="CY72" i="2"/>
  <c r="CY48" i="2"/>
  <c r="CY172" i="2"/>
  <c r="CY73" i="2"/>
  <c r="CY162" i="2"/>
  <c r="CY134" i="2"/>
  <c r="CY163" i="2"/>
  <c r="CY17" i="2"/>
  <c r="CY135" i="2"/>
  <c r="CY8" i="2"/>
  <c r="CY112" i="2"/>
  <c r="CY21" i="2"/>
  <c r="CY122" i="2"/>
  <c r="CY198" i="2"/>
  <c r="CY91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<sst xmlns="http://schemas.openxmlformats.org/spreadsheetml/2006/main" count="1181" uniqueCount="326">
  <si>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</si>
  <si>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</si>
  <si>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</si>
  <si>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</si>
  <si>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</si>
  <si>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</si>
  <si>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</si>
  <si>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</si>
  <si>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</si>
  <si>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</si>
  <si>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</si>
  <si>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</si>
  <si>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</si>
  <si>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</si>
  <si>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</si>
  <si>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</si>
  <si>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</si>
  <si>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</si>
  <si>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</si>
  <si>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</si>
  <si>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</si>
  <si>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Chêne pubescent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</si>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</sst>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3 3" xfId="3" xr:uid="{96DA37D0-6E18-48B0-B7BF-6D71964E7ECF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289.40050775542744</c:v>
                </c:pt>
                <c:pt idx="32">
                  <c:v>306.89948661909699</c:v>
                </c:pt>
                <c:pt idx="33">
                  <c:v>324.37629966034979</c:v>
                </c:pt>
                <c:pt idx="34">
                  <c:v>341.83230892368027</c:v>
                </c:pt>
                <c:pt idx="35">
                  <c:v>359.26872600336202</c:v>
                </c:pt>
                <c:pt idx="36">
                  <c:v>247.89733645105048</c:v>
                </c:pt>
                <c:pt idx="37">
                  <c:v>268.19388020667242</c:v>
                </c:pt>
                <c:pt idx="38">
                  <c:v>288.45583932928992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349.06002407123123</c:v>
                </c:pt>
                <c:pt idx="42">
                  <c:v>285.79224141654964</c:v>
                </c:pt>
                <c:pt idx="43">
                  <c:v>306.09401640717584</c:v>
                </c:pt>
                <c:pt idx="44">
                  <c:v>326.36586944014988</c:v>
                </c:pt>
                <c:pt idx="45">
                  <c:v>346.60991967996728</c:v>
                </c:pt>
                <c:pt idx="46">
                  <c:v>366.82801859171582</c:v>
                </c:pt>
                <c:pt idx="47">
                  <c:v>387.02179695470659</c:v>
                </c:pt>
                <c:pt idx="48">
                  <c:v>407.19270154733073</c:v>
                </c:pt>
                <c:pt idx="49">
                  <c:v>322.52624611434112</c:v>
                </c:pt>
                <c:pt idx="50">
                  <c:v>341.75417681771779</c:v>
                </c:pt>
                <c:pt idx="51">
                  <c:v>360.95833005636814</c:v>
                </c:pt>
                <c:pt idx="52">
                  <c:v>380.1401482882859</c:v>
                </c:pt>
                <c:pt idx="53">
                  <c:v>399.30091656620215</c:v>
                </c:pt>
                <c:pt idx="54">
                  <c:v>418.44178659894874</c:v>
                </c:pt>
                <c:pt idx="55">
                  <c:v>437.56379618008327</c:v>
                </c:pt>
                <c:pt idx="56">
                  <c:v>358.1923298746517</c:v>
                </c:pt>
                <c:pt idx="57">
                  <c:v>376.29808691039688</c:v>
                </c:pt>
                <c:pt idx="58">
                  <c:v>394.38487870170007</c:v>
                </c:pt>
                <c:pt idx="59">
                  <c:v>412.45369704960859</c:v>
                </c:pt>
                <c:pt idx="60">
                  <c:v>430.50543979939113</c:v>
                </c:pt>
                <c:pt idx="61">
                  <c:v>448.54092338886767</c:v>
                </c:pt>
                <c:pt idx="62">
                  <c:v>466.56089327347848</c:v>
                </c:pt>
                <c:pt idx="63">
                  <c:v>484.566032657113</c:v>
                </c:pt>
                <c:pt idx="64">
                  <c:v>412.17893074941094</c:v>
                </c:pt>
                <c:pt idx="65">
                  <c:v>429.64045267146849</c:v>
                </c:pt>
                <c:pt idx="66">
                  <c:v>447.08672748141771</c:v>
                </c:pt>
                <c:pt idx="67">
                  <c:v>464.51843363445613</c:v>
                </c:pt>
                <c:pt idx="68">
                  <c:v>481.93619453558489</c:v>
                </c:pt>
                <c:pt idx="69">
                  <c:v>499.34058487547162</c:v>
                </c:pt>
                <c:pt idx="70">
                  <c:v>516.73213603723286</c:v>
                </c:pt>
                <c:pt idx="71">
                  <c:v>534.11134073767676</c:v>
                </c:pt>
                <c:pt idx="72">
                  <c:v>465.17954885268068</c:v>
                </c:pt>
                <c:pt idx="73">
                  <c:v>482.04316980390831</c:v>
                </c:pt>
                <c:pt idx="74">
                  <c:v>498.89426037594109</c:v>
                </c:pt>
                <c:pt idx="75">
                  <c:v>515.73330318528826</c:v>
                </c:pt>
                <c:pt idx="76">
                  <c:v>532.56074677914273</c:v>
                </c:pt>
                <c:pt idx="77">
                  <c:v>549.37700906307055</c:v>
                </c:pt>
                <c:pt idx="78">
                  <c:v>566.18248028736241</c:v>
                </c:pt>
                <c:pt idx="79">
                  <c:v>582.97752566054464</c:v>
                </c:pt>
                <c:pt idx="80">
                  <c:v>599.76248764621096</c:v>
                </c:pt>
                <c:pt idx="81">
                  <c:v>518.0920654638179</c:v>
                </c:pt>
                <c:pt idx="82">
                  <c:v>534.17244594763577</c:v>
                </c:pt>
                <c:pt idx="83">
                  <c:v>550.24264963990152</c:v>
                </c:pt>
                <c:pt idx="84">
                  <c:v>566.30301546114617</c:v>
                </c:pt>
                <c:pt idx="85">
                  <c:v>582.35386155149297</c:v>
                </c:pt>
                <c:pt idx="86">
                  <c:v>598.39548709420319</c:v>
                </c:pt>
                <c:pt idx="87">
                  <c:v>614.42817393361736</c:v>
                </c:pt>
                <c:pt idx="88">
                  <c:v>630.45218801553858</c:v>
                </c:pt>
                <c:pt idx="89">
                  <c:v>646.46778067365187</c:v>
                </c:pt>
                <c:pt idx="90">
                  <c:v>556.15206169982298</c:v>
                </c:pt>
                <c:pt idx="91">
                  <c:v>571.53037088991744</c:v>
                </c:pt>
                <c:pt idx="92">
                  <c:v>586.90003943089675</c:v>
                </c:pt>
                <c:pt idx="93">
                  <c:v>602.26132535349996</c:v>
                </c:pt>
                <c:pt idx="94">
                  <c:v>617.6144724600515</c:v>
                </c:pt>
                <c:pt idx="95">
                  <c:v>632.95971145054534</c:v>
                </c:pt>
                <c:pt idx="96">
                  <c:v>648.29726093391253</c:v>
                </c:pt>
                <c:pt idx="97">
                  <c:v>663.62732833867358</c:v>
                </c:pt>
                <c:pt idx="98">
                  <c:v>678.95011073512637</c:v>
                </c:pt>
                <c:pt idx="99">
                  <c:v>694.26579557950515</c:v>
                </c:pt>
                <c:pt idx="100">
                  <c:v>606.63308794985471</c:v>
                </c:pt>
                <c:pt idx="101">
                  <c:v>621.5892527220193</c:v>
                </c:pt>
                <c:pt idx="102">
                  <c:v>636.53796577494199</c:v>
                </c:pt>
                <c:pt idx="103">
                  <c:v>651.47942665572896</c:v>
                </c:pt>
                <c:pt idx="104">
                  <c:v>666.41382501786154</c:v>
                </c:pt>
                <c:pt idx="105">
                  <c:v>681.34134132702627</c:v>
                </c:pt>
                <c:pt idx="106">
                  <c:v>696.26214750191332</c:v>
                </c:pt>
                <c:pt idx="107">
                  <c:v>711.17640749727252</c:v>
                </c:pt>
                <c:pt idx="108">
                  <c:v>726.08427783555044</c:v>
                </c:pt>
                <c:pt idx="109">
                  <c:v>740.98590809263044</c:v>
                </c:pt>
                <c:pt idx="110">
                  <c:v>646.18020296138832</c:v>
                </c:pt>
                <c:pt idx="111">
                  <c:v>660.80226469034744</c:v>
                </c:pt>
                <c:pt idx="112">
                  <c:v>675.41766750836871</c:v>
                </c:pt>
                <c:pt idx="113">
                  <c:v>690.02657571578584</c:v>
                </c:pt>
                <c:pt idx="114">
                  <c:v>704.62914609342113</c:v>
                </c:pt>
                <c:pt idx="115">
                  <c:v>719.22552839864738</c:v>
                </c:pt>
                <c:pt idx="116">
                  <c:v>733.81586581911597</c:v>
                </c:pt>
                <c:pt idx="117">
                  <c:v>748.40029538855242</c:v>
                </c:pt>
                <c:pt idx="118">
                  <c:v>762.97894836847979</c:v>
                </c:pt>
                <c:pt idx="119">
                  <c:v>777.55195059927792</c:v>
                </c:pt>
                <c:pt idx="120">
                  <c:v>464.90453348622708</c:v>
                </c:pt>
                <c:pt idx="121">
                  <c:v>473.14200892852961</c:v>
                </c:pt>
                <c:pt idx="122">
                  <c:v>481.37643199343648</c:v>
                </c:pt>
                <c:pt idx="123">
                  <c:v>489.60786227699901</c:v>
                </c:pt>
                <c:pt idx="124">
                  <c:v>328.15381176580001</c:v>
                </c:pt>
                <c:pt idx="125">
                  <c:v>333.21377234826514</c:v>
                </c:pt>
                <c:pt idx="126">
                  <c:v>338.27203930015764</c:v>
                </c:pt>
                <c:pt idx="127">
                  <c:v>343.32864155402285</c:v>
                </c:pt>
                <c:pt idx="128">
                  <c:v>238.10594921033294</c:v>
                </c:pt>
                <c:pt idx="129">
                  <c:v>241.39406120554747</c:v>
                </c:pt>
                <c:pt idx="130">
                  <c:v>244.6811538808515</c:v>
                </c:pt>
                <c:pt idx="131">
                  <c:v>247.96724289368069</c:v>
                </c:pt>
                <c:pt idx="132">
                  <c:v>1.3303388911427938E-11</c:v>
                </c:pt>
                <c:pt idx="133">
                  <c:v>1.3303388911427938E-11</c:v>
                </c:pt>
                <c:pt idx="134">
                  <c:v>1.3303388911427938E-11</c:v>
                </c:pt>
                <c:pt idx="135">
                  <c:v>1.3303388911427938E-11</c:v>
                </c:pt>
                <c:pt idx="136">
                  <c:v>1.3303388911427938E-11</c:v>
                </c:pt>
                <c:pt idx="137">
                  <c:v>1.3303388911427938E-11</c:v>
                </c:pt>
                <c:pt idx="138">
                  <c:v>1.3303388911427938E-11</c:v>
                </c:pt>
                <c:pt idx="139">
                  <c:v>1.3303388911427938E-11</c:v>
                </c:pt>
                <c:pt idx="140">
                  <c:v>1.3303388911427938E-11</c:v>
                </c:pt>
                <c:pt idx="141">
                  <c:v>1.3303388911427938E-11</c:v>
                </c:pt>
                <c:pt idx="142">
                  <c:v>1.3303388911427938E-11</c:v>
                </c:pt>
                <c:pt idx="143">
                  <c:v>1.3303388911427938E-11</c:v>
                </c:pt>
                <c:pt idx="144">
                  <c:v>1.3303388911427938E-11</c:v>
                </c:pt>
                <c:pt idx="145">
                  <c:v>1.3303388911427938E-11</c:v>
                </c:pt>
                <c:pt idx="146">
                  <c:v>1.3303388911427938E-11</c:v>
                </c:pt>
                <c:pt idx="147">
                  <c:v>1.3303388911427938E-11</c:v>
                </c:pt>
                <c:pt idx="148">
                  <c:v>1.3303388911427938E-11</c:v>
                </c:pt>
                <c:pt idx="149">
                  <c:v>1.3303388911427938E-11</c:v>
                </c:pt>
                <c:pt idx="150">
                  <c:v>1.3303388911427938E-11</c:v>
                </c:pt>
                <c:pt idx="151">
                  <c:v>1.3303388911427938E-11</c:v>
                </c:pt>
                <c:pt idx="152">
                  <c:v>1.3303388911427938E-11</c:v>
                </c:pt>
                <c:pt idx="153">
                  <c:v>1.3303388911427938E-11</c:v>
                </c:pt>
                <c:pt idx="154">
                  <c:v>1.3303388911427938E-11</c:v>
                </c:pt>
                <c:pt idx="155">
                  <c:v>1.3303388911427938E-11</c:v>
                </c:pt>
                <c:pt idx="156">
                  <c:v>1.3303388911427938E-11</c:v>
                </c:pt>
                <c:pt idx="157">
                  <c:v>1.3303388911427938E-11</c:v>
                </c:pt>
                <c:pt idx="158">
                  <c:v>1.3303388911427938E-11</c:v>
                </c:pt>
                <c:pt idx="159">
                  <c:v>1.3303388911427938E-11</c:v>
                </c:pt>
                <c:pt idx="160">
                  <c:v>1.3303388911427938E-11</c:v>
                </c:pt>
                <c:pt idx="161">
                  <c:v>1.3303388911427938E-11</c:v>
                </c:pt>
                <c:pt idx="162">
                  <c:v>1.3303388911427938E-11</c:v>
                </c:pt>
                <c:pt idx="163">
                  <c:v>1.3303388911427938E-11</c:v>
                </c:pt>
                <c:pt idx="164">
                  <c:v>1.3303388911427938E-11</c:v>
                </c:pt>
                <c:pt idx="165">
                  <c:v>1.3303388911427938E-11</c:v>
                </c:pt>
                <c:pt idx="166">
                  <c:v>1.3303388911427938E-11</c:v>
                </c:pt>
                <c:pt idx="167">
                  <c:v>1.3303388911427938E-11</c:v>
                </c:pt>
                <c:pt idx="168">
                  <c:v>1.3303388911427938E-11</c:v>
                </c:pt>
                <c:pt idx="169">
                  <c:v>1.3303388911427938E-11</c:v>
                </c:pt>
                <c:pt idx="170">
                  <c:v>1.3303388911427938E-11</c:v>
                </c:pt>
                <c:pt idx="171">
                  <c:v>1.3303388911427938E-11</c:v>
                </c:pt>
                <c:pt idx="172">
                  <c:v>1.3303388911427938E-11</c:v>
                </c:pt>
                <c:pt idx="173">
                  <c:v>1.3303388911427938E-11</c:v>
                </c:pt>
                <c:pt idx="174">
                  <c:v>1.3303388911427938E-11</c:v>
                </c:pt>
                <c:pt idx="175">
                  <c:v>1.3303388911427938E-11</c:v>
                </c:pt>
                <c:pt idx="176">
                  <c:v>1.3303388911427938E-11</c:v>
                </c:pt>
                <c:pt idx="177">
                  <c:v>1.3303388911427938E-11</c:v>
                </c:pt>
                <c:pt idx="178">
                  <c:v>1.3303388911427938E-11</c:v>
                </c:pt>
                <c:pt idx="179">
                  <c:v>1.3303388911427938E-11</c:v>
                </c:pt>
                <c:pt idx="180">
                  <c:v>1.3303388911427938E-11</c:v>
                </c:pt>
                <c:pt idx="181">
                  <c:v>1.3303388911427938E-11</c:v>
                </c:pt>
                <c:pt idx="182">
                  <c:v>1.3303388911427938E-11</c:v>
                </c:pt>
                <c:pt idx="183">
                  <c:v>1.3303388911427938E-11</c:v>
                </c:pt>
                <c:pt idx="184">
                  <c:v>1.3303388911427938E-11</c:v>
                </c:pt>
                <c:pt idx="185">
                  <c:v>1.3303388911427938E-11</c:v>
                </c:pt>
                <c:pt idx="186">
                  <c:v>1.3303388911427938E-11</c:v>
                </c:pt>
                <c:pt idx="187">
                  <c:v>1.3303388911427938E-11</c:v>
                </c:pt>
                <c:pt idx="188">
                  <c:v>1.3303388911427938E-11</c:v>
                </c:pt>
                <c:pt idx="189">
                  <c:v>1.3303388911427938E-11</c:v>
                </c:pt>
                <c:pt idx="190">
                  <c:v>1.3303388911427938E-11</c:v>
                </c:pt>
                <c:pt idx="191">
                  <c:v>1.3303388911427938E-11</c:v>
                </c:pt>
                <c:pt idx="192">
                  <c:v>1.3303388911427938E-11</c:v>
                </c:pt>
                <c:pt idx="193">
                  <c:v>1.3303388911427938E-11</c:v>
                </c:pt>
                <c:pt idx="194">
                  <c:v>1.3303388911427938E-11</c:v>
                </c:pt>
                <c:pt idx="195">
                  <c:v>1.3303388911427938E-11</c:v>
                </c:pt>
                <c:pt idx="196">
                  <c:v>1.3303388911427938E-11</c:v>
                </c:pt>
                <c:pt idx="197">
                  <c:v>1.3303388911427938E-11</c:v>
                </c:pt>
                <c:pt idx="198">
                  <c:v>1.3303388911427938E-11</c:v>
                </c:pt>
                <c:pt idx="199">
                  <c:v>1.3303388911427938E-11</c:v>
                </c:pt>
                <c:pt idx="200">
                  <c:v>1.3303388911427938E-11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2.0208949481452367</c:v>
                </c:pt>
                <c:pt idx="2">
                  <c:v>2.3577061646663928</c:v>
                </c:pt>
                <c:pt idx="3">
                  <c:v>2.7508588125952431</c:v>
                </c:pt>
                <c:pt idx="4">
                  <c:v>3.2098103987231901</c:v>
                </c:pt>
                <c:pt idx="5">
                  <c:v>3.7456111416335549</c:v>
                </c:pt>
                <c:pt idx="6">
                  <c:v>4.3711730082502802</c:v>
                </c:pt>
                <c:pt idx="7">
                  <c:v>5.1015843226071391</c:v>
                </c:pt>
                <c:pt idx="8">
                  <c:v>5.9544776862203825</c:v>
                </c:pt>
                <c:pt idx="9">
                  <c:v>6.9504602668994044</c:v>
                </c:pt>
                <c:pt idx="10">
                  <c:v>8.1136170550287403</c:v>
                </c:pt>
                <c:pt idx="11">
                  <c:v>9.4720994917150865</c:v>
                </c:pt>
                <c:pt idx="12">
                  <c:v>11.058813986707358</c:v>
                </c:pt>
                <c:pt idx="13">
                  <c:v>12.912227318363817</c:v>
                </c:pt>
                <c:pt idx="14">
                  <c:v>15.077308804883041</c:v>
                </c:pt>
                <c:pt idx="15">
                  <c:v>17.606632527836044</c:v>
                </c:pt>
                <c:pt idx="16">
                  <c:v>20.561666860427287</c:v>
                </c:pt>
                <c:pt idx="17">
                  <c:v>24.014283203082368</c:v>
                </c:pt>
                <c:pt idx="18">
                  <c:v>28.048521274128948</c:v>
                </c:pt>
                <c:pt idx="19">
                  <c:v>32.762654679655618</c:v>
                </c:pt>
                <c:pt idx="20">
                  <c:v>38.271607953602867</c:v>
                </c:pt>
                <c:pt idx="21">
                  <c:v>44.70978500363038</c:v>
                </c:pt>
                <c:pt idx="22">
                  <c:v>52.234379139246528</c:v>
                </c:pt>
                <c:pt idx="23">
                  <c:v>61.029246852589097</c:v>
                </c:pt>
                <c:pt idx="24">
                  <c:v>71.309441569652833</c:v>
                </c:pt>
                <c:pt idx="25">
                  <c:v>83.326520042809591</c:v>
                </c:pt>
                <c:pt idx="26">
                  <c:v>97.374753326781288</c:v>
                </c:pt>
                <c:pt idx="27">
                  <c:v>113.79839685328822</c:v>
                </c:pt>
                <c:pt idx="28">
                  <c:v>133.00020056095437</c:v>
                </c:pt>
                <c:pt idx="29">
                  <c:v>155.45137101059979</c:v>
                </c:pt>
                <c:pt idx="30">
                  <c:v>181.70323369977314</c:v>
                </c:pt>
                <c:pt idx="31">
                  <c:v>193.40255165386267</c:v>
                </c:pt>
                <c:pt idx="32">
                  <c:v>205.08541341658324</c:v>
                </c:pt>
                <c:pt idx="33">
                  <c:v>216.7528891578047</c:v>
                </c:pt>
                <c:pt idx="34">
                  <c:v>228.40592431710874</c:v>
                </c:pt>
                <c:pt idx="35">
                  <c:v>240.04535990166377</c:v>
                </c:pt>
                <c:pt idx="36">
                  <c:v>165.69115771460889</c:v>
                </c:pt>
                <c:pt idx="37">
                  <c:v>179.24350412069813</c:v>
                </c:pt>
                <c:pt idx="38">
                  <c:v>192.77184420313543</c:v>
                </c:pt>
                <c:pt idx="39">
                  <c:v>206.27810085519761</c:v>
                </c:pt>
                <c:pt idx="40">
                  <c:v>219.76392433896743</c:v>
                </c:pt>
                <c:pt idx="41">
                  <c:v>233.23074566288599</c:v>
                </c:pt>
                <c:pt idx="42">
                  <c:v>190.99348436339017</c:v>
                </c:pt>
                <c:pt idx="43">
                  <c:v>204.54766968595877</c:v>
                </c:pt>
                <c:pt idx="44">
                  <c:v>218.08108520016762</c:v>
                </c:pt>
                <c:pt idx="45">
                  <c:v>231.59520188732631</c:v>
                </c:pt>
                <c:pt idx="46">
                  <c:v>245.09130490984001</c:v>
                </c:pt>
                <c:pt idx="47">
                  <c:v>258.57052624490609</c:v>
                </c:pt>
                <c:pt idx="48">
                  <c:v>272.03387014867241</c:v>
                </c:pt>
                <c:pt idx="49">
                  <c:v>215.51782486994964</c:v>
                </c:pt>
                <c:pt idx="50">
                  <c:v>228.35376717662632</c:v>
                </c:pt>
                <c:pt idx="51">
                  <c:v>241.17320476822431</c:v>
                </c:pt>
                <c:pt idx="52">
                  <c:v>253.97713890196232</c:v>
                </c:pt>
                <c:pt idx="53">
                  <c:v>266.76646157492382</c:v>
                </c:pt>
                <c:pt idx="54">
                  <c:v>279.54197222583531</c:v>
                </c:pt>
                <c:pt idx="55">
                  <c:v>292.30439122111011</c:v>
                </c:pt>
                <c:pt idx="56">
                  <c:v>239.32684131117045</c:v>
                </c:pt>
                <c:pt idx="57">
                  <c:v>251.41259476877573</c:v>
                </c:pt>
                <c:pt idx="58">
                  <c:v>263.4851838306173</c:v>
                </c:pt>
                <c:pt idx="59">
                  <c:v>275.5452969382045</c:v>
                </c:pt>
                <c:pt idx="60">
                  <c:v>287.59355731527074</c:v>
                </c:pt>
                <c:pt idx="61">
                  <c:v>299.63053167798034</c:v>
                </c:pt>
                <c:pt idx="62">
                  <c:v>311.65673747130842</c:v>
                </c:pt>
                <c:pt idx="63">
                  <c:v>323.67264892939465</c:v>
                </c:pt>
                <c:pt idx="64">
                  <c:v>275.36190642044943</c:v>
                </c:pt>
                <c:pt idx="65">
                  <c:v>287.01624971493624</c:v>
                </c:pt>
                <c:pt idx="66">
                  <c:v>298.66000949078386</c:v>
                </c:pt>
                <c:pt idx="67">
                  <c:v>310.29365668591032</c:v>
                </c:pt>
                <c:pt idx="68">
                  <c:v>321.91762402609339</c:v>
                </c:pt>
                <c:pt idx="69">
                  <c:v>333.53231042290076</c:v>
                </c:pt>
                <c:pt idx="70">
                  <c:v>345.138084726714</c:v>
                </c:pt>
                <c:pt idx="71">
                  <c:v>356.73528894836682</c:v>
                </c:pt>
                <c:pt idx="72">
                  <c:v>310.73486716429267</c:v>
                </c:pt>
                <c:pt idx="73">
                  <c:v>321.98901422939684</c:v>
                </c:pt>
                <c:pt idx="74">
                  <c:v>333.23446354893332</c:v>
                </c:pt>
                <c:pt idx="75">
                  <c:v>344.47155012278796</c:v>
                </c:pt>
                <c:pt idx="76">
                  <c:v>355.70058530222167</c:v>
                </c:pt>
                <c:pt idx="77">
                  <c:v>366.92185916914059</c:v>
                </c:pt>
                <c:pt idx="78">
                  <c:v>378.13564260902132</c:v>
                </c:pt>
                <c:pt idx="79">
                  <c:v>389.3421891250332</c:v>
                </c:pt>
                <c:pt idx="80">
                  <c:v>400.54173643234503</c:v>
                </c:pt>
                <c:pt idx="81">
                  <c:v>346.04558217808716</c:v>
                </c:pt>
                <c:pt idx="82">
                  <c:v>356.77606409934492</c:v>
                </c:pt>
                <c:pt idx="83">
                  <c:v>367.49948197710972</c:v>
                </c:pt>
                <c:pt idx="84">
                  <c:v>378.21607106719443</c:v>
                </c:pt>
                <c:pt idx="85">
                  <c:v>388.92605220105247</c:v>
                </c:pt>
                <c:pt idx="86">
                  <c:v>399.62963305155955</c:v>
                </c:pt>
                <c:pt idx="87">
                  <c:v>410.32700925608077</c:v>
                </c:pt>
                <c:pt idx="88">
                  <c:v>421.01836541628609</c:v>
                </c:pt>
                <c:pt idx="89">
                  <c:v>431.70387599109745</c:v>
                </c:pt>
                <c:pt idx="90">
                  <c:v>371.4426815006525</c:v>
                </c:pt>
                <c:pt idx="91">
                  <c:v>381.7040692840315</c:v>
                </c:pt>
                <c:pt idx="92">
                  <c:v>391.95945931056889</c:v>
                </c:pt>
                <c:pt idx="93">
                  <c:v>402.20903068783019</c:v>
                </c:pt>
                <c:pt idx="94">
                  <c:v>412.45295264697421</c:v>
                </c:pt>
                <c:pt idx="95">
                  <c:v>422.69138532440371</c:v>
                </c:pt>
                <c:pt idx="96">
                  <c:v>432.92448046371942</c:v>
                </c:pt>
                <c:pt idx="97">
                  <c:v>443.15238204783446</c:v>
                </c:pt>
                <c:pt idx="98">
                  <c:v>453.37522686968094</c:v>
                </c:pt>
                <c:pt idx="99">
                  <c:v>463.59314504875488</c:v>
                </c:pt>
                <c:pt idx="100">
                  <c:v>405.1259787713231</c:v>
                </c:pt>
                <c:pt idx="101">
                  <c:v>415.10496933847588</c:v>
                </c:pt>
                <c:pt idx="102">
                  <c:v>425.07878742385446</c:v>
                </c:pt>
                <c:pt idx="103">
                  <c:v>435.04757153962441</c:v>
                </c:pt>
                <c:pt idx="104">
                  <c:v>445.01145333046315</c:v>
                </c:pt>
                <c:pt idx="105">
                  <c:v>454.97055806349954</c:v>
                </c:pt>
                <c:pt idx="106">
                  <c:v>464.92500507311314</c:v>
                </c:pt>
                <c:pt idx="107">
                  <c:v>474.87490816565196</c:v>
                </c:pt>
                <c:pt idx="108">
                  <c:v>484.82037598845983</c:v>
                </c:pt>
                <c:pt idx="109">
                  <c:v>494.76151236704459</c:v>
                </c:pt>
                <c:pt idx="110">
                  <c:v>431.51200777148068</c:v>
                </c:pt>
                <c:pt idx="111">
                  <c:v>441.26757335402812</c:v>
                </c:pt>
                <c:pt idx="112">
                  <c:v>451.01851676894626</c:v>
                </c:pt>
                <c:pt idx="113">
                  <c:v>460.76495206246437</c:v>
                </c:pt>
                <c:pt idx="114">
                  <c:v>470.50698806127343</c:v>
                </c:pt>
                <c:pt idx="115">
                  <c:v>480.24472871685845</c:v>
                </c:pt>
                <c:pt idx="116">
                  <c:v>489.97827342044621</c:v>
                </c:pt>
                <c:pt idx="117">
                  <c:v>499.70771729162249</c:v>
                </c:pt>
                <c:pt idx="118">
                  <c:v>509.43315144329898</c:v>
                </c:pt>
                <c:pt idx="119">
                  <c:v>519.15466322539407</c:v>
                </c:pt>
                <c:pt idx="120">
                  <c:v>310.55132938606818</c:v>
                </c:pt>
                <c:pt idx="121">
                  <c:v>316.04875653207085</c:v>
                </c:pt>
                <c:pt idx="122">
                  <c:v>321.54406492320192</c:v>
                </c:pt>
                <c:pt idx="123">
                  <c:v>327.03729592702717</c:v>
                </c:pt>
                <c:pt idx="124">
                  <c:v>219.27467281098714</c:v>
                </c:pt>
                <c:pt idx="125">
                  <c:v>222.652550840891</c:v>
                </c:pt>
                <c:pt idx="126">
                  <c:v>226.02925326648355</c:v>
                </c:pt>
                <c:pt idx="127">
                  <c:v>229.40480017078934</c:v>
                </c:pt>
                <c:pt idx="128">
                  <c:v>159.15293146715459</c:v>
                </c:pt>
                <c:pt idx="129">
                  <c:v>161.34860392933342</c:v>
                </c:pt>
                <c:pt idx="130">
                  <c:v>163.54356884826106</c:v>
                </c:pt>
                <c:pt idx="131">
                  <c:v>165.73783709227521</c:v>
                </c:pt>
                <c:pt idx="132">
                  <c:v>9.2015960881277352E-12</c:v>
                </c:pt>
                <c:pt idx="133">
                  <c:v>9.2015960881277352E-12</c:v>
                </c:pt>
                <c:pt idx="134">
                  <c:v>9.2015960881277352E-12</c:v>
                </c:pt>
                <c:pt idx="135">
                  <c:v>9.2015960881277352E-12</c:v>
                </c:pt>
                <c:pt idx="136">
                  <c:v>9.2015960881277352E-12</c:v>
                </c:pt>
                <c:pt idx="137">
                  <c:v>9.2015960881277352E-12</c:v>
                </c:pt>
                <c:pt idx="138">
                  <c:v>9.2015960881277352E-12</c:v>
                </c:pt>
                <c:pt idx="139">
                  <c:v>9.2015960881277352E-12</c:v>
                </c:pt>
                <c:pt idx="140">
                  <c:v>9.2015960881277352E-12</c:v>
                </c:pt>
                <c:pt idx="141">
                  <c:v>9.2015960881277352E-12</c:v>
                </c:pt>
                <c:pt idx="142">
                  <c:v>9.2015960881277352E-12</c:v>
                </c:pt>
                <c:pt idx="143">
                  <c:v>9.2015960881277352E-12</c:v>
                </c:pt>
                <c:pt idx="144">
                  <c:v>9.2015960881277352E-12</c:v>
                </c:pt>
                <c:pt idx="145">
                  <c:v>9.2015960881277352E-12</c:v>
                </c:pt>
                <c:pt idx="146">
                  <c:v>9.2015960881277352E-12</c:v>
                </c:pt>
                <c:pt idx="147">
                  <c:v>9.2015960881277352E-12</c:v>
                </c:pt>
                <c:pt idx="148">
                  <c:v>9.2015960881277352E-12</c:v>
                </c:pt>
                <c:pt idx="149">
                  <c:v>9.2015960881277352E-12</c:v>
                </c:pt>
                <c:pt idx="150">
                  <c:v>9.2015960881277352E-12</c:v>
                </c:pt>
                <c:pt idx="151">
                  <c:v>9.2015960881277352E-12</c:v>
                </c:pt>
                <c:pt idx="152">
                  <c:v>9.2015960881277352E-12</c:v>
                </c:pt>
                <c:pt idx="153">
                  <c:v>9.2015960881277352E-12</c:v>
                </c:pt>
                <c:pt idx="154">
                  <c:v>9.2015960881277352E-12</c:v>
                </c:pt>
                <c:pt idx="155">
                  <c:v>9.2015960881277352E-12</c:v>
                </c:pt>
                <c:pt idx="156">
                  <c:v>9.2015960881277352E-12</c:v>
                </c:pt>
                <c:pt idx="157">
                  <c:v>9.2015960881277352E-12</c:v>
                </c:pt>
                <c:pt idx="158">
                  <c:v>9.2015960881277352E-12</c:v>
                </c:pt>
                <c:pt idx="159">
                  <c:v>9.2015960881277352E-12</c:v>
                </c:pt>
                <c:pt idx="160">
                  <c:v>9.2015960881277352E-12</c:v>
                </c:pt>
                <c:pt idx="161">
                  <c:v>9.2015960881277352E-12</c:v>
                </c:pt>
                <c:pt idx="162">
                  <c:v>9.2015960881277352E-12</c:v>
                </c:pt>
                <c:pt idx="163">
                  <c:v>9.2015960881277352E-12</c:v>
                </c:pt>
                <c:pt idx="164">
                  <c:v>9.2015960881277352E-12</c:v>
                </c:pt>
                <c:pt idx="165">
                  <c:v>9.2015960881277352E-12</c:v>
                </c:pt>
                <c:pt idx="166">
                  <c:v>9.2015960881277352E-12</c:v>
                </c:pt>
                <c:pt idx="167">
                  <c:v>9.2015960881277352E-12</c:v>
                </c:pt>
                <c:pt idx="168">
                  <c:v>9.2015960881277352E-12</c:v>
                </c:pt>
                <c:pt idx="169">
                  <c:v>9.2015960881277352E-12</c:v>
                </c:pt>
                <c:pt idx="170">
                  <c:v>9.2015960881277352E-12</c:v>
                </c:pt>
                <c:pt idx="171">
                  <c:v>9.2015960881277352E-12</c:v>
                </c:pt>
                <c:pt idx="172">
                  <c:v>9.2015960881277352E-12</c:v>
                </c:pt>
                <c:pt idx="173">
                  <c:v>9.2015960881277352E-12</c:v>
                </c:pt>
                <c:pt idx="174">
                  <c:v>9.2015960881277352E-12</c:v>
                </c:pt>
                <c:pt idx="175">
                  <c:v>9.2015960881277352E-12</c:v>
                </c:pt>
                <c:pt idx="176">
                  <c:v>9.2015960881277352E-12</c:v>
                </c:pt>
                <c:pt idx="177">
                  <c:v>9.2015960881277352E-12</c:v>
                </c:pt>
                <c:pt idx="178">
                  <c:v>9.2015960881277352E-12</c:v>
                </c:pt>
                <c:pt idx="179">
                  <c:v>9.2015960881277352E-12</c:v>
                </c:pt>
                <c:pt idx="180">
                  <c:v>9.2015960881277352E-12</c:v>
                </c:pt>
                <c:pt idx="181">
                  <c:v>9.2015960881277352E-12</c:v>
                </c:pt>
                <c:pt idx="182">
                  <c:v>9.2015960881277352E-12</c:v>
                </c:pt>
                <c:pt idx="183">
                  <c:v>9.2015960881277352E-12</c:v>
                </c:pt>
                <c:pt idx="184">
                  <c:v>9.2015960881277352E-12</c:v>
                </c:pt>
                <c:pt idx="185">
                  <c:v>9.2015960881277352E-12</c:v>
                </c:pt>
                <c:pt idx="186">
                  <c:v>9.2015960881277352E-12</c:v>
                </c:pt>
                <c:pt idx="187">
                  <c:v>9.2015960881277352E-12</c:v>
                </c:pt>
                <c:pt idx="188">
                  <c:v>9.2015960881277352E-12</c:v>
                </c:pt>
                <c:pt idx="189">
                  <c:v>9.2015960881277352E-12</c:v>
                </c:pt>
                <c:pt idx="190">
                  <c:v>9.2015960881277352E-12</c:v>
                </c:pt>
                <c:pt idx="191">
                  <c:v>9.2015960881277352E-12</c:v>
                </c:pt>
                <c:pt idx="192">
                  <c:v>9.2015960881277352E-12</c:v>
                </c:pt>
                <c:pt idx="193">
                  <c:v>9.2015960881277352E-12</c:v>
                </c:pt>
                <c:pt idx="194">
                  <c:v>9.2015960881277352E-12</c:v>
                </c:pt>
                <c:pt idx="195">
                  <c:v>9.2015960881277352E-12</c:v>
                </c:pt>
                <c:pt idx="196">
                  <c:v>9.2015960881277352E-12</c:v>
                </c:pt>
                <c:pt idx="197">
                  <c:v>9.2015960881277352E-12</c:v>
                </c:pt>
                <c:pt idx="198">
                  <c:v>9.2015960881277352E-12</c:v>
                </c:pt>
                <c:pt idx="199">
                  <c:v>9.2015960881277352E-12</c:v>
                </c:pt>
                <c:pt idx="200">
                  <c:v>9.2015960881277352E-12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2.8300887377079711</c:v>
                </c:pt>
                <c:pt idx="2">
                  <c:v>3.3023042337395179</c:v>
                </c:pt>
                <c:pt idx="3">
                  <c:v>3.8535970165131981</c:v>
                </c:pt>
                <c:pt idx="4">
                  <c:v>4.4972545440769327</c:v>
                </c:pt>
                <c:pt idx="5">
                  <c:v>5.2488040989672156</c:v>
                </c:pt>
                <c:pt idx="6">
                  <c:v>6.1263914656658001</c:v>
                </c:pt>
                <c:pt idx="7">
                  <c:v>7.1512238043191303</c:v>
                </c:pt>
                <c:pt idx="8">
                  <c:v>8.3480876310517598</c:v>
                </c:pt>
                <c:pt idx="9">
                  <c:v>9.7459546736940528</c:v>
                </c:pt>
                <c:pt idx="10">
                  <c:v>11.378690547472175</c:v>
                </c:pt>
                <c:pt idx="11">
                  <c:v>13.285883742428437</c:v>
                </c:pt>
                <c:pt idx="12">
                  <c:v>15.513815396600551</c:v>
                </c:pt>
                <c:pt idx="13">
                  <c:v>18.116593820726411</c:v>
                </c:pt>
                <c:pt idx="14">
                  <c:v>21.15748182865056</c:v>
                </c:pt>
                <c:pt idx="15">
                  <c:v>24.710449714832063</c:v>
                </c:pt>
                <c:pt idx="16">
                  <c:v>28.861992326044312</c:v>
                </c:pt>
                <c:pt idx="17">
                  <c:v>33.713255238692668</c:v>
                </c:pt>
                <c:pt idx="18">
                  <c:v>39.382522740372629</c:v>
                </c:pt>
                <c:pt idx="19">
                  <c:v>46.008129316747045</c:v>
                </c:pt>
                <c:pt idx="20">
                  <c:v>53.751866887941766</c:v>
                </c:pt>
                <c:pt idx="21">
                  <c:v>62.802972386545882</c:v>
                </c:pt>
                <c:pt idx="22">
                  <c:v>73.382794731387975</c:v>
                </c:pt>
                <c:pt idx="23">
                  <c:v>85.75025719011127</c:v>
                </c:pt>
                <c:pt idx="24">
                  <c:v>100.20825096401774</c:v>
                </c:pt>
                <c:pt idx="25">
                  <c:v>117.11111906849764</c:v>
                </c:pt>
                <c:pt idx="26">
                  <c:v>136.87341680492963</c:v>
                </c:pt>
                <c:pt idx="27">
                  <c:v>159.98016700878466</c:v>
                </c:pt>
                <c:pt idx="28">
                  <c:v>186.99886561482674</c:v>
                </c:pt>
                <c:pt idx="29">
                  <c:v>218.59353684249234</c:v>
                </c:pt>
                <c:pt idx="30">
                  <c:v>255.54118857285985</c:v>
                </c:pt>
                <c:pt idx="31">
                  <c:v>272.00849893770356</c:v>
                </c:pt>
                <c:pt idx="32">
                  <c:v>288.45339557729767</c:v>
                </c:pt>
                <c:pt idx="33">
                  <c:v>304.87733608853677</c:v>
                </c:pt>
                <c:pt idx="34">
                  <c:v>321.28160818268685</c:v>
                </c:pt>
                <c:pt idx="35">
                  <c:v>337.66735733157566</c:v>
                </c:pt>
                <c:pt idx="36">
                  <c:v>233.00479235221312</c:v>
                </c:pt>
                <c:pt idx="37">
                  <c:v>252.07911005273732</c:v>
                </c:pt>
                <c:pt idx="38">
                  <c:v>271.12073056771482</c:v>
                </c:pt>
                <c:pt idx="39">
                  <c:v>290.13227292366406</c:v>
                </c:pt>
                <c:pt idx="40">
                  <c:v>309.115984816913</c:v>
                </c:pt>
                <c:pt idx="41">
                  <c:v>328.07381531509895</c:v>
                </c:pt>
                <c:pt idx="42">
                  <c:v>268.61756659218918</c:v>
                </c:pt>
                <c:pt idx="43">
                  <c:v>287.69644712108328</c:v>
                </c:pt>
                <c:pt idx="44">
                  <c:v>306.74703867547379</c:v>
                </c:pt>
                <c:pt idx="45">
                  <c:v>325.77134476699888</c:v>
                </c:pt>
                <c:pt idx="46">
                  <c:v>344.77111581751478</c:v>
                </c:pt>
                <c:pt idx="47">
                  <c:v>363.74789360697088</c:v>
                </c:pt>
                <c:pt idx="48">
                  <c:v>382.70304595619928</c:v>
                </c:pt>
                <c:pt idx="49">
                  <c:v>303.13874281695564</c:v>
                </c:pt>
                <c:pt idx="50">
                  <c:v>321.20818384530156</c:v>
                </c:pt>
                <c:pt idx="51">
                  <c:v>339.25514505794769</c:v>
                </c:pt>
                <c:pt idx="52">
                  <c:v>357.28099019111329</c:v>
                </c:pt>
                <c:pt idx="53">
                  <c:v>375.28693416610736</c:v>
                </c:pt>
                <c:pt idx="54">
                  <c:v>393.27406583754754</c:v>
                </c:pt>
                <c:pt idx="55">
                  <c:v>411.24336636167533</c:v>
                </c:pt>
                <c:pt idx="56">
                  <c:v>336.65582481935542</c:v>
                </c:pt>
                <c:pt idx="57">
                  <c:v>353.67047661829503</c:v>
                </c:pt>
                <c:pt idx="58">
                  <c:v>370.66719819613382</c:v>
                </c:pt>
                <c:pt idx="59">
                  <c:v>387.64692722663199</c:v>
                </c:pt>
                <c:pt idx="60">
                  <c:v>404.61051255538331</c:v>
                </c:pt>
                <c:pt idx="61">
                  <c:v>421.55872606332355</c:v>
                </c:pt>
                <c:pt idx="62">
                  <c:v>438.49227252285419</c:v>
                </c:pt>
                <c:pt idx="63">
                  <c:v>455.41179785218742</c:v>
                </c:pt>
                <c:pt idx="64">
                  <c:v>387.38872307420428</c:v>
                </c:pt>
                <c:pt idx="65">
                  <c:v>403.79766892561094</c:v>
                </c:pt>
                <c:pt idx="66">
                  <c:v>420.19219977213396</c:v>
                </c:pt>
                <c:pt idx="67">
                  <c:v>436.57295704245297</c:v>
                </c:pt>
                <c:pt idx="68">
                  <c:v>452.94053011940122</c:v>
                </c:pt>
                <c:pt idx="69">
                  <c:v>469.29546233005067</c:v>
                </c:pt>
                <c:pt idx="70">
                  <c:v>485.63825605742119</c:v>
                </c:pt>
                <c:pt idx="71">
                  <c:v>501.96937712842765</c:v>
                </c:pt>
                <c:pt idx="72">
                  <c:v>437.19421236262428</c:v>
                </c:pt>
                <c:pt idx="73">
                  <c:v>453.0410551730152</c:v>
                </c:pt>
                <c:pt idx="74">
                  <c:v>468.87605144643567</c:v>
                </c:pt>
                <c:pt idx="75">
                  <c:v>484.69965746072268</c:v>
                </c:pt>
                <c:pt idx="76">
                  <c:v>500.51229728372147</c:v>
                </c:pt>
                <c:pt idx="77">
                  <c:v>516.31436601390897</c:v>
                </c:pt>
                <c:pt idx="78">
                  <c:v>532.1062326037669</c:v>
                </c:pt>
                <c:pt idx="79">
                  <c:v>547.8882423306602</c:v>
                </c:pt>
                <c:pt idx="80">
                  <c:v>563.66071896831943</c:v>
                </c:pt>
                <c:pt idx="81">
                  <c:v>486.91617505470657</c:v>
                </c:pt>
                <c:pt idx="82">
                  <c:v>502.02679715904873</c:v>
                </c:pt>
                <c:pt idx="83">
                  <c:v>517.12779786762223</c:v>
                </c:pt>
                <c:pt idx="84">
                  <c:v>532.21949760445716</c:v>
                </c:pt>
                <c:pt idx="85">
                  <c:v>547.30219714726127</c:v>
                </c:pt>
                <c:pt idx="86">
                  <c:v>562.37617935144647</c:v>
                </c:pt>
                <c:pt idx="87">
                  <c:v>577.44171067977061</c:v>
                </c:pt>
                <c:pt idx="88">
                  <c:v>592.49904256411321</c:v>
                </c:pt>
                <c:pt idx="89">
                  <c:v>607.54841262168736</c:v>
                </c:pt>
                <c:pt idx="90">
                  <c:v>522.68079568006328</c:v>
                </c:pt>
                <c:pt idx="91">
                  <c:v>537.13155805678423</c:v>
                </c:pt>
                <c:pt idx="92">
                  <c:v>551.57415134559483</c:v>
                </c:pt>
                <c:pt idx="93">
                  <c:v>566.00881949527275</c:v>
                </c:pt>
                <c:pt idx="94">
                  <c:v>580.43579300269312</c:v>
                </c:pt>
                <c:pt idx="95">
                  <c:v>594.85528997745757</c:v>
                </c:pt>
                <c:pt idx="96">
                  <c:v>609.26751709797009</c:v>
                </c:pt>
                <c:pt idx="97">
                  <c:v>623.67267047239375</c:v>
                </c:pt>
                <c:pt idx="98">
                  <c:v>638.07093641596532</c:v>
                </c:pt>
                <c:pt idx="99">
                  <c:v>652.46249215454304</c:v>
                </c:pt>
                <c:pt idx="100">
                  <c:v>570.11686164257083</c:v>
                </c:pt>
                <c:pt idx="101">
                  <c:v>584.17078847527091</c:v>
                </c:pt>
                <c:pt idx="102">
                  <c:v>598.21767026439147</c:v>
                </c:pt>
                <c:pt idx="103">
                  <c:v>612.25769566680685</c:v>
                </c:pt>
                <c:pt idx="104">
                  <c:v>626.29104398570837</c:v>
                </c:pt>
                <c:pt idx="105">
                  <c:v>640.31788583791365</c:v>
                </c:pt>
                <c:pt idx="106">
                  <c:v>654.33838375969526</c:v>
                </c:pt>
                <c:pt idx="107">
                  <c:v>668.3526927580142</c:v>
                </c:pt>
                <c:pt idx="108">
                  <c:v>682.36096081314474</c:v>
                </c:pt>
                <c:pt idx="109">
                  <c:v>696.36332933790538</c:v>
                </c:pt>
                <c:pt idx="110">
                  <c:v>607.27818492619883</c:v>
                </c:pt>
                <c:pt idx="111">
                  <c:v>621.01805551064149</c:v>
                </c:pt>
                <c:pt idx="112">
                  <c:v>634.75163059249928</c:v>
                </c:pt>
                <c:pt idx="113">
                  <c:v>648.47906550545724</c:v>
                </c:pt>
                <c:pt idx="114">
                  <c:v>662.2005084740648</c:v>
                </c:pt>
                <c:pt idx="115">
                  <c:v>675.91610108272448</c:v>
                </c:pt>
                <c:pt idx="116">
                  <c:v>689.62597870465913</c:v>
                </c:pt>
                <c:pt idx="117">
                  <c:v>703.3302708950132</c:v>
                </c:pt>
                <c:pt idx="118">
                  <c:v>717.029101751746</c:v>
                </c:pt>
                <c:pt idx="119">
                  <c:v>730.722590247531</c:v>
                </c:pt>
                <c:pt idx="120">
                  <c:v>436.93577821132686</c:v>
                </c:pt>
                <c:pt idx="121">
                  <c:v>444.6765915779776</c:v>
                </c:pt>
                <c:pt idx="122">
                  <c:v>452.41451914994468</c:v>
                </c:pt>
                <c:pt idx="123">
                  <c:v>460.14961727083966</c:v>
                </c:pt>
                <c:pt idx="124">
                  <c:v>308.4272601205509</c:v>
                </c:pt>
                <c:pt idx="125">
                  <c:v>313.18235897057895</c:v>
                </c:pt>
                <c:pt idx="126">
                  <c:v>317.93585661948782</c:v>
                </c:pt>
                <c:pt idx="127">
                  <c:v>322.68778042083636</c:v>
                </c:pt>
                <c:pt idx="128">
                  <c:v>223.80295212162545</c:v>
                </c:pt>
                <c:pt idx="129">
                  <c:v>226.89309000196636</c:v>
                </c:pt>
                <c:pt idx="130">
                  <c:v>229.98226419151877</c:v>
                </c:pt>
                <c:pt idx="131">
                  <c:v>233.07048949321802</c:v>
                </c:pt>
                <c:pt idx="132">
                  <c:v>1.2570369120605403E-11</c:v>
                </c:pt>
                <c:pt idx="133">
                  <c:v>1.2570369120605403E-11</c:v>
                </c:pt>
                <c:pt idx="134">
                  <c:v>1.2570369120605403E-11</c:v>
                </c:pt>
                <c:pt idx="135">
                  <c:v>1.2570369120605403E-11</c:v>
                </c:pt>
                <c:pt idx="136">
                  <c:v>1.2570369120605403E-11</c:v>
                </c:pt>
                <c:pt idx="137">
                  <c:v>1.2570369120605403E-11</c:v>
                </c:pt>
                <c:pt idx="138">
                  <c:v>1.2570369120605403E-11</c:v>
                </c:pt>
                <c:pt idx="139">
                  <c:v>1.2570369120605403E-11</c:v>
                </c:pt>
                <c:pt idx="140">
                  <c:v>1.2570369120605403E-11</c:v>
                </c:pt>
                <c:pt idx="141">
                  <c:v>1.2570369120605403E-11</c:v>
                </c:pt>
                <c:pt idx="142">
                  <c:v>1.2570369120605403E-11</c:v>
                </c:pt>
                <c:pt idx="143">
                  <c:v>1.2570369120605403E-11</c:v>
                </c:pt>
                <c:pt idx="144">
                  <c:v>1.2570369120605403E-11</c:v>
                </c:pt>
                <c:pt idx="145">
                  <c:v>1.2570369120605403E-11</c:v>
                </c:pt>
                <c:pt idx="146">
                  <c:v>1.2570369120605403E-11</c:v>
                </c:pt>
                <c:pt idx="147">
                  <c:v>1.2570369120605403E-11</c:v>
                </c:pt>
                <c:pt idx="148">
                  <c:v>1.2570369120605403E-11</c:v>
                </c:pt>
                <c:pt idx="149">
                  <c:v>1.2570369120605403E-11</c:v>
                </c:pt>
                <c:pt idx="150">
                  <c:v>1.2570369120605403E-11</c:v>
                </c:pt>
                <c:pt idx="151">
                  <c:v>1.2570369120605403E-11</c:v>
                </c:pt>
                <c:pt idx="152">
                  <c:v>1.2570369120605403E-11</c:v>
                </c:pt>
                <c:pt idx="153">
                  <c:v>1.2570369120605403E-11</c:v>
                </c:pt>
                <c:pt idx="154">
                  <c:v>1.2570369120605403E-11</c:v>
                </c:pt>
                <c:pt idx="155">
                  <c:v>1.2570369120605403E-11</c:v>
                </c:pt>
                <c:pt idx="156">
                  <c:v>1.2570369120605403E-11</c:v>
                </c:pt>
                <c:pt idx="157">
                  <c:v>1.2570369120605403E-11</c:v>
                </c:pt>
                <c:pt idx="158">
                  <c:v>1.2570369120605403E-11</c:v>
                </c:pt>
                <c:pt idx="159">
                  <c:v>1.2570369120605403E-11</c:v>
                </c:pt>
                <c:pt idx="160">
                  <c:v>1.2570369120605403E-11</c:v>
                </c:pt>
                <c:pt idx="161">
                  <c:v>1.2570369120605403E-11</c:v>
                </c:pt>
                <c:pt idx="162">
                  <c:v>1.2570369120605403E-11</c:v>
                </c:pt>
                <c:pt idx="163">
                  <c:v>1.2570369120605403E-11</c:v>
                </c:pt>
                <c:pt idx="164">
                  <c:v>1.2570369120605403E-11</c:v>
                </c:pt>
                <c:pt idx="165">
                  <c:v>1.2570369120605403E-11</c:v>
                </c:pt>
                <c:pt idx="166">
                  <c:v>1.2570369120605403E-11</c:v>
                </c:pt>
                <c:pt idx="167">
                  <c:v>1.2570369120605403E-11</c:v>
                </c:pt>
                <c:pt idx="168">
                  <c:v>1.2570369120605403E-11</c:v>
                </c:pt>
                <c:pt idx="169">
                  <c:v>1.2570369120605403E-11</c:v>
                </c:pt>
                <c:pt idx="170">
                  <c:v>1.2570369120605403E-11</c:v>
                </c:pt>
                <c:pt idx="171">
                  <c:v>1.2570369120605403E-11</c:v>
                </c:pt>
                <c:pt idx="172">
                  <c:v>1.2570369120605403E-11</c:v>
                </c:pt>
                <c:pt idx="173">
                  <c:v>1.2570369120605403E-11</c:v>
                </c:pt>
                <c:pt idx="174">
                  <c:v>1.2570369120605403E-11</c:v>
                </c:pt>
                <c:pt idx="175">
                  <c:v>1.2570369120605403E-11</c:v>
                </c:pt>
                <c:pt idx="176">
                  <c:v>1.2570369120605403E-11</c:v>
                </c:pt>
                <c:pt idx="177">
                  <c:v>1.2570369120605403E-11</c:v>
                </c:pt>
                <c:pt idx="178">
                  <c:v>1.2570369120605403E-11</c:v>
                </c:pt>
                <c:pt idx="179">
                  <c:v>1.2570369120605403E-11</c:v>
                </c:pt>
                <c:pt idx="180">
                  <c:v>1.2570369120605403E-11</c:v>
                </c:pt>
                <c:pt idx="181">
                  <c:v>1.2570369120605403E-11</c:v>
                </c:pt>
                <c:pt idx="182">
                  <c:v>1.2570369120605403E-11</c:v>
                </c:pt>
                <c:pt idx="183">
                  <c:v>1.2570369120605403E-11</c:v>
                </c:pt>
                <c:pt idx="184">
                  <c:v>1.2570369120605403E-11</c:v>
                </c:pt>
                <c:pt idx="185">
                  <c:v>1.2570369120605403E-11</c:v>
                </c:pt>
                <c:pt idx="186">
                  <c:v>1.2570369120605403E-11</c:v>
                </c:pt>
                <c:pt idx="187">
                  <c:v>1.2570369120605403E-11</c:v>
                </c:pt>
                <c:pt idx="188">
                  <c:v>1.2570369120605403E-11</c:v>
                </c:pt>
                <c:pt idx="189">
                  <c:v>1.2570369120605403E-11</c:v>
                </c:pt>
                <c:pt idx="190">
                  <c:v>1.2570369120605403E-11</c:v>
                </c:pt>
                <c:pt idx="191">
                  <c:v>1.2570369120605403E-11</c:v>
                </c:pt>
                <c:pt idx="192">
                  <c:v>1.2570369120605403E-11</c:v>
                </c:pt>
                <c:pt idx="193">
                  <c:v>1.2570369120605403E-11</c:v>
                </c:pt>
                <c:pt idx="194">
                  <c:v>1.2570369120605403E-11</c:v>
                </c:pt>
                <c:pt idx="195">
                  <c:v>1.2570369120605403E-11</c:v>
                </c:pt>
                <c:pt idx="196">
                  <c:v>1.2570369120605403E-11</c:v>
                </c:pt>
                <c:pt idx="197">
                  <c:v>1.2570369120605403E-11</c:v>
                </c:pt>
                <c:pt idx="198">
                  <c:v>1.2570369120605403E-11</c:v>
                </c:pt>
                <c:pt idx="199">
                  <c:v>1.2570369120605403E-11</c:v>
                </c:pt>
                <c:pt idx="200">
                  <c:v>1.2570369120605403E-11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2.8747828244893294</c:v>
                </c:pt>
                <c:pt idx="2">
                  <c:v>3.3544810996099632</c:v>
                </c:pt>
                <c:pt idx="3">
                  <c:v>3.9145137345609591</c:v>
                </c:pt>
                <c:pt idx="4">
                  <c:v>4.5683800461314039</c:v>
                </c:pt>
                <c:pt idx="5">
                  <c:v>5.3318549870572198</c:v>
                </c:pt>
                <c:pt idx="6">
                  <c:v>6.223373893479109</c:v>
                </c:pt>
                <c:pt idx="7">
                  <c:v>7.2644824601167564</c:v>
                </c:pt>
                <c:pt idx="8">
                  <c:v>8.4803630291655754</c:v>
                </c:pt>
                <c:pt idx="9">
                  <c:v>9.9004501673949186</c:v>
                </c:pt>
                <c:pt idx="10">
                  <c:v>11.559150716764741</c:v>
                </c:pt>
                <c:pt idx="11">
                  <c:v>13.496686092213752</c:v>
                </c:pt>
                <c:pt idx="12">
                  <c:v>15.760077630682696</c:v>
                </c:pt>
                <c:pt idx="13">
                  <c:v>18.404299343564364</c:v>
                </c:pt>
                <c:pt idx="14">
                  <c:v>21.493626579223562</c:v>
                </c:pt>
                <c:pt idx="15">
                  <c:v>25.103213966802468</c:v>
                </c:pt>
                <c:pt idx="16">
                  <c:v>29.320941708812455</c:v>
                </c:pt>
                <c:pt idx="17">
                  <c:v>34.249575960460788</c:v>
                </c:pt>
                <c:pt idx="18">
                  <c:v>40.009296845149635</c:v>
                </c:pt>
                <c:pt idx="19">
                  <c:v>46.74065680363119</c:v>
                </c:pt>
                <c:pt idx="20">
                  <c:v>54.608042687969252</c:v>
                </c:pt>
                <c:pt idx="21">
                  <c:v>63.803727559127225</c:v>
                </c:pt>
                <c:pt idx="22">
                  <c:v>74.552612843129126</c:v>
                </c:pt>
                <c:pt idx="23">
                  <c:v>87.117778713772225</c:v>
                </c:pt>
                <c:pt idx="24">
                  <c:v>101.80698073153373</c:v>
                </c:pt>
                <c:pt idx="25">
                  <c:v>118.9802543844894</c:v>
                </c:pt>
                <c:pt idx="26">
                  <c:v>139.0588168405454</c:v>
                </c:pt>
                <c:pt idx="27">
                  <c:v>162.53548762572882</c:v>
                </c:pt>
                <c:pt idx="28">
                  <c:v>189.98688790472684</c:v>
                </c:pt>
                <c:pt idx="29">
                  <c:v>222.0877225112788</c:v>
                </c:pt>
                <c:pt idx="30">
                  <c:v>259.62750097538111</c:v>
                </c:pt>
                <c:pt idx="31">
                  <c:v>276.35878069854044</c:v>
                </c:pt>
                <c:pt idx="32">
                  <c:v>293.0673223360206</c:v>
                </c:pt>
                <c:pt idx="33">
                  <c:v>309.75460457834254</c:v>
                </c:pt>
                <c:pt idx="34">
                  <c:v>326.42193377189795</c:v>
                </c:pt>
                <c:pt idx="35">
                  <c:v>343.07047196522035</c:v>
                </c:pt>
                <c:pt idx="36">
                  <c:v>236.72990976803965</c:v>
                </c:pt>
                <c:pt idx="37">
                  <c:v>256.10993035371683</c:v>
                </c:pt>
                <c:pt idx="38">
                  <c:v>275.45678057622769</c:v>
                </c:pt>
                <c:pt idx="39">
                  <c:v>294.77311736335713</c:v>
                </c:pt>
                <c:pt idx="40">
                  <c:v>314.06122093899086</c:v>
                </c:pt>
                <c:pt idx="41">
                  <c:v>333.32306857671642</c:v>
                </c:pt>
                <c:pt idx="42">
                  <c:v>272.91348910550539</c:v>
                </c:pt>
                <c:pt idx="43">
                  <c:v>292.29823772828144</c:v>
                </c:pt>
                <c:pt idx="44">
                  <c:v>311.65428799240095</c:v>
                </c:pt>
                <c:pt idx="45">
                  <c:v>330.98367240333863</c:v>
                </c:pt>
                <c:pt idx="46">
                  <c:v>350.28816671419708</c:v>
                </c:pt>
                <c:pt idx="47">
                  <c:v>369.56933501680805</c:v>
                </c:pt>
                <c:pt idx="48">
                  <c:v>388.82856492643549</c:v>
                </c:pt>
                <c:pt idx="49">
                  <c:v>307.98813318550884</c:v>
                </c:pt>
                <c:pt idx="50">
                  <c:v>326.34733194407158</c:v>
                </c:pt>
                <c:pt idx="51">
                  <c:v>344.68372557007592</c:v>
                </c:pt>
                <c:pt idx="52">
                  <c:v>362.99869753506283</c:v>
                </c:pt>
                <c:pt idx="53">
                  <c:v>381.2934803420855</c:v>
                </c:pt>
                <c:pt idx="54">
                  <c:v>399.56917860313166</c:v>
                </c:pt>
                <c:pt idx="55">
                  <c:v>417.8267876732541</c:v>
                </c:pt>
                <c:pt idx="56">
                  <c:v>342.04271603065894</c:v>
                </c:pt>
                <c:pt idx="57">
                  <c:v>359.33027031351253</c:v>
                </c:pt>
                <c:pt idx="58">
                  <c:v>376.59963489790681</c:v>
                </c:pt>
                <c:pt idx="59">
                  <c:v>393.85176102715633</c:v>
                </c:pt>
                <c:pt idx="60">
                  <c:v>411.08750983093159</c:v>
                </c:pt>
                <c:pt idx="61">
                  <c:v>428.30766436045047</c:v>
                </c:pt>
                <c:pt idx="62">
                  <c:v>445.51293958723454</c:v>
                </c:pt>
                <c:pt idx="63">
                  <c:v>462.70399077690763</c:v>
                </c:pt>
                <c:pt idx="64">
                  <c:v>393.58941444451165</c:v>
                </c:pt>
                <c:pt idx="65">
                  <c:v>410.26162439092121</c:v>
                </c:pt>
                <c:pt idx="66">
                  <c:v>426.91921072557199</c:v>
                </c:pt>
                <c:pt idx="67">
                  <c:v>443.56282415958503</c:v>
                </c:pt>
                <c:pt idx="68">
                  <c:v>460.19306260505238</c:v>
                </c:pt>
                <c:pt idx="69">
                  <c:v>476.81047725180878</c:v>
                </c:pt>
                <c:pt idx="70">
                  <c:v>493.41557775311458</c:v>
                </c:pt>
                <c:pt idx="71">
                  <c:v>510.00883667710286</c:v>
                </c:pt>
                <c:pt idx="72">
                  <c:v>444.19404895661381</c:v>
                </c:pt>
                <c:pt idx="73">
                  <c:v>460.29520093829274</c:v>
                </c:pt>
                <c:pt idx="74">
                  <c:v>476.38433494573314</c:v>
                </c:pt>
                <c:pt idx="75">
                  <c:v>492.46191385980097</c:v>
                </c:pt>
                <c:pt idx="76">
                  <c:v>508.52836788524309</c:v>
                </c:pt>
                <c:pt idx="77">
                  <c:v>524.58409783820764</c:v>
                </c:pt>
                <c:pt idx="78">
                  <c:v>540.62947801047574</c:v>
                </c:pt>
                <c:pt idx="79">
                  <c:v>556.66485867609651</c:v>
                </c:pt>
                <c:pt idx="80">
                  <c:v>572.6905682942953</c:v>
                </c:pt>
                <c:pt idx="81">
                  <c:v>494.71400852251162</c:v>
                </c:pt>
                <c:pt idx="82">
                  <c:v>510.06717841307358</c:v>
                </c:pt>
                <c:pt idx="83">
                  <c:v>525.41058767175025</c:v>
                </c:pt>
                <c:pt idx="84">
                  <c:v>540.74456135959088</c:v>
                </c:pt>
                <c:pt idx="85">
                  <c:v>556.06940460701037</c:v>
                </c:pt>
                <c:pt idx="86">
                  <c:v>571.38540436276537</c:v>
                </c:pt>
                <c:pt idx="87">
                  <c:v>586.69283094573245</c:v>
                </c:pt>
                <c:pt idx="88">
                  <c:v>601.99193942638897</c:v>
                </c:pt>
                <c:pt idx="89">
                  <c:v>617.28297086062821</c:v>
                </c:pt>
                <c:pt idx="90">
                  <c:v>531.05272861022161</c:v>
                </c:pt>
                <c:pt idx="91">
                  <c:v>545.7354804576114</c:v>
                </c:pt>
                <c:pt idx="92">
                  <c:v>560.40994499806072</c:v>
                </c:pt>
                <c:pt idx="93">
                  <c:v>575.07636971065381</c:v>
                </c:pt>
                <c:pt idx="94">
                  <c:v>589.73498842790389</c:v>
                </c:pt>
                <c:pt idx="95">
                  <c:v>604.3860224157869</c:v>
                </c:pt>
                <c:pt idx="96">
                  <c:v>619.02968134365608</c:v>
                </c:pt>
                <c:pt idx="97">
                  <c:v>633.66616415765509</c:v>
                </c:pt>
                <c:pt idx="98">
                  <c:v>648.29565986928333</c:v>
                </c:pt>
                <c:pt idx="99">
                  <c:v>662.91834826912498</c:v>
                </c:pt>
                <c:pt idx="100">
                  <c:v>579.25037098603059</c:v>
                </c:pt>
                <c:pt idx="101">
                  <c:v>593.52995641467794</c:v>
                </c:pt>
                <c:pt idx="102">
                  <c:v>607.80239484733306</c:v>
                </c:pt>
                <c:pt idx="103">
                  <c:v>622.06787767102014</c:v>
                </c:pt>
                <c:pt idx="104">
                  <c:v>636.32658678371843</c:v>
                </c:pt>
                <c:pt idx="105">
                  <c:v>650.57869527132823</c:v>
                </c:pt>
                <c:pt idx="106">
                  <c:v>664.82436802226709</c:v>
                </c:pt>
                <c:pt idx="107">
                  <c:v>679.06376228668103</c:v>
                </c:pt>
                <c:pt idx="108">
                  <c:v>693.29702818634189</c:v>
                </c:pt>
                <c:pt idx="109">
                  <c:v>707.52430918052517</c:v>
                </c:pt>
                <c:pt idx="110">
                  <c:v>617.00840376480016</c:v>
                </c:pt>
                <c:pt idx="111">
                  <c:v>630.9689184416651</c:v>
                </c:pt>
                <c:pt idx="112">
                  <c:v>644.92304651052189</c:v>
                </c:pt>
                <c:pt idx="113">
                  <c:v>658.87094555296858</c:v>
                </c:pt>
                <c:pt idx="114">
                  <c:v>672.81276593858729</c:v>
                </c:pt>
                <c:pt idx="115">
                  <c:v>686.74865130072124</c:v>
                </c:pt>
                <c:pt idx="116">
                  <c:v>700.67873897164679</c:v>
                </c:pt>
                <c:pt idx="117">
                  <c:v>714.6031603813675</c:v>
                </c:pt>
                <c:pt idx="118">
                  <c:v>728.52204142372818</c:v>
                </c:pt>
                <c:pt idx="119">
                  <c:v>742.43550279311557</c:v>
                </c:pt>
                <c:pt idx="120">
                  <c:v>443.93146762868668</c:v>
                </c:pt>
                <c:pt idx="121">
                  <c:v>451.79650256435679</c:v>
                </c:pt>
                <c:pt idx="122">
                  <c:v>459.65860994353926</c:v>
                </c:pt>
                <c:pt idx="123">
                  <c:v>467.51784692522273</c:v>
                </c:pt>
                <c:pt idx="124">
                  <c:v>313.36145225771844</c:v>
                </c:pt>
                <c:pt idx="125">
                  <c:v>318.19280216371067</c:v>
                </c:pt>
                <c:pt idx="126">
                  <c:v>323.02252769678699</c:v>
                </c:pt>
                <c:pt idx="127">
                  <c:v>327.8506566063536</c:v>
                </c:pt>
                <c:pt idx="128">
                  <c:v>227.38061176329856</c:v>
                </c:pt>
                <c:pt idx="129">
                  <c:v>230.52026705350534</c:v>
                </c:pt>
                <c:pt idx="130">
                  <c:v>233.65894470686348</c:v>
                </c:pt>
                <c:pt idx="131">
                  <c:v>236.79665974052932</c:v>
                </c:pt>
                <c:pt idx="132">
                  <c:v>1.2754091996854009E-11</c:v>
                </c:pt>
                <c:pt idx="133">
                  <c:v>1.2754091996854009E-11</c:v>
                </c:pt>
                <c:pt idx="134">
                  <c:v>1.2754091996854009E-11</c:v>
                </c:pt>
                <c:pt idx="135">
                  <c:v>1.2754091996854009E-11</c:v>
                </c:pt>
                <c:pt idx="136">
                  <c:v>1.2754091996854009E-11</c:v>
                </c:pt>
                <c:pt idx="137">
                  <c:v>1.2754091996854009E-11</c:v>
                </c:pt>
                <c:pt idx="138">
                  <c:v>1.2754091996854009E-11</c:v>
                </c:pt>
                <c:pt idx="139">
                  <c:v>1.2754091996854009E-11</c:v>
                </c:pt>
                <c:pt idx="140">
                  <c:v>1.2754091996854009E-11</c:v>
                </c:pt>
                <c:pt idx="141">
                  <c:v>1.2754091996854009E-11</c:v>
                </c:pt>
                <c:pt idx="142">
                  <c:v>1.2754091996854009E-11</c:v>
                </c:pt>
                <c:pt idx="143">
                  <c:v>1.2754091996854009E-11</c:v>
                </c:pt>
                <c:pt idx="144">
                  <c:v>1.2754091996854009E-11</c:v>
                </c:pt>
                <c:pt idx="145">
                  <c:v>1.2754091996854009E-11</c:v>
                </c:pt>
                <c:pt idx="146">
                  <c:v>1.2754091996854009E-11</c:v>
                </c:pt>
                <c:pt idx="147">
                  <c:v>1.2754091996854009E-11</c:v>
                </c:pt>
                <c:pt idx="148">
                  <c:v>1.2754091996854009E-11</c:v>
                </c:pt>
                <c:pt idx="149">
                  <c:v>1.2754091996854009E-11</c:v>
                </c:pt>
                <c:pt idx="150">
                  <c:v>1.2754091996854009E-11</c:v>
                </c:pt>
                <c:pt idx="151">
                  <c:v>1.2754091996854009E-11</c:v>
                </c:pt>
                <c:pt idx="152">
                  <c:v>1.2754091996854009E-11</c:v>
                </c:pt>
                <c:pt idx="153">
                  <c:v>1.2754091996854009E-11</c:v>
                </c:pt>
                <c:pt idx="154">
                  <c:v>1.2754091996854009E-11</c:v>
                </c:pt>
                <c:pt idx="155">
                  <c:v>1.2754091996854009E-11</c:v>
                </c:pt>
                <c:pt idx="156">
                  <c:v>1.2754091996854009E-11</c:v>
                </c:pt>
                <c:pt idx="157">
                  <c:v>1.2754091996854009E-11</c:v>
                </c:pt>
                <c:pt idx="158">
                  <c:v>1.2754091996854009E-11</c:v>
                </c:pt>
                <c:pt idx="159">
                  <c:v>1.2754091996854009E-11</c:v>
                </c:pt>
                <c:pt idx="160">
                  <c:v>1.2754091996854009E-11</c:v>
                </c:pt>
                <c:pt idx="161">
                  <c:v>1.2754091996854009E-11</c:v>
                </c:pt>
                <c:pt idx="162">
                  <c:v>1.2754091996854009E-11</c:v>
                </c:pt>
                <c:pt idx="163">
                  <c:v>1.2754091996854009E-11</c:v>
                </c:pt>
                <c:pt idx="164">
                  <c:v>1.2754091996854009E-11</c:v>
                </c:pt>
                <c:pt idx="165">
                  <c:v>1.2754091996854009E-11</c:v>
                </c:pt>
                <c:pt idx="166">
                  <c:v>1.2754091996854009E-11</c:v>
                </c:pt>
                <c:pt idx="167">
                  <c:v>1.2754091996854009E-11</c:v>
                </c:pt>
                <c:pt idx="168">
                  <c:v>1.2754091996854009E-11</c:v>
                </c:pt>
                <c:pt idx="169">
                  <c:v>1.2754091996854009E-11</c:v>
                </c:pt>
                <c:pt idx="170">
                  <c:v>1.2754091996854009E-11</c:v>
                </c:pt>
                <c:pt idx="171">
                  <c:v>1.2754091996854009E-11</c:v>
                </c:pt>
                <c:pt idx="172">
                  <c:v>1.2754091996854009E-11</c:v>
                </c:pt>
                <c:pt idx="173">
                  <c:v>1.2754091996854009E-11</c:v>
                </c:pt>
                <c:pt idx="174">
                  <c:v>1.2754091996854009E-11</c:v>
                </c:pt>
                <c:pt idx="175">
                  <c:v>1.2754091996854009E-11</c:v>
                </c:pt>
                <c:pt idx="176">
                  <c:v>1.2754091996854009E-11</c:v>
                </c:pt>
                <c:pt idx="177">
                  <c:v>1.2754091996854009E-11</c:v>
                </c:pt>
                <c:pt idx="178">
                  <c:v>1.2754091996854009E-11</c:v>
                </c:pt>
                <c:pt idx="179">
                  <c:v>1.2754091996854009E-11</c:v>
                </c:pt>
                <c:pt idx="180">
                  <c:v>1.2754091996854009E-11</c:v>
                </c:pt>
                <c:pt idx="181">
                  <c:v>1.2754091996854009E-11</c:v>
                </c:pt>
                <c:pt idx="182">
                  <c:v>1.2754091996854009E-11</c:v>
                </c:pt>
                <c:pt idx="183">
                  <c:v>1.2754091996854009E-11</c:v>
                </c:pt>
                <c:pt idx="184">
                  <c:v>1.2754091996854009E-11</c:v>
                </c:pt>
                <c:pt idx="185">
                  <c:v>1.2754091996854009E-11</c:v>
                </c:pt>
                <c:pt idx="186">
                  <c:v>1.2754091996854009E-11</c:v>
                </c:pt>
                <c:pt idx="187">
                  <c:v>1.2754091996854009E-11</c:v>
                </c:pt>
                <c:pt idx="188">
                  <c:v>1.2754091996854009E-11</c:v>
                </c:pt>
                <c:pt idx="189">
                  <c:v>1.2754091996854009E-11</c:v>
                </c:pt>
                <c:pt idx="190">
                  <c:v>1.2754091996854009E-11</c:v>
                </c:pt>
                <c:pt idx="191">
                  <c:v>1.2754091996854009E-11</c:v>
                </c:pt>
                <c:pt idx="192">
                  <c:v>1.2754091996854009E-11</c:v>
                </c:pt>
                <c:pt idx="193">
                  <c:v>1.2754091996854009E-11</c:v>
                </c:pt>
                <c:pt idx="194">
                  <c:v>1.2754091996854009E-11</c:v>
                </c:pt>
                <c:pt idx="195">
                  <c:v>1.2754091996854009E-11</c:v>
                </c:pt>
                <c:pt idx="196">
                  <c:v>1.2754091996854009E-11</c:v>
                </c:pt>
                <c:pt idx="197">
                  <c:v>1.2754091996854009E-11</c:v>
                </c:pt>
                <c:pt idx="198">
                  <c:v>1.2754091996854009E-11</c:v>
                </c:pt>
                <c:pt idx="199">
                  <c:v>1.2754091996854009E-11</c:v>
                </c:pt>
                <c:pt idx="200">
                  <c:v>1.2754091996854009E-11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226.38614537674326</c:v>
                </c:pt>
                <c:pt idx="33">
                  <c:v>245.42235893237435</c:v>
                </c:pt>
                <c:pt idx="34">
                  <c:v>264.42503341914323</c:v>
                </c:pt>
                <c:pt idx="35">
                  <c:v>283.39691776161254</c:v>
                </c:pt>
                <c:pt idx="36">
                  <c:v>302.34036268238674</c:v>
                </c:pt>
                <c:pt idx="37">
                  <c:v>321.25740024962448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336.88699770815009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423.10262682279296</c:v>
                </c:pt>
                <c:pt idx="51">
                  <c:v>440.29740898417271</c:v>
                </c:pt>
                <c:pt idx="52">
                  <c:v>457.47779928386609</c:v>
                </c:pt>
                <c:pt idx="53">
                  <c:v>391.9890127427073</c:v>
                </c:pt>
                <c:pt idx="54">
                  <c:v>407.75965962237683</c:v>
                </c:pt>
                <c:pt idx="55">
                  <c:v>423.51713321926735</c:v>
                </c:pt>
                <c:pt idx="56">
                  <c:v>439.26199254204636</c:v>
                </c:pt>
                <c:pt idx="57">
                  <c:v>454.99475326719272</c:v>
                </c:pt>
                <c:pt idx="58">
                  <c:v>470.71589251122253</c:v>
                </c:pt>
                <c:pt idx="59">
                  <c:v>486.42585293226904</c:v>
                </c:pt>
                <c:pt idx="60">
                  <c:v>502.12504627431412</c:v>
                </c:pt>
                <c:pt idx="61">
                  <c:v>438.70974904240552</c:v>
                </c:pt>
                <c:pt idx="62">
                  <c:v>453.06329508642142</c:v>
                </c:pt>
                <c:pt idx="63">
                  <c:v>467.40712233198593</c:v>
                </c:pt>
                <c:pt idx="64">
                  <c:v>481.74157097323308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553.28361587129086</c:v>
                </c:pt>
                <c:pt idx="70">
                  <c:v>3.5982663925596575E-12</c:v>
                </c:pt>
                <c:pt idx="71">
                  <c:v>3.5982663925596575E-12</c:v>
                </c:pt>
                <c:pt idx="72">
                  <c:v>3.5982663925596575E-12</c:v>
                </c:pt>
                <c:pt idx="73">
                  <c:v>3.5982663925596575E-12</c:v>
                </c:pt>
                <c:pt idx="74">
                  <c:v>3.5982663925596575E-12</c:v>
                </c:pt>
                <c:pt idx="75">
                  <c:v>3.5982663925596575E-12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57" zoomScaleNormal="48" workbookViewId="0">
      <selection activeCell="E15" sqref="E15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6" t="s">
        <v>2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4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147</v>
      </c>
      <c r="C9" s="32">
        <v>0.69040000000000001</v>
      </c>
      <c r="D9" s="33">
        <f t="shared" ref="D9:D18" si="0">C9*$C$5</f>
        <v>2.7616000000000001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21</v>
      </c>
      <c r="C10" s="32">
        <v>7.5300000000000006E-2</v>
      </c>
      <c r="D10" s="33">
        <f t="shared" si="0"/>
        <v>0.30120000000000002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271</v>
      </c>
      <c r="C11" s="32">
        <v>6.8500000000000005E-2</v>
      </c>
      <c r="D11" s="33">
        <f t="shared" si="0"/>
        <v>0.27400000000000002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130</v>
      </c>
      <c r="C12" s="32">
        <v>6.8500000000000005E-2</v>
      </c>
      <c r="D12" s="33">
        <f t="shared" si="0"/>
        <v>0.27400000000000002</v>
      </c>
      <c r="E12" s="34"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 t="s">
        <v>110</v>
      </c>
      <c r="C13" s="32">
        <v>5.4800000000000001E-2</v>
      </c>
      <c r="D13" s="33">
        <f t="shared" si="0"/>
        <v>0.21920000000000001</v>
      </c>
      <c r="E13" s="34">
        <v>131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 t="s">
        <v>16</v>
      </c>
      <c r="C14" s="32">
        <v>2.87E-2</v>
      </c>
      <c r="D14" s="33">
        <f t="shared" si="0"/>
        <v>0.1148</v>
      </c>
      <c r="E14" s="34">
        <v>54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 t="s">
        <v>185</v>
      </c>
      <c r="C15" s="32">
        <v>1.37E-2</v>
      </c>
      <c r="D15" s="33">
        <f t="shared" si="0"/>
        <v>5.4800000000000001E-2</v>
      </c>
      <c r="E15" s="34">
        <v>69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0.99990000000000001</v>
      </c>
      <c r="D19" s="38">
        <f>SUM(D9:D18)</f>
        <v>3.9996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30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42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Chêne sessile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7" t="s">
        <v>45</v>
      </c>
      <c r="D34" s="267"/>
      <c r="E34" s="268" t="s">
        <v>46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56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Chêne pubescent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7" t="s">
        <v>45</v>
      </c>
      <c r="D60" s="267"/>
      <c r="E60" s="268" t="s">
        <v>46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30</v>
      </c>
      <c r="B62" s="258">
        <v>121.88461538461537</v>
      </c>
      <c r="C62" s="258" t="s">
        <v>56</v>
      </c>
      <c r="D62" s="258">
        <v>0</v>
      </c>
      <c r="E62" s="259">
        <v>0</v>
      </c>
      <c r="F62" s="259">
        <v>0</v>
      </c>
      <c r="G62" s="259">
        <v>0</v>
      </c>
      <c r="H62" s="259">
        <v>0</v>
      </c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35</v>
      </c>
      <c r="B63" s="258">
        <v>162.16666666666669</v>
      </c>
      <c r="C63" s="258">
        <v>1</v>
      </c>
      <c r="D63" s="258">
        <v>60.602564102564102</v>
      </c>
      <c r="E63" s="259">
        <v>0</v>
      </c>
      <c r="F63" s="259">
        <v>0</v>
      </c>
      <c r="G63" s="259">
        <v>0</v>
      </c>
      <c r="H63" s="259">
        <v>1</v>
      </c>
      <c r="I63" s="49">
        <f>IF(A63&lt;&gt;0,(B63-(B62-D62))/(A63-A62),"")</f>
        <v>8.0564102564102633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41</v>
      </c>
      <c r="B64" s="258">
        <v>157.44871794871796</v>
      </c>
      <c r="C64" s="258">
        <v>2</v>
      </c>
      <c r="D64" s="258">
        <v>38.512820512820511</v>
      </c>
      <c r="E64" s="259">
        <v>0</v>
      </c>
      <c r="F64" s="259">
        <v>0</v>
      </c>
      <c r="G64" s="259">
        <v>0</v>
      </c>
      <c r="H64" s="259">
        <v>1</v>
      </c>
      <c r="I64" s="49">
        <f>IF(A64&lt;&gt;0,(B64-(B63-D63))/(A64-A63),"")</f>
        <v>9.3141025641025621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48</v>
      </c>
      <c r="B65" s="258">
        <v>184.35256410256409</v>
      </c>
      <c r="C65" s="258">
        <v>3</v>
      </c>
      <c r="D65" s="258">
        <v>48.025641025641022</v>
      </c>
      <c r="E65" s="259">
        <v>0</v>
      </c>
      <c r="F65" s="259">
        <v>0</v>
      </c>
      <c r="G65" s="259">
        <v>0</v>
      </c>
      <c r="H65" s="259">
        <v>1</v>
      </c>
      <c r="I65" s="49">
        <f>IF(A65&lt;&gt;0,(B65-(B64-D64))/(A65-A64),"")</f>
        <v>9.3452380952380913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55</v>
      </c>
      <c r="B66" s="258">
        <v>198.44230769230768</v>
      </c>
      <c r="C66" s="258">
        <v>4</v>
      </c>
      <c r="D66" s="258">
        <v>45.147435897435898</v>
      </c>
      <c r="E66" s="259">
        <v>0</v>
      </c>
      <c r="F66" s="259">
        <v>0</v>
      </c>
      <c r="G66" s="259">
        <v>0</v>
      </c>
      <c r="H66" s="259">
        <v>1</v>
      </c>
      <c r="I66" s="49">
        <f t="shared" ref="I66:I81" si="2">IF(A66&lt;&gt;0,(B66-(B65-D65))/(A66-A65),"")</f>
        <v>8.8736263736263741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63</v>
      </c>
      <c r="B67" s="258">
        <v>220.28846153846152</v>
      </c>
      <c r="C67" s="258">
        <v>5</v>
      </c>
      <c r="D67" s="258">
        <v>41.724358974358978</v>
      </c>
      <c r="E67" s="260">
        <v>0.7</v>
      </c>
      <c r="F67" s="260">
        <v>0</v>
      </c>
      <c r="G67" s="260">
        <v>0</v>
      </c>
      <c r="H67" s="260">
        <v>0.3</v>
      </c>
      <c r="I67" s="49">
        <f t="shared" si="2"/>
        <v>8.374198717948719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71</v>
      </c>
      <c r="B68" s="258">
        <v>243.36538461538464</v>
      </c>
      <c r="C68" s="258">
        <v>6</v>
      </c>
      <c r="D68" s="258">
        <v>39.935897435897431</v>
      </c>
      <c r="E68" s="260">
        <v>0.7</v>
      </c>
      <c r="F68" s="260">
        <v>0</v>
      </c>
      <c r="G68" s="260">
        <v>0</v>
      </c>
      <c r="H68" s="260">
        <v>0.3</v>
      </c>
      <c r="I68" s="49">
        <f t="shared" si="2"/>
        <v>8.1001602564102626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80</v>
      </c>
      <c r="B69" s="261">
        <v>274.01282051282055</v>
      </c>
      <c r="C69" s="261">
        <v>7</v>
      </c>
      <c r="D69" s="261">
        <v>45.608974358974358</v>
      </c>
      <c r="E69" s="260">
        <v>0.7</v>
      </c>
      <c r="F69" s="260">
        <v>0</v>
      </c>
      <c r="G69" s="260">
        <v>0</v>
      </c>
      <c r="H69" s="260">
        <v>0.3</v>
      </c>
      <c r="I69" s="49">
        <f t="shared" si="2"/>
        <v>7.8425925925925934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89</v>
      </c>
      <c r="B70" s="261">
        <v>295.85897435897436</v>
      </c>
      <c r="C70" s="261">
        <v>8</v>
      </c>
      <c r="D70" s="261">
        <v>49.391025641025635</v>
      </c>
      <c r="E70" s="260">
        <v>0.7</v>
      </c>
      <c r="F70" s="260">
        <v>0</v>
      </c>
      <c r="G70" s="260">
        <v>0</v>
      </c>
      <c r="H70" s="260">
        <v>0.3</v>
      </c>
      <c r="I70" s="49">
        <f t="shared" si="2"/>
        <v>7.4950142450142421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99</v>
      </c>
      <c r="B71" s="50">
        <v>318.25</v>
      </c>
      <c r="C71" s="50">
        <v>9</v>
      </c>
      <c r="D71" s="50">
        <v>48.019230769230766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7.1782051282051267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109</v>
      </c>
      <c r="B72" s="50">
        <v>340.16666666666663</v>
      </c>
      <c r="C72" s="50">
        <v>10</v>
      </c>
      <c r="D72" s="50">
        <v>51.28846153846154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6.9935897435897401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119</v>
      </c>
      <c r="B73" s="50">
        <v>357.33974358974359</v>
      </c>
      <c r="C73" s="50">
        <v>11</v>
      </c>
      <c r="D73" s="50">
        <v>150.02564102564102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6.8461538461538511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123</v>
      </c>
      <c r="B74" s="50">
        <v>222.63461538461539</v>
      </c>
      <c r="C74" s="50">
        <v>12</v>
      </c>
      <c r="D74" s="50">
        <v>77.17307692307692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3.8301282051282044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127</v>
      </c>
      <c r="B75" s="50">
        <v>154.80128205128204</v>
      </c>
      <c r="C75" s="50">
        <v>13</v>
      </c>
      <c r="D75" s="50">
        <v>49.916666666666671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2.3349358974358978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131</v>
      </c>
      <c r="B76" s="50">
        <v>110.91025641025641</v>
      </c>
      <c r="C76" s="50">
        <v>14</v>
      </c>
      <c r="D76" s="50">
        <v>110.91025641025641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1.5064102564102591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Tilleul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7" t="s">
        <v>45</v>
      </c>
      <c r="D86" s="267"/>
      <c r="E86" s="268" t="s">
        <v>46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30</v>
      </c>
      <c r="B88" s="258">
        <v>121.88461538461537</v>
      </c>
      <c r="C88" s="258" t="s">
        <v>56</v>
      </c>
      <c r="D88" s="258">
        <v>0</v>
      </c>
      <c r="E88" s="259">
        <v>0</v>
      </c>
      <c r="F88" s="259">
        <v>0</v>
      </c>
      <c r="G88" s="259">
        <v>0</v>
      </c>
      <c r="H88" s="262">
        <v>0</v>
      </c>
      <c r="I88" s="53">
        <f>IFERROR(B88/A88,"")</f>
        <v>4.0628205128205126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35</v>
      </c>
      <c r="B89" s="258">
        <v>162.16666666666669</v>
      </c>
      <c r="C89" s="258">
        <v>1</v>
      </c>
      <c r="D89" s="258">
        <v>60.602564102564102</v>
      </c>
      <c r="E89" s="259">
        <v>0</v>
      </c>
      <c r="F89" s="259">
        <v>0</v>
      </c>
      <c r="G89" s="259">
        <v>0</v>
      </c>
      <c r="H89" s="262">
        <v>1</v>
      </c>
      <c r="I89" s="53">
        <f t="shared" ref="I89:I107" si="3">IF(A89&lt;&gt;0,(B89-(B88-D88))/(A89-A88),"")</f>
        <v>8.0564102564102633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41</v>
      </c>
      <c r="B90" s="258">
        <v>157.44871794871796</v>
      </c>
      <c r="C90" s="258">
        <v>2</v>
      </c>
      <c r="D90" s="258">
        <v>38.512820512820511</v>
      </c>
      <c r="E90" s="262">
        <v>0</v>
      </c>
      <c r="F90" s="262">
        <v>0</v>
      </c>
      <c r="G90" s="262">
        <v>0</v>
      </c>
      <c r="H90" s="262">
        <v>1</v>
      </c>
      <c r="I90" s="53">
        <f t="shared" si="3"/>
        <v>9.3141025641025621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48</v>
      </c>
      <c r="B91" s="258">
        <v>184.35256410256409</v>
      </c>
      <c r="C91" s="258">
        <v>3</v>
      </c>
      <c r="D91" s="258">
        <v>48.025641025641022</v>
      </c>
      <c r="E91" s="262">
        <v>0</v>
      </c>
      <c r="F91" s="262">
        <v>0</v>
      </c>
      <c r="G91" s="262">
        <v>0</v>
      </c>
      <c r="H91" s="262">
        <v>1</v>
      </c>
      <c r="I91" s="53">
        <f t="shared" si="3"/>
        <v>9.3452380952380913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55</v>
      </c>
      <c r="B92" s="258">
        <v>198.44230769230768</v>
      </c>
      <c r="C92" s="258">
        <v>4</v>
      </c>
      <c r="D92" s="258">
        <v>45.147435897435898</v>
      </c>
      <c r="E92" s="262">
        <v>0</v>
      </c>
      <c r="F92" s="262">
        <v>0</v>
      </c>
      <c r="G92" s="262">
        <v>0</v>
      </c>
      <c r="H92" s="262">
        <v>1</v>
      </c>
      <c r="I92" s="53">
        <f t="shared" si="3"/>
        <v>8.8736263736263741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63</v>
      </c>
      <c r="B93" s="258">
        <v>220.28846153846152</v>
      </c>
      <c r="C93" s="258">
        <v>5</v>
      </c>
      <c r="D93" s="258">
        <v>41.724358974358978</v>
      </c>
      <c r="E93" s="263">
        <v>0.7</v>
      </c>
      <c r="F93" s="263">
        <v>0</v>
      </c>
      <c r="G93" s="263">
        <v>0</v>
      </c>
      <c r="H93" s="263">
        <v>0.3</v>
      </c>
      <c r="I93" s="53">
        <f t="shared" si="3"/>
        <v>8.374198717948719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71</v>
      </c>
      <c r="B94" s="258">
        <v>243.36538461538464</v>
      </c>
      <c r="C94" s="258">
        <v>6</v>
      </c>
      <c r="D94" s="258">
        <v>39.935897435897431</v>
      </c>
      <c r="E94" s="263">
        <v>0.7</v>
      </c>
      <c r="F94" s="263">
        <v>0</v>
      </c>
      <c r="G94" s="263">
        <v>0</v>
      </c>
      <c r="H94" s="263">
        <v>0.3</v>
      </c>
      <c r="I94" s="53">
        <f t="shared" si="3"/>
        <v>8.1001602564102626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80</v>
      </c>
      <c r="B95" s="60">
        <v>274.01282051282055</v>
      </c>
      <c r="C95" s="60">
        <v>7</v>
      </c>
      <c r="D95" s="60">
        <v>45.608974358974358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7.8425925925925934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89</v>
      </c>
      <c r="B96" s="60">
        <v>295.85897435897436</v>
      </c>
      <c r="C96" s="60">
        <v>8</v>
      </c>
      <c r="D96" s="60">
        <v>49.391025641025635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7.4950142450142421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99</v>
      </c>
      <c r="B97" s="60">
        <v>318.25</v>
      </c>
      <c r="C97" s="60">
        <v>9</v>
      </c>
      <c r="D97" s="60">
        <v>48.019230769230766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7.1782051282051267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109</v>
      </c>
      <c r="B98" s="60">
        <v>340.16666666666663</v>
      </c>
      <c r="C98" s="60">
        <v>10</v>
      </c>
      <c r="D98" s="60">
        <v>51.28846153846154</v>
      </c>
      <c r="E98" s="87">
        <v>0.9</v>
      </c>
      <c r="F98" s="87">
        <v>0</v>
      </c>
      <c r="G98" s="87">
        <v>0</v>
      </c>
      <c r="H98" s="87">
        <v>0.1</v>
      </c>
      <c r="I98" s="53">
        <f t="shared" si="3"/>
        <v>6.9935897435897401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119</v>
      </c>
      <c r="B99" s="60">
        <v>357.33974358974359</v>
      </c>
      <c r="C99" s="60">
        <v>11</v>
      </c>
      <c r="D99" s="60">
        <v>150.02564102564102</v>
      </c>
      <c r="E99" s="87">
        <v>0.9</v>
      </c>
      <c r="F99" s="87">
        <v>0</v>
      </c>
      <c r="G99" s="87">
        <v>0</v>
      </c>
      <c r="H99" s="87">
        <v>0.1</v>
      </c>
      <c r="I99" s="53">
        <f t="shared" si="3"/>
        <v>6.8461538461538511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123</v>
      </c>
      <c r="B100" s="60">
        <v>222.63461538461539</v>
      </c>
      <c r="C100" s="60">
        <v>12</v>
      </c>
      <c r="D100" s="60">
        <v>77.17307692307692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3.8301282051282044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127</v>
      </c>
      <c r="B101" s="60">
        <v>154.80128205128204</v>
      </c>
      <c r="C101" s="60">
        <v>13</v>
      </c>
      <c r="D101" s="60">
        <v>49.916666666666671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2.3349358974358978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131</v>
      </c>
      <c r="B102" s="50">
        <v>110.91025641025641</v>
      </c>
      <c r="C102" s="60">
        <v>14</v>
      </c>
      <c r="D102" s="50">
        <v>110.91025641025641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1.5064102564102591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Charme</v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7" t="s">
        <v>45</v>
      </c>
      <c r="D112" s="267"/>
      <c r="E112" s="268" t="s">
        <v>46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30</v>
      </c>
      <c r="B114" s="258">
        <v>121.88461538461537</v>
      </c>
      <c r="C114" s="257" t="s">
        <v>56</v>
      </c>
      <c r="D114" s="258">
        <v>0</v>
      </c>
      <c r="E114" s="259">
        <v>0</v>
      </c>
      <c r="F114" s="259">
        <v>0</v>
      </c>
      <c r="G114" s="259">
        <v>0</v>
      </c>
      <c r="H114" s="259">
        <v>0</v>
      </c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>
        <v>35</v>
      </c>
      <c r="B115" s="258">
        <v>162.16666666666669</v>
      </c>
      <c r="C115" s="257">
        <v>1</v>
      </c>
      <c r="D115" s="258">
        <v>60.602564102564102</v>
      </c>
      <c r="E115" s="259">
        <v>0</v>
      </c>
      <c r="F115" s="259">
        <v>0</v>
      </c>
      <c r="G115" s="259">
        <v>0</v>
      </c>
      <c r="H115" s="259">
        <v>1</v>
      </c>
      <c r="I115" s="53">
        <f t="shared" ref="I115:I133" si="4">IF(A115&lt;&gt;0,(B115-(B114-D114))/(A115-A114),"")</f>
        <v>8.0564102564102633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>
        <v>41</v>
      </c>
      <c r="B116" s="258">
        <v>157.44871794871796</v>
      </c>
      <c r="C116" s="257">
        <v>2</v>
      </c>
      <c r="D116" s="258">
        <v>38.512820512820511</v>
      </c>
      <c r="E116" s="259">
        <v>0</v>
      </c>
      <c r="F116" s="259">
        <v>0</v>
      </c>
      <c r="G116" s="259">
        <v>0</v>
      </c>
      <c r="H116" s="259">
        <v>1</v>
      </c>
      <c r="I116" s="53">
        <f t="shared" si="4"/>
        <v>9.3141025641025621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>
        <v>48</v>
      </c>
      <c r="B117" s="258">
        <v>184.35256410256409</v>
      </c>
      <c r="C117" s="257">
        <v>3</v>
      </c>
      <c r="D117" s="258">
        <v>48.025641025641022</v>
      </c>
      <c r="E117" s="259">
        <v>0</v>
      </c>
      <c r="F117" s="259">
        <v>0</v>
      </c>
      <c r="G117" s="259">
        <v>0</v>
      </c>
      <c r="H117" s="259">
        <v>1</v>
      </c>
      <c r="I117" s="53">
        <f t="shared" si="4"/>
        <v>9.3452380952380913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>
        <v>55</v>
      </c>
      <c r="B118" s="258">
        <v>198.44230769230768</v>
      </c>
      <c r="C118" s="257">
        <v>4</v>
      </c>
      <c r="D118" s="258">
        <v>45.147435897435898</v>
      </c>
      <c r="E118" s="259">
        <v>0</v>
      </c>
      <c r="F118" s="259">
        <v>0</v>
      </c>
      <c r="G118" s="259">
        <v>0</v>
      </c>
      <c r="H118" s="259">
        <v>1</v>
      </c>
      <c r="I118" s="53">
        <f t="shared" si="4"/>
        <v>8.8736263736263741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>
        <v>63</v>
      </c>
      <c r="B119" s="258">
        <v>220.28846153846152</v>
      </c>
      <c r="C119" s="257">
        <v>5</v>
      </c>
      <c r="D119" s="258">
        <v>41.724358974358978</v>
      </c>
      <c r="E119" s="260">
        <v>0.7</v>
      </c>
      <c r="F119" s="260">
        <v>0</v>
      </c>
      <c r="G119" s="260">
        <v>0</v>
      </c>
      <c r="H119" s="260">
        <v>0.3</v>
      </c>
      <c r="I119" s="53">
        <f t="shared" si="4"/>
        <v>8.374198717948719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71</v>
      </c>
      <c r="B120" s="258">
        <v>243.36538461538464</v>
      </c>
      <c r="C120" s="258">
        <v>6</v>
      </c>
      <c r="D120" s="258">
        <v>39.935897435897431</v>
      </c>
      <c r="E120" s="263">
        <v>0.7</v>
      </c>
      <c r="F120" s="263">
        <v>0</v>
      </c>
      <c r="G120" s="263">
        <v>0</v>
      </c>
      <c r="H120" s="263">
        <v>0.3</v>
      </c>
      <c r="I120" s="53">
        <f t="shared" si="4"/>
        <v>8.1001602564102626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>
        <v>80</v>
      </c>
      <c r="B121" s="264">
        <v>274.01282051282055</v>
      </c>
      <c r="C121" s="264">
        <v>7</v>
      </c>
      <c r="D121" s="264">
        <v>45.608974358974358</v>
      </c>
      <c r="E121" s="263">
        <v>0.7</v>
      </c>
      <c r="F121" s="263">
        <v>0</v>
      </c>
      <c r="G121" s="263">
        <v>0</v>
      </c>
      <c r="H121" s="263">
        <v>0.3</v>
      </c>
      <c r="I121" s="53">
        <f t="shared" si="4"/>
        <v>7.8425925925925934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>
        <v>89</v>
      </c>
      <c r="B122" s="264">
        <v>295.85897435897436</v>
      </c>
      <c r="C122" s="264">
        <v>8</v>
      </c>
      <c r="D122" s="264">
        <v>49.391025641025635</v>
      </c>
      <c r="E122" s="263">
        <v>0.7</v>
      </c>
      <c r="F122" s="263">
        <v>0</v>
      </c>
      <c r="G122" s="263">
        <v>0</v>
      </c>
      <c r="H122" s="263">
        <v>0.3</v>
      </c>
      <c r="I122" s="53">
        <f t="shared" si="4"/>
        <v>7.4950142450142421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99</v>
      </c>
      <c r="B123" s="60">
        <v>318.25</v>
      </c>
      <c r="C123" s="60">
        <v>9</v>
      </c>
      <c r="D123" s="60">
        <v>48.019230769230766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7.1782051282051267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109</v>
      </c>
      <c r="B124" s="60">
        <v>340.16666666666663</v>
      </c>
      <c r="C124" s="60">
        <v>10</v>
      </c>
      <c r="D124" s="60">
        <v>51.28846153846154</v>
      </c>
      <c r="E124" s="87">
        <v>0.9</v>
      </c>
      <c r="F124" s="87">
        <v>0</v>
      </c>
      <c r="G124" s="87">
        <v>0</v>
      </c>
      <c r="H124" s="87">
        <v>0.1</v>
      </c>
      <c r="I124" s="53">
        <f t="shared" si="4"/>
        <v>6.9935897435897401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119</v>
      </c>
      <c r="B125" s="60">
        <v>357.33974358974359</v>
      </c>
      <c r="C125" s="60">
        <v>11</v>
      </c>
      <c r="D125" s="60">
        <v>150.02564102564102</v>
      </c>
      <c r="E125" s="87">
        <v>0.9</v>
      </c>
      <c r="F125" s="87">
        <v>0</v>
      </c>
      <c r="G125" s="87">
        <v>0</v>
      </c>
      <c r="H125" s="87">
        <v>0.1</v>
      </c>
      <c r="I125" s="53">
        <f t="shared" si="4"/>
        <v>6.8461538461538511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123</v>
      </c>
      <c r="B126" s="60">
        <v>222.63461538461539</v>
      </c>
      <c r="C126" s="60">
        <v>12</v>
      </c>
      <c r="D126" s="60">
        <v>77.17307692307692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3.8301282051282044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127</v>
      </c>
      <c r="B127" s="60">
        <v>154.80128205128204</v>
      </c>
      <c r="C127" s="60">
        <v>13</v>
      </c>
      <c r="D127" s="60">
        <v>49.916666666666671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2.3349358974358978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131</v>
      </c>
      <c r="B128" s="50">
        <v>110.91025641025641</v>
      </c>
      <c r="C128" s="50">
        <v>14</v>
      </c>
      <c r="D128" s="50">
        <v>110.91025641025641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1.5064102564102591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>Alisier torminal</v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7" t="s">
        <v>45</v>
      </c>
      <c r="D138" s="267"/>
      <c r="E138" s="268" t="s">
        <v>46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>
        <v>30</v>
      </c>
      <c r="B140" s="258">
        <v>121.88461538461537</v>
      </c>
      <c r="C140" s="257" t="s">
        <v>56</v>
      </c>
      <c r="D140" s="258">
        <v>0</v>
      </c>
      <c r="E140" s="259">
        <v>0</v>
      </c>
      <c r="F140" s="259">
        <v>0</v>
      </c>
      <c r="G140" s="259">
        <v>0</v>
      </c>
      <c r="H140" s="259">
        <v>0</v>
      </c>
      <c r="I140" s="57">
        <f>IFERROR(B140/A140,"")</f>
        <v>4.0628205128205126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>
        <v>35</v>
      </c>
      <c r="B141" s="258">
        <v>162.16666666666669</v>
      </c>
      <c r="C141" s="257">
        <v>1</v>
      </c>
      <c r="D141" s="258">
        <v>60.602564102564102</v>
      </c>
      <c r="E141" s="259">
        <v>0</v>
      </c>
      <c r="F141" s="259">
        <v>0</v>
      </c>
      <c r="G141" s="259">
        <v>0</v>
      </c>
      <c r="H141" s="259">
        <v>1</v>
      </c>
      <c r="I141" s="57">
        <f>IF(A141&lt;&gt;0,(B141-(B140-D140))/(A141-A140),"")</f>
        <v>8.0564102564102633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>
        <v>41</v>
      </c>
      <c r="B142" s="258">
        <v>157.44871794871796</v>
      </c>
      <c r="C142" s="257">
        <v>2</v>
      </c>
      <c r="D142" s="258">
        <v>38.512820512820511</v>
      </c>
      <c r="E142" s="259">
        <v>0</v>
      </c>
      <c r="F142" s="259">
        <v>0</v>
      </c>
      <c r="G142" s="259">
        <v>0</v>
      </c>
      <c r="H142" s="259">
        <v>1</v>
      </c>
      <c r="I142" s="57">
        <f>IF(A142&lt;&gt;0,(B142-(B141-D141))/(A142-A141),"")</f>
        <v>9.3141025641025621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>
        <v>48</v>
      </c>
      <c r="B143" s="258">
        <v>184.35256410256409</v>
      </c>
      <c r="C143" s="257">
        <v>3</v>
      </c>
      <c r="D143" s="258">
        <v>48.025641025641022</v>
      </c>
      <c r="E143" s="259">
        <v>0</v>
      </c>
      <c r="F143" s="259">
        <v>0</v>
      </c>
      <c r="G143" s="259">
        <v>0</v>
      </c>
      <c r="H143" s="259">
        <v>1</v>
      </c>
      <c r="I143" s="57">
        <f t="shared" ref="I143:I159" si="5">IF(A143&lt;&gt;0,(B143-(B142-D142))/(A143-A142),"")</f>
        <v>9.3452380952380913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>
        <v>55</v>
      </c>
      <c r="B144" s="258">
        <v>198.44230769230768</v>
      </c>
      <c r="C144" s="257">
        <v>4</v>
      </c>
      <c r="D144" s="258">
        <v>45.147435897435898</v>
      </c>
      <c r="E144" s="259">
        <v>0</v>
      </c>
      <c r="F144" s="259">
        <v>0</v>
      </c>
      <c r="G144" s="259">
        <v>0</v>
      </c>
      <c r="H144" s="259">
        <v>1</v>
      </c>
      <c r="I144" s="57">
        <f t="shared" si="5"/>
        <v>8.8736263736263741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63</v>
      </c>
      <c r="B145" s="60">
        <v>220.28846153846152</v>
      </c>
      <c r="C145" s="50">
        <v>5</v>
      </c>
      <c r="D145" s="60">
        <v>41.724358974358978</v>
      </c>
      <c r="E145" s="51">
        <v>0.7</v>
      </c>
      <c r="F145" s="51">
        <v>0</v>
      </c>
      <c r="G145" s="51">
        <v>0</v>
      </c>
      <c r="H145" s="51">
        <v>0.3</v>
      </c>
      <c r="I145" s="57">
        <f t="shared" si="5"/>
        <v>8.374198717948719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71</v>
      </c>
      <c r="B146" s="60">
        <v>243.36538461538464</v>
      </c>
      <c r="C146" s="50">
        <v>6</v>
      </c>
      <c r="D146" s="60">
        <v>39.935897435897431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8.1001602564102626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80</v>
      </c>
      <c r="B147" s="60">
        <v>274.01282051282055</v>
      </c>
      <c r="C147" s="50">
        <v>7</v>
      </c>
      <c r="D147" s="60">
        <v>45.608974358974358</v>
      </c>
      <c r="E147" s="51">
        <v>0.7</v>
      </c>
      <c r="F147" s="51">
        <v>0</v>
      </c>
      <c r="G147" s="51">
        <v>0</v>
      </c>
      <c r="H147" s="51">
        <v>0.3</v>
      </c>
      <c r="I147" s="57">
        <f>IF(A147&lt;&gt;0,(B147-(B146-D146))/(A147-A146),"")</f>
        <v>7.8425925925925934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89</v>
      </c>
      <c r="B148" s="60">
        <v>295.85897435897436</v>
      </c>
      <c r="C148" s="50">
        <v>8</v>
      </c>
      <c r="D148" s="60">
        <v>49.391025641025635</v>
      </c>
      <c r="E148" s="51">
        <v>0.7</v>
      </c>
      <c r="F148" s="51">
        <v>0</v>
      </c>
      <c r="G148" s="51">
        <v>0</v>
      </c>
      <c r="H148" s="51">
        <v>0.3</v>
      </c>
      <c r="I148" s="57">
        <f t="shared" si="5"/>
        <v>7.4950142450142421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99</v>
      </c>
      <c r="B149" s="60">
        <v>318.25</v>
      </c>
      <c r="C149" s="50">
        <v>9</v>
      </c>
      <c r="D149" s="60">
        <v>48.019230769230766</v>
      </c>
      <c r="E149" s="51">
        <v>0.7</v>
      </c>
      <c r="F149" s="51">
        <v>0</v>
      </c>
      <c r="G149" s="51">
        <v>0</v>
      </c>
      <c r="H149" s="51">
        <v>0.3</v>
      </c>
      <c r="I149" s="57">
        <f t="shared" si="5"/>
        <v>7.1782051282051267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109</v>
      </c>
      <c r="B150" s="60">
        <v>340.16666666666663</v>
      </c>
      <c r="C150" s="50">
        <v>10</v>
      </c>
      <c r="D150" s="60">
        <v>51.28846153846154</v>
      </c>
      <c r="E150" s="51">
        <v>0.9</v>
      </c>
      <c r="F150" s="51">
        <v>0</v>
      </c>
      <c r="G150" s="51">
        <v>0</v>
      </c>
      <c r="H150" s="51">
        <v>0.1</v>
      </c>
      <c r="I150" s="57">
        <f t="shared" si="5"/>
        <v>6.9935897435897401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119</v>
      </c>
      <c r="B151" s="60">
        <v>357.33974358974359</v>
      </c>
      <c r="C151" s="50">
        <v>11</v>
      </c>
      <c r="D151" s="60">
        <v>150.02564102564102</v>
      </c>
      <c r="E151" s="51">
        <v>0.9</v>
      </c>
      <c r="F151" s="51">
        <v>0</v>
      </c>
      <c r="G151" s="51">
        <v>0</v>
      </c>
      <c r="H151" s="51">
        <v>0.1</v>
      </c>
      <c r="I151" s="57">
        <f t="shared" si="5"/>
        <v>6.8461538461538511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123</v>
      </c>
      <c r="B152" s="60">
        <v>222.63461538461539</v>
      </c>
      <c r="C152" s="50">
        <v>12</v>
      </c>
      <c r="D152" s="60">
        <v>77.17307692307692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3.8301282051282044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127</v>
      </c>
      <c r="B153" s="60">
        <v>154.80128205128204</v>
      </c>
      <c r="C153" s="50">
        <v>13</v>
      </c>
      <c r="D153" s="60">
        <v>49.916666666666671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2.3349358974358978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131</v>
      </c>
      <c r="B154" s="56">
        <v>110.91025641025641</v>
      </c>
      <c r="C154" s="50">
        <v>14</v>
      </c>
      <c r="D154" s="50">
        <v>110.91025641025641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1.5064102564102591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>Douglas</v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7" t="s">
        <v>45</v>
      </c>
      <c r="D164" s="267"/>
      <c r="E164" s="268" t="s">
        <v>46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18</v>
      </c>
      <c r="B166" s="60">
        <v>182.89230769230767</v>
      </c>
      <c r="C166" s="60">
        <v>1</v>
      </c>
      <c r="D166" s="60">
        <v>69.284615384615378</v>
      </c>
      <c r="E166" s="51">
        <v>0</v>
      </c>
      <c r="F166" s="51">
        <v>0.56000000000000005</v>
      </c>
      <c r="G166" s="51">
        <v>0.44</v>
      </c>
      <c r="H166" s="51">
        <v>0</v>
      </c>
      <c r="I166" s="49">
        <f>IFERROR(B166/A166,"")</f>
        <v>10.16068376068376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24</v>
      </c>
      <c r="B167" s="60">
        <v>237.56153846153845</v>
      </c>
      <c r="C167" s="60">
        <v>2</v>
      </c>
      <c r="D167" s="60">
        <v>42.661538461538463</v>
      </c>
      <c r="E167" s="51">
        <v>0.7</v>
      </c>
      <c r="F167" s="51">
        <v>0.16800000000000001</v>
      </c>
      <c r="G167" s="51">
        <v>0.13200000000000001</v>
      </c>
      <c r="H167" s="51">
        <v>0</v>
      </c>
      <c r="I167" s="49">
        <f t="shared" ref="I167:I185" si="6">IF(A167&lt;&gt;0,(B167-(B166-D166))/(A167-A166),"")</f>
        <v>20.658974358974358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30</v>
      </c>
      <c r="B168" s="60">
        <v>331.86923076923074</v>
      </c>
      <c r="C168" s="60">
        <v>3</v>
      </c>
      <c r="D168" s="60">
        <v>65.669230769230765</v>
      </c>
      <c r="E168" s="51">
        <v>0.7</v>
      </c>
      <c r="F168" s="51">
        <v>0.16800000000000001</v>
      </c>
      <c r="G168" s="51">
        <v>0.13200000000000001</v>
      </c>
      <c r="H168" s="51">
        <v>0</v>
      </c>
      <c r="I168" s="49">
        <f t="shared" si="6"/>
        <v>22.828205128205127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36</v>
      </c>
      <c r="B169" s="60">
        <v>403.50769230769237</v>
      </c>
      <c r="C169" s="60">
        <v>4</v>
      </c>
      <c r="D169" s="60">
        <v>69.3</v>
      </c>
      <c r="E169" s="51">
        <v>0.7</v>
      </c>
      <c r="F169" s="51">
        <v>0.16800000000000001</v>
      </c>
      <c r="G169" s="51">
        <v>0.13200000000000001</v>
      </c>
      <c r="H169" s="51">
        <v>0</v>
      </c>
      <c r="I169" s="49">
        <f t="shared" si="6"/>
        <v>22.884615384615397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42</v>
      </c>
      <c r="B170" s="60">
        <v>468.72307692307686</v>
      </c>
      <c r="C170" s="60">
        <v>5</v>
      </c>
      <c r="D170" s="60">
        <v>73.392307692307682</v>
      </c>
      <c r="E170" s="51">
        <v>0.7</v>
      </c>
      <c r="F170" s="51">
        <v>0.16800000000000001</v>
      </c>
      <c r="G170" s="51">
        <v>0.13200000000000001</v>
      </c>
      <c r="H170" s="51">
        <v>0</v>
      </c>
      <c r="I170" s="49">
        <f t="shared" si="6"/>
        <v>22.419230769230751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48</v>
      </c>
      <c r="B171" s="60">
        <v>525.0846153846154</v>
      </c>
      <c r="C171" s="60">
        <v>6</v>
      </c>
      <c r="D171" s="60">
        <v>81.330769230769235</v>
      </c>
      <c r="E171" s="51">
        <v>0.7</v>
      </c>
      <c r="F171" s="51">
        <v>0.16800000000000001</v>
      </c>
      <c r="G171" s="51">
        <v>0.13200000000000001</v>
      </c>
      <c r="H171" s="51">
        <v>0</v>
      </c>
      <c r="I171" s="49">
        <f t="shared" si="6"/>
        <v>21.625641025641034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54</v>
      </c>
      <c r="B172" s="60">
        <v>566.79999999999995</v>
      </c>
      <c r="C172" s="60">
        <v>7</v>
      </c>
      <c r="D172" s="60">
        <v>566.79999999999995</v>
      </c>
      <c r="E172" s="51">
        <v>0.7</v>
      </c>
      <c r="F172" s="51">
        <v>0.16800000000000001</v>
      </c>
      <c r="G172" s="51">
        <v>0.13200000000000001</v>
      </c>
      <c r="H172" s="51">
        <v>0</v>
      </c>
      <c r="I172" s="49">
        <f t="shared" si="6"/>
        <v>20.507692307692299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>Merisier</v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7" t="s">
        <v>45</v>
      </c>
      <c r="D190" s="267"/>
      <c r="E190" s="268" t="s">
        <v>46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15</v>
      </c>
      <c r="B192" s="60">
        <v>40</v>
      </c>
      <c r="C192" s="60">
        <v>1</v>
      </c>
      <c r="D192" s="60">
        <v>3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2.6666666666666665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20</v>
      </c>
      <c r="B193" s="60">
        <v>85</v>
      </c>
      <c r="C193" s="60">
        <v>2</v>
      </c>
      <c r="D193" s="60">
        <v>25</v>
      </c>
      <c r="E193" s="51">
        <v>0</v>
      </c>
      <c r="F193" s="51">
        <v>0.5</v>
      </c>
      <c r="G193" s="51">
        <v>0</v>
      </c>
      <c r="H193" s="51">
        <v>0.5</v>
      </c>
      <c r="I193" s="49">
        <f t="shared" ref="I193:I211" si="7">IF(A193&lt;&gt;0,(B193-(B192-D192))/(A193-A192),"")</f>
        <v>9.6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25</v>
      </c>
      <c r="B194" s="60">
        <v>113</v>
      </c>
      <c r="C194" s="60">
        <v>3</v>
      </c>
      <c r="D194" s="60">
        <v>27</v>
      </c>
      <c r="E194" s="51">
        <v>0</v>
      </c>
      <c r="F194" s="51">
        <v>0.5</v>
      </c>
      <c r="G194" s="51">
        <v>0</v>
      </c>
      <c r="H194" s="51">
        <v>0.5</v>
      </c>
      <c r="I194" s="49">
        <f t="shared" si="7"/>
        <v>10.6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31</v>
      </c>
      <c r="B195" s="60">
        <v>155</v>
      </c>
      <c r="C195" s="60">
        <v>4</v>
      </c>
      <c r="D195" s="60">
        <v>35</v>
      </c>
      <c r="E195" s="51">
        <v>0.3</v>
      </c>
      <c r="F195" s="51">
        <v>0.4</v>
      </c>
      <c r="G195" s="51">
        <v>0</v>
      </c>
      <c r="H195" s="51">
        <v>0.3</v>
      </c>
      <c r="I195" s="49">
        <f t="shared" si="7"/>
        <v>11.5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37</v>
      </c>
      <c r="B196" s="60">
        <v>188</v>
      </c>
      <c r="C196" s="60">
        <v>5</v>
      </c>
      <c r="D196" s="60">
        <v>36</v>
      </c>
      <c r="E196" s="51">
        <v>0.3</v>
      </c>
      <c r="F196" s="51">
        <v>0.4</v>
      </c>
      <c r="G196" s="51">
        <v>0</v>
      </c>
      <c r="H196" s="51">
        <v>0.3</v>
      </c>
      <c r="I196" s="49">
        <f t="shared" si="7"/>
        <v>11.333333333333334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44</v>
      </c>
      <c r="B197" s="60">
        <v>230</v>
      </c>
      <c r="C197" s="60">
        <v>6</v>
      </c>
      <c r="D197" s="60">
        <v>43</v>
      </c>
      <c r="E197" s="51">
        <v>0.4</v>
      </c>
      <c r="F197" s="51">
        <v>0.4</v>
      </c>
      <c r="G197" s="51">
        <v>0</v>
      </c>
      <c r="H197" s="51">
        <v>0.2</v>
      </c>
      <c r="I197" s="49">
        <f t="shared" si="7"/>
        <v>11.142857142857142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52</v>
      </c>
      <c r="B198" s="60">
        <v>270</v>
      </c>
      <c r="C198" s="60">
        <v>7</v>
      </c>
      <c r="D198" s="60">
        <v>49</v>
      </c>
      <c r="E198" s="51">
        <v>0.4</v>
      </c>
      <c r="F198" s="51">
        <v>0.4</v>
      </c>
      <c r="G198" s="51">
        <v>0</v>
      </c>
      <c r="H198" s="51">
        <v>0.2</v>
      </c>
      <c r="I198" s="49">
        <f t="shared" si="7"/>
        <v>10.375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60</v>
      </c>
      <c r="B199" s="50">
        <v>297</v>
      </c>
      <c r="C199" s="50">
        <v>8</v>
      </c>
      <c r="D199" s="50">
        <v>47</v>
      </c>
      <c r="E199" s="51">
        <v>0.5</v>
      </c>
      <c r="F199" s="51">
        <v>0.4</v>
      </c>
      <c r="G199" s="51">
        <v>0</v>
      </c>
      <c r="H199" s="51">
        <v>0.1</v>
      </c>
      <c r="I199" s="49">
        <f t="shared" si="7"/>
        <v>9.5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69</v>
      </c>
      <c r="B200" s="50">
        <v>328</v>
      </c>
      <c r="C200" s="50" t="s">
        <v>57</v>
      </c>
      <c r="D200" s="50">
        <v>328</v>
      </c>
      <c r="E200" s="51">
        <v>0.5</v>
      </c>
      <c r="F200" s="51">
        <v>0.4</v>
      </c>
      <c r="G200" s="51">
        <v>0</v>
      </c>
      <c r="H200" s="51">
        <v>0.1</v>
      </c>
      <c r="I200" s="49">
        <f t="shared" si="7"/>
        <v>8.6666666666666661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7" t="s">
        <v>45</v>
      </c>
      <c r="D216" s="267"/>
      <c r="E216" s="268" t="s">
        <v>46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7" t="s">
        <v>45</v>
      </c>
      <c r="D242" s="267"/>
      <c r="E242" s="268" t="s">
        <v>46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7" t="s">
        <v>45</v>
      </c>
      <c r="D268" s="267"/>
      <c r="E268" s="268" t="s">
        <v>46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3" zoomScale="78" zoomScaleNormal="100" workbookViewId="0">
      <selection activeCell="F29" sqref="F2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58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63</v>
      </c>
      <c r="D8" s="23"/>
      <c r="E8" s="105">
        <v>4</v>
      </c>
      <c r="F8" s="61">
        <v>0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60</v>
      </c>
      <c r="C15" s="4"/>
      <c r="D15" s="23"/>
      <c r="E15" s="4"/>
      <c r="F15" s="4"/>
      <c r="G15" s="2" t="s">
        <v>236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Chêne sessile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pubescent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Tilleul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Charme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Alisier torminal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Douglas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>Merisier</v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51</v>
      </c>
      <c r="X2" s="7" t="s">
        <v>52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51</v>
      </c>
      <c r="AS2" s="7" t="s">
        <v>52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51</v>
      </c>
      <c r="BN2" s="7" t="s">
        <v>52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51</v>
      </c>
      <c r="CI2" s="7" t="s">
        <v>52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51</v>
      </c>
      <c r="DD2" s="7" t="s">
        <v>52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51</v>
      </c>
      <c r="DY2" s="7" t="s">
        <v>52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51</v>
      </c>
      <c r="ET2" s="7" t="s">
        <v>52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51</v>
      </c>
      <c r="FO2" s="7" t="s">
        <v>52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51</v>
      </c>
      <c r="GJ2" s="7" t="s">
        <v>52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51</v>
      </c>
      <c r="HE2" s="7" t="s">
        <v>52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421.33534980160005</v>
      </c>
      <c r="T3" s="59">
        <f>IF('Données projet'!E9&gt;30,$R$33-$H$33,LOOKUP('Données projet'!$E$9,$A$3:$A$203,R3:R203)-LOOKUP('Données projet'!$E$9,$A$3:$A$203,$H$3:$H$203))</f>
        <v>299.0473530693472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462.74754756814662</v>
      </c>
      <c r="AO3" s="59">
        <f>IF('Données projet'!E10&gt;30,$AM$33-$H$33,LOOKUP('Données projet'!$E$10,$A$3:$A$203,AM3:AM203)-LOOKUP('Données projet'!$E$10,$A$3:$A$203,$H$3:$H$203))</f>
        <v>327.65191293226667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332.21938212432008</v>
      </c>
      <c r="BJ3" s="59">
        <f>IF('Données projet'!E11&gt;30,$BH$33-$H$33,LOOKUP('Données projet'!$E$11,$A$3:$A$203,BH3:BH203)-LOOKUP('Données projet'!$E$11,$A$3:$A$203,$H$3:$H$203))</f>
        <v>237.47732529948181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439.09551305860475</v>
      </c>
      <c r="CE3" s="59">
        <f>IF('Données projet'!E12&gt;30,$CC$33-$H$33,LOOKUP('Données projet'!$E$12,$A$3:$A$203,CC3:CC203)-LOOKUP('Données projet'!$E$12,$A$3:$A$203,$H$3:$H$203))</f>
        <v>311.31528017256846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445.01146841309549</v>
      </c>
      <c r="CZ3" s="59">
        <f>IF('Données projet'!E13&gt;30,$CX$33-$H$33,LOOKUP('Données projet'!$E$13,$A$3:$A$203,CX3:CX203)-LOOKUP('Données projet'!$E$13,$A$3:$A$203,$H$3:$H$203))</f>
        <v>315.40159257508969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349.00268383833668</v>
      </c>
      <c r="DU3" s="59">
        <f>IF('Données projet'!E14&gt;30,$DS$33-$H$33,LOOKUP('Données projet'!$E$14,$A$3:$A$203,DS3:DS203)-LOOKUP('Données projet'!$E$14,$A$3:$A$203,$H$3:$H$203))</f>
        <v>459.94854391583749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308.82719216177946</v>
      </c>
      <c r="EP3" s="59">
        <f>IF('Données projet'!E15&gt;30,$EN$33-$H$33,LOOKUP('Données projet'!$E$15,$A$3:$A$203,EN3:EN203)-LOOKUP('Données projet'!$E$15,$A$3:$A$203,$H$3:$H$203))</f>
        <v>302.59481222418219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170.50829182017665</v>
      </c>
      <c r="S4" s="59">
        <f ca="1">AVERAGE(OFFSET($R$3,0,0,'Données projet'!$E$9+1,1))-AVERAGE(OFFSET($H$3,0,0,'Données projet'!$E$9+1,1))</f>
        <v>421.33534980160005</v>
      </c>
      <c r="T4" s="59">
        <f>$T$3</f>
        <v>299.0473530693472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1.1900619912150421</v>
      </c>
      <c r="AK4" s="13">
        <f>EXP(-1.0587+0.8836*LN(AJ4)+0.284)</f>
        <v>0.53743426225295832</v>
      </c>
      <c r="AL4" s="20">
        <f t="shared" ref="AL4:AL67" si="4">(AJ4+AK4)*0.475*44/12</f>
        <v>3.0087226414567669</v>
      </c>
      <c r="AM4" s="59">
        <f t="shared" ref="AM4:AM67" si="5">AL4+(AD4+AE4)*44/12</f>
        <v>170.8211565943806</v>
      </c>
      <c r="AN4" s="59">
        <f ca="1">AVERAGE(OFFSET($AM$3,0,0,'Données projet'!$E$10+1,1))-AVERAGE(OFFSET($H$3,0,0,'Données projet'!$E$10+1,1))</f>
        <v>462.74754756814662</v>
      </c>
      <c r="AO4" s="59">
        <f>$AO$3</f>
        <v>327.65191293226667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4.0628205128205126</v>
      </c>
      <c r="BD4" s="12">
        <f>IF('Données projet'!$A$88&gt;35,BD3+BC4-BL3,IF(A4&lt;'Données projet'!$A$88,$BA$205^A4,IF(A4='Données projet'!$A$88,'Données projet'!$B$88,BD3+BC4-BL3)))</f>
        <v>1.1736311550444201</v>
      </c>
      <c r="BE4" s="13">
        <f>BD4*VLOOKUP('Données projet'!$B$11,Paramètres!$A$1:$I$89,3,0)*VLOOKUP('Données projet'!$B$11,Paramètres!$A$1:$I$89,5,0)</f>
        <v>0.78727177880379695</v>
      </c>
      <c r="BF4" s="13">
        <f>EXP(-1.0587+0.8836*LN(BE4)+0.284)</f>
        <v>0.37305067946141096</v>
      </c>
      <c r="BG4" s="20">
        <f t="shared" ref="BG4:BG67" si="7">(BE4+BF4)*0.475*44/12</f>
        <v>2.0208949481452367</v>
      </c>
      <c r="BH4" s="59">
        <f t="shared" ref="BH4:BH67" si="8">BG4+(AY4+AZ4)*44/12</f>
        <v>169.83332890106908</v>
      </c>
      <c r="BI4" s="59">
        <f ca="1">AVERAGE(OFFSET($BH$3,0,0,'Données projet'!$E$11+1,1))-AVERAGE(OFFSET($H$3,0,0,'Données projet'!$E$11+1,1))</f>
        <v>332.21938212432008</v>
      </c>
      <c r="BJ4" s="59">
        <f>$BJ$3</f>
        <v>237.47732529948181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1.1168274071402702</v>
      </c>
      <c r="CA4" s="13">
        <f>EXP(-1.0587+0.8836*LN(BZ4)+0.284)</f>
        <v>0.50810392551502437</v>
      </c>
      <c r="CB4" s="20">
        <f t="shared" ref="CB4:CB67" si="10">(BZ4+CA4)*0.475*44/12</f>
        <v>2.8300887377079711</v>
      </c>
      <c r="CC4" s="59">
        <f t="shared" ref="CC4:CC67" si="11">CB4+(BT4+BU4)*44/12</f>
        <v>170.64252269063181</v>
      </c>
      <c r="CD4" s="59">
        <f ca="1">AVERAGE(OFFSET($CC$3,0,0,'Données projet'!$E$12+1,1))-AVERAGE(OFFSET($H$3,0,0,'Données projet'!$E$12+1,1))</f>
        <v>439.09551305860475</v>
      </c>
      <c r="CE4" s="59">
        <f>$CE$3</f>
        <v>311.31528017256846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4.0628205128205126</v>
      </c>
      <c r="CT4" s="12">
        <f>IF('Données projet'!$A$140&gt;35,CT3+CS4-DB3,IF(A4&lt;'Données projet'!$A$140,$CQ$205^A4,IF(A4='Données projet'!$A$140,'Données projet'!$B$140,CT3+CS4-DB3)))</f>
        <v>1.1736311550444201</v>
      </c>
      <c r="CU4" s="17">
        <f>CT4*VLOOKUP('Données projet'!$B$13,Paramètres!$A$1:$I$89,3,0)*VLOOKUP('Données projet'!$B$13,Paramètres!$A$1:$I$89,5,0)</f>
        <v>1.1351360531589632</v>
      </c>
      <c r="CV4" s="13">
        <f>EXP(-1.0587+0.8836*LN(CU4)+0.284)</f>
        <v>0.51545695611720688</v>
      </c>
      <c r="CW4" s="20">
        <f t="shared" ref="CW4:CW67" si="13">(CU4+CV4)*0.475*44/12</f>
        <v>2.8747828244893294</v>
      </c>
      <c r="CX4" s="59">
        <f t="shared" ref="CX4:CX67" si="14">CW4+(CO4+CP4)*44/12</f>
        <v>170.68721677741317</v>
      </c>
      <c r="CY4" s="59">
        <f ca="1">AVERAGE(OFFSET($CX$3,0,0,'Données projet'!$E$13+1,1))-AVERAGE(OFFSET($H$3,0,0,'Données projet'!$E$13+1,1))</f>
        <v>445.01146841309549</v>
      </c>
      <c r="CZ4" s="59">
        <f>$CZ$3</f>
        <v>315.40159257508969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10.16068376068376</v>
      </c>
      <c r="DO4" s="12">
        <f>IF('Données projet'!$A$166&gt;35,DO3+DN4-DW3,IF(A4&lt;'Données projet'!$A$166,$DL$205^A4,IF(A4='Données projet'!$A$166,'Données projet'!$B$166,DO3+DN4-DW3)))</f>
        <v>1.3356034260773062</v>
      </c>
      <c r="DP4" s="17">
        <f>DO4*VLOOKUP('Données projet'!$B$14,Paramètres!$A$1:$I$89,3,0)*VLOOKUP('Données projet'!$B$14,Paramètres!$A$1:$I$89,5,0)</f>
        <v>0.7466023151772142</v>
      </c>
      <c r="DQ4" s="13">
        <f>EXP(-1.0587+0.8836*LN(DP4)+0.284)</f>
        <v>0.35597032812689977</v>
      </c>
      <c r="DR4" s="20">
        <f t="shared" ref="DR4:DR67" si="16">(DP4+DQ4)*0.475*44/12</f>
        <v>1.9203140204213316</v>
      </c>
      <c r="DS4" s="59">
        <f t="shared" ref="DS4:DS67" si="17">DR4+(DJ4+DK4)*44/12</f>
        <v>169.73274797334517</v>
      </c>
      <c r="DT4" s="59">
        <f ca="1">AVERAGE(OFFSET($DS$3,0,0,'Données projet'!$E$14+1,1))-AVERAGE(OFFSET($H$3,0,0,'Données projet'!$E$14+1,1))</f>
        <v>349.00268383833668</v>
      </c>
      <c r="DU4" s="59">
        <f>$DU$3</f>
        <v>459.94854391583749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2.6666666666666665</v>
      </c>
      <c r="EJ4" s="12">
        <f>IF('Données projet'!$A$192&gt;35,EJ3+EI4-ER3,IF(A4&lt;'Données projet'!$A$192,$EG$205^A4,IF(A4='Données projet'!$A$192,'Données projet'!$B$192,EJ3+EI4-ER3)))</f>
        <v>1.2788040393997409</v>
      </c>
      <c r="EK4" s="17">
        <f>EJ4*VLOOKUP('Données projet'!$B$15,Paramètres!$A$1:$I$89,3,0)*VLOOKUP('Données projet'!$B$15,Paramètres!$A$1:$I$89,5,0)</f>
        <v>0.99746715073179792</v>
      </c>
      <c r="EL4" s="13">
        <f>EXP(-1.0587+0.8836*LN(EK4)+0.284)</f>
        <v>0.45981048445793882</v>
      </c>
      <c r="EM4" s="20">
        <f t="shared" ref="EM4:EM67" si="19">(EK4+EL4)*0.475*44/12</f>
        <v>2.5380918812887914</v>
      </c>
      <c r="EN4" s="59">
        <f t="shared" ref="EN4:EN67" si="20">EM4+(EE4+EF4)*44/12</f>
        <v>170.35052583421262</v>
      </c>
      <c r="EO4" s="59">
        <f ca="1">AVERAGE(OFFSET($EN$3,0,0,'Données projet'!$E$15+1,1))-AVERAGE(OFFSET($H$3,0,0,'Données projet'!$E$15+1,1))</f>
        <v>308.82719216177946</v>
      </c>
      <c r="EP4" s="59">
        <f>$EP$3</f>
        <v>302.59481222418219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173.74288373043026</v>
      </c>
      <c r="S5" s="59">
        <f ca="1">AVERAGE(OFFSET($R$3,0,0,'Données projet'!$E$9+1,1))-AVERAGE(OFFSET($H$3,0,0,'Données projet'!$E$9+1,1))</f>
        <v>421.33534980160005</v>
      </c>
      <c r="T5" s="59">
        <f t="shared" ref="T5:T68" si="34">$T$3</f>
        <v>299.0473530693472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1.3966938293241722</v>
      </c>
      <c r="AK5" s="13">
        <f t="shared" ref="AK5:AK68" si="35">EXP(-1.0587+0.8836*LN(AJ5)+0.284)</f>
        <v>0.61910384026408283</v>
      </c>
      <c r="AL5" s="20">
        <f t="shared" si="4"/>
        <v>3.5108476078662108</v>
      </c>
      <c r="AM5" s="59">
        <f t="shared" si="5"/>
        <v>174.10812889536703</v>
      </c>
      <c r="AN5" s="59">
        <f ca="1">AVERAGE(OFFSET($AM$3,0,0,'Données projet'!$E$10+1,1))-AVERAGE(OFFSET($H$3,0,0,'Données projet'!$E$10+1,1))</f>
        <v>462.74754756814662</v>
      </c>
      <c r="AO5" s="59">
        <f t="shared" ref="AO5:AO68" si="36">$AO$3</f>
        <v>327.65191293226667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4.0628205128205126</v>
      </c>
      <c r="BD5" s="12">
        <f>IF('Données projet'!$A$88&gt;35,BD4+BC5-BL4,IF(A5&lt;'Données projet'!$A$88,$BA$205^A5,IF(A5='Données projet'!$A$88,'Données projet'!$B$88,BD4+BC5-BL4)))</f>
        <v>1.3774100880908995</v>
      </c>
      <c r="BE5" s="13">
        <f>BD5*VLOOKUP('Données projet'!$B$11,Paramètres!$A$1:$I$89,3,0)*VLOOKUP('Données projet'!$B$11,Paramètres!$A$1:$I$89,5,0)</f>
        <v>0.92396668709137542</v>
      </c>
      <c r="BF5" s="13">
        <f t="shared" ref="BF5:BF68" si="37">EXP(-1.0587+0.8836*LN(BE5)+0.284)</f>
        <v>0.42974020171229532</v>
      </c>
      <c r="BG5" s="20">
        <f t="shared" si="7"/>
        <v>2.3577061646663928</v>
      </c>
      <c r="BH5" s="59">
        <f t="shared" si="8"/>
        <v>172.95498745216722</v>
      </c>
      <c r="BI5" s="59">
        <f ca="1">AVERAGE(OFFSET($BH$3,0,0,'Données projet'!$E$11+1,1))-AVERAGE(OFFSET($H$3,0,0,'Données projet'!$E$11+1,1))</f>
        <v>332.21938212432008</v>
      </c>
      <c r="BJ5" s="59">
        <f t="shared" ref="BJ5:BJ68" si="38">$BJ$3</f>
        <v>237.47732529948181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1.3107434398272999</v>
      </c>
      <c r="CA5" s="13">
        <f t="shared" ref="CA5:CA68" si="39">EXP(-1.0587+0.8836*LN(BZ5)+0.284)</f>
        <v>0.58531640729586831</v>
      </c>
      <c r="CB5" s="20">
        <f t="shared" si="10"/>
        <v>3.3023042337395179</v>
      </c>
      <c r="CC5" s="59">
        <f t="shared" si="11"/>
        <v>173.89958552124034</v>
      </c>
      <c r="CD5" s="59">
        <f ca="1">AVERAGE(OFFSET($CC$3,0,0,'Données projet'!$E$12+1,1))-AVERAGE(OFFSET($H$3,0,0,'Données projet'!$E$12+1,1))</f>
        <v>439.09551305860475</v>
      </c>
      <c r="CE5" s="59">
        <f t="shared" ref="CE5:CE68" si="40">$CE$3</f>
        <v>311.31528017256846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4.0628205128205126</v>
      </c>
      <c r="CT5" s="12">
        <f>IF('Données projet'!$A$140&gt;35,CT4+CS5-DB4,IF(A5&lt;'Données projet'!$A$140,$CQ$205^A5,IF(A5='Données projet'!$A$140,'Données projet'!$B$140,CT4+CS5-DB4)))</f>
        <v>1.3774100880908995</v>
      </c>
      <c r="CU5" s="17">
        <f>CT5*VLOOKUP('Données projet'!$B$13,Paramètres!$A$1:$I$89,3,0)*VLOOKUP('Données projet'!$B$13,Paramètres!$A$1:$I$89,5,0)</f>
        <v>1.332231037201518</v>
      </c>
      <c r="CV5" s="13">
        <f t="shared" ref="CV5:CV68" si="41">EXP(-1.0587+0.8836*LN(CU5)+0.284)</f>
        <v>0.59378681903386776</v>
      </c>
      <c r="CW5" s="20">
        <f t="shared" si="13"/>
        <v>3.3544810996099632</v>
      </c>
      <c r="CX5" s="59">
        <f t="shared" si="14"/>
        <v>173.95176238711079</v>
      </c>
      <c r="CY5" s="59">
        <f ca="1">AVERAGE(OFFSET($CX$3,0,0,'Données projet'!$E$13+1,1))-AVERAGE(OFFSET($H$3,0,0,'Données projet'!$E$13+1,1))</f>
        <v>445.01146841309549</v>
      </c>
      <c r="CZ5" s="59">
        <f t="shared" ref="CZ5:CZ68" si="42">$CZ$3</f>
        <v>315.40159257508969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10.16068376068376</v>
      </c>
      <c r="DO5" s="12">
        <f>IF('Données projet'!$A$166&gt;35,DO4+DN5-DW4,IF(A5&lt;'Données projet'!$A$166,$DL$205^A5,IF(A5='Données projet'!$A$166,'Données projet'!$B$166,DO4+DN5-DW4)))</f>
        <v>1.7838365117494384</v>
      </c>
      <c r="DP5" s="17">
        <f>DO5*VLOOKUP('Données projet'!$B$14,Paramètres!$A$1:$I$89,3,0)*VLOOKUP('Données projet'!$B$14,Paramètres!$A$1:$I$89,5,0)</f>
        <v>0.99716461006793611</v>
      </c>
      <c r="DQ5" s="13">
        <f t="shared" ref="DQ5:DQ68" si="43">EXP(-1.0587+0.8836*LN(DP5)+0.284)</f>
        <v>0.4596872513511342</v>
      </c>
      <c r="DR5" s="20">
        <f t="shared" si="16"/>
        <v>2.5373503253048804</v>
      </c>
      <c r="DS5" s="59">
        <f t="shared" si="17"/>
        <v>173.13463161280572</v>
      </c>
      <c r="DT5" s="59">
        <f ca="1">AVERAGE(OFFSET($DS$3,0,0,'Données projet'!$E$14+1,1))-AVERAGE(OFFSET($H$3,0,0,'Données projet'!$E$14+1,1))</f>
        <v>349.00268383833668</v>
      </c>
      <c r="DU5" s="59">
        <f t="shared" ref="DU5:DU68" si="44">$DU$3</f>
        <v>459.94854391583749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2.6666666666666665</v>
      </c>
      <c r="EJ5" s="12">
        <f>IF('Données projet'!$A$192&gt;35,EJ4+EI5-ER4,IF(A5&lt;'Données projet'!$A$192,$EG$205^A5,IF(A5='Données projet'!$A$192,'Données projet'!$B$192,EJ4+EI5-ER4)))</f>
        <v>1.6353397711850939</v>
      </c>
      <c r="EK5" s="17">
        <f>EJ5*VLOOKUP('Données projet'!$B$15,Paramètres!$A$1:$I$89,3,0)*VLOOKUP('Données projet'!$B$15,Paramètres!$A$1:$I$89,5,0)</f>
        <v>1.2755650215243732</v>
      </c>
      <c r="EL5" s="13">
        <f t="shared" ref="EL5:EL68" si="45">EXP(-1.0587+0.8836*LN(EK5)+0.284)</f>
        <v>0.57141400910743001</v>
      </c>
      <c r="EM5" s="20">
        <f t="shared" si="19"/>
        <v>3.2168218116837237</v>
      </c>
      <c r="EN5" s="59">
        <f t="shared" si="20"/>
        <v>173.81410309918456</v>
      </c>
      <c r="EO5" s="59">
        <f ca="1">AVERAGE(OFFSET($EN$3,0,0,'Données projet'!$E$15+1,1))-AVERAGE(OFFSET($H$3,0,0,'Données projet'!$E$15+1,1))</f>
        <v>308.82719216177946</v>
      </c>
      <c r="EP5" s="59">
        <f t="shared" ref="EP5:EP68" si="46">$EP$3</f>
        <v>302.59481222418219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177.02567022419751</v>
      </c>
      <c r="S6" s="59">
        <f ca="1">AVERAGE(OFFSET($R$3,0,0,'Données projet'!$E$9+1,1))-AVERAGE(OFFSET($H$3,0,0,'Données projet'!$E$9+1,1))</f>
        <v>421.33534980160005</v>
      </c>
      <c r="T6" s="59">
        <f t="shared" si="34"/>
        <v>299.0473530693472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1.6392033921531424</v>
      </c>
      <c r="AK6" s="13">
        <f t="shared" si="35"/>
        <v>0.71318408957211055</v>
      </c>
      <c r="AL6" s="20">
        <f t="shared" si="4"/>
        <v>4.0970748640048145</v>
      </c>
      <c r="AM6" s="59">
        <f t="shared" si="5"/>
        <v>177.4520954338897</v>
      </c>
      <c r="AN6" s="59">
        <f ca="1">AVERAGE(OFFSET($AM$3,0,0,'Données projet'!$E$10+1,1))-AVERAGE(OFFSET($H$3,0,0,'Données projet'!$E$10+1,1))</f>
        <v>462.74754756814662</v>
      </c>
      <c r="AO6" s="59">
        <f t="shared" si="36"/>
        <v>327.65191293226667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4.0628205128205126</v>
      </c>
      <c r="BD6" s="12">
        <f>IF('Données projet'!$A$88&gt;35,BD5+BC6-BL5,IF(A6&lt;'Données projet'!$A$88,$BA$205^A6,IF(A6='Données projet'!$A$88,'Données projet'!$B$88,BD5+BC6-BL5)))</f>
        <v>1.6165713926559588</v>
      </c>
      <c r="BE6" s="13">
        <f>BD6*VLOOKUP('Données projet'!$B$11,Paramètres!$A$1:$I$89,3,0)*VLOOKUP('Données projet'!$B$11,Paramètres!$A$1:$I$89,5,0)</f>
        <v>1.0843960901936172</v>
      </c>
      <c r="BF6" s="13">
        <f t="shared" si="37"/>
        <v>0.49504437636824505</v>
      </c>
      <c r="BG6" s="20">
        <f t="shared" si="7"/>
        <v>2.7508588125952431</v>
      </c>
      <c r="BH6" s="59">
        <f t="shared" si="8"/>
        <v>176.10587938248014</v>
      </c>
      <c r="BI6" s="59">
        <f ca="1">AVERAGE(OFFSET($BH$3,0,0,'Données projet'!$E$11+1,1))-AVERAGE(OFFSET($H$3,0,0,'Données projet'!$E$11+1,1))</f>
        <v>332.21938212432008</v>
      </c>
      <c r="BJ6" s="59">
        <f t="shared" si="38"/>
        <v>237.47732529948181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1.5383293372514104</v>
      </c>
      <c r="CA6" s="13">
        <f t="shared" si="39"/>
        <v>0.67426225117722005</v>
      </c>
      <c r="CB6" s="20">
        <f t="shared" si="10"/>
        <v>3.8535970165131981</v>
      </c>
      <c r="CC6" s="59">
        <f t="shared" si="11"/>
        <v>177.20861758639808</v>
      </c>
      <c r="CD6" s="59">
        <f ca="1">AVERAGE(OFFSET($CC$3,0,0,'Données projet'!$E$12+1,1))-AVERAGE(OFFSET($H$3,0,0,'Données projet'!$E$12+1,1))</f>
        <v>439.09551305860475</v>
      </c>
      <c r="CE6" s="59">
        <f t="shared" si="40"/>
        <v>311.31528017256846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4.0628205128205126</v>
      </c>
      <c r="CT6" s="12">
        <f>IF('Données projet'!$A$140&gt;35,CT5+CS6-DB5,IF(A6&lt;'Données projet'!$A$140,$CQ$205^A6,IF(A6='Données projet'!$A$140,'Données projet'!$B$140,CT5+CS6-DB5)))</f>
        <v>1.6165713926559588</v>
      </c>
      <c r="CU6" s="17">
        <f>CT6*VLOOKUP('Données projet'!$B$13,Paramètres!$A$1:$I$89,3,0)*VLOOKUP('Données projet'!$B$13,Paramètres!$A$1:$I$89,5,0)</f>
        <v>1.5635478509768437</v>
      </c>
      <c r="CV6" s="13">
        <f t="shared" si="41"/>
        <v>0.68401984350791745</v>
      </c>
      <c r="CW6" s="20">
        <f t="shared" si="13"/>
        <v>3.9145137345609591</v>
      </c>
      <c r="CX6" s="59">
        <f t="shared" si="14"/>
        <v>177.26953430444584</v>
      </c>
      <c r="CY6" s="59">
        <f ca="1">AVERAGE(OFFSET($CX$3,0,0,'Données projet'!$E$13+1,1))-AVERAGE(OFFSET($H$3,0,0,'Données projet'!$E$13+1,1))</f>
        <v>445.01146841309549</v>
      </c>
      <c r="CZ6" s="59">
        <f t="shared" si="42"/>
        <v>315.40159257508969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10.16068376068376</v>
      </c>
      <c r="DO6" s="12">
        <f>IF('Données projet'!$A$166&gt;35,DO5+DN6-DW5,IF(A6&lt;'Données projet'!$A$166,$DL$205^A6,IF(A6='Données projet'!$A$166,'Données projet'!$B$166,DO5+DN6-DW5)))</f>
        <v>2.3824981566543406</v>
      </c>
      <c r="DP6" s="17">
        <f>DO6*VLOOKUP('Données projet'!$B$14,Paramètres!$A$1:$I$89,3,0)*VLOOKUP('Données projet'!$B$14,Paramètres!$A$1:$I$89,5,0)</f>
        <v>1.3318164695697763</v>
      </c>
      <c r="DQ6" s="13">
        <f t="shared" si="43"/>
        <v>0.59362354768914927</v>
      </c>
      <c r="DR6" s="20">
        <f t="shared" si="16"/>
        <v>3.3534746967259621</v>
      </c>
      <c r="DS6" s="59">
        <f t="shared" si="17"/>
        <v>176.70849526661084</v>
      </c>
      <c r="DT6" s="59">
        <f ca="1">AVERAGE(OFFSET($DS$3,0,0,'Données projet'!$E$14+1,1))-AVERAGE(OFFSET($H$3,0,0,'Données projet'!$E$14+1,1))</f>
        <v>349.00268383833668</v>
      </c>
      <c r="DU6" s="59">
        <f t="shared" si="44"/>
        <v>459.94854391583749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2.6666666666666665</v>
      </c>
      <c r="EJ6" s="12">
        <f>IF('Données projet'!$A$192&gt;35,EJ5+EI6-ER5,IF(A6&lt;'Données projet'!$A$192,$EG$205^A6,IF(A6='Données projet'!$A$192,'Données projet'!$B$192,EJ5+EI6-ER5)))</f>
        <v>2.0912791051825459</v>
      </c>
      <c r="EK6" s="17">
        <f>EJ6*VLOOKUP('Données projet'!$B$15,Paramètres!$A$1:$I$89,3,0)*VLOOKUP('Données projet'!$B$15,Paramètres!$A$1:$I$89,5,0)</f>
        <v>1.6311977020423858</v>
      </c>
      <c r="EL6" s="13">
        <f t="shared" si="45"/>
        <v>0.71010553443370616</v>
      </c>
      <c r="EM6" s="20">
        <f t="shared" si="19"/>
        <v>4.0777698035291934</v>
      </c>
      <c r="EN6" s="59">
        <f t="shared" si="20"/>
        <v>177.43279037341409</v>
      </c>
      <c r="EO6" s="59">
        <f ca="1">AVERAGE(OFFSET($EN$3,0,0,'Données projet'!$E$15+1,1))-AVERAGE(OFFSET($H$3,0,0,'Données projet'!$E$15+1,1))</f>
        <v>308.82719216177946</v>
      </c>
      <c r="EP6" s="59">
        <f t="shared" si="46"/>
        <v>302.59481222418219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180.36977292590507</v>
      </c>
      <c r="S7" s="59">
        <f ca="1">AVERAGE(OFFSET($R$3,0,0,'Données projet'!$E$9+1,1))-AVERAGE(OFFSET($H$3,0,0,'Données projet'!$E$9+1,1))</f>
        <v>421.33534980160005</v>
      </c>
      <c r="T7" s="59">
        <f t="shared" si="34"/>
        <v>299.0473530693472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1.9238201704854236</v>
      </c>
      <c r="AK7" s="13">
        <f t="shared" si="35"/>
        <v>0.82156096043894689</v>
      </c>
      <c r="AL7" s="20">
        <f t="shared" si="4"/>
        <v>4.7815388030266117</v>
      </c>
      <c r="AM7" s="59">
        <f t="shared" si="5"/>
        <v>180.86766086720357</v>
      </c>
      <c r="AN7" s="59">
        <f ca="1">AVERAGE(OFFSET($AM$3,0,0,'Données projet'!$E$10+1,1))-AVERAGE(OFFSET($H$3,0,0,'Données projet'!$E$10+1,1))</f>
        <v>462.74754756814662</v>
      </c>
      <c r="AO7" s="59">
        <f t="shared" si="36"/>
        <v>327.65191293226667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4.0628205128205126</v>
      </c>
      <c r="BD7" s="12">
        <f>IF('Données projet'!$A$88&gt;35,BD6+BC7-BL6,IF(A7&lt;'Données projet'!$A$88,$BA$205^A7,IF(A7='Données projet'!$A$88,'Données projet'!$B$88,BD6+BC7-BL6)))</f>
        <v>1.8972585507745794</v>
      </c>
      <c r="BE7" s="13">
        <f>BD7*VLOOKUP('Données projet'!$B$11,Paramètres!$A$1:$I$89,3,0)*VLOOKUP('Données projet'!$B$11,Paramètres!$A$1:$I$89,5,0)</f>
        <v>1.2726810358595879</v>
      </c>
      <c r="BF7" s="13">
        <f t="shared" si="37"/>
        <v>0.57027230312023414</v>
      </c>
      <c r="BG7" s="20">
        <f t="shared" si="7"/>
        <v>3.2098103987231901</v>
      </c>
      <c r="BH7" s="59">
        <f t="shared" si="8"/>
        <v>179.29593246290014</v>
      </c>
      <c r="BI7" s="59">
        <f ca="1">AVERAGE(OFFSET($BH$3,0,0,'Données projet'!$E$11+1,1))-AVERAGE(OFFSET($H$3,0,0,'Données projet'!$E$11+1,1))</f>
        <v>332.21938212432008</v>
      </c>
      <c r="BJ7" s="59">
        <f t="shared" si="38"/>
        <v>237.47732529948181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1.80543123691709</v>
      </c>
      <c r="CA7" s="13">
        <f t="shared" si="39"/>
        <v>0.77672448217014423</v>
      </c>
      <c r="CB7" s="20">
        <f t="shared" si="10"/>
        <v>4.4972545440769327</v>
      </c>
      <c r="CC7" s="59">
        <f t="shared" si="11"/>
        <v>180.58337660825387</v>
      </c>
      <c r="CD7" s="59">
        <f ca="1">AVERAGE(OFFSET($CC$3,0,0,'Données projet'!$E$12+1,1))-AVERAGE(OFFSET($H$3,0,0,'Données projet'!$E$12+1,1))</f>
        <v>439.09551305860475</v>
      </c>
      <c r="CE7" s="59">
        <f t="shared" si="40"/>
        <v>311.31528017256846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4.0628205128205126</v>
      </c>
      <c r="CT7" s="12">
        <f>IF('Données projet'!$A$140&gt;35,CT6+CS7-DB6,IF(A7&lt;'Données projet'!$A$140,$CQ$205^A7,IF(A7='Données projet'!$A$140,'Données projet'!$B$140,CT6+CS7-DB6)))</f>
        <v>1.8972585507745794</v>
      </c>
      <c r="CU7" s="17">
        <f>CT7*VLOOKUP('Données projet'!$B$13,Paramètres!$A$1:$I$89,3,0)*VLOOKUP('Données projet'!$B$13,Paramètres!$A$1:$I$89,5,0)</f>
        <v>1.835028470309173</v>
      </c>
      <c r="CV7" s="13">
        <f t="shared" si="41"/>
        <v>0.78796485761316459</v>
      </c>
      <c r="CW7" s="20">
        <f t="shared" si="13"/>
        <v>4.5683800461314039</v>
      </c>
      <c r="CX7" s="59">
        <f t="shared" si="14"/>
        <v>180.65450211030836</v>
      </c>
      <c r="CY7" s="59">
        <f ca="1">AVERAGE(OFFSET($CX$3,0,0,'Données projet'!$E$13+1,1))-AVERAGE(OFFSET($H$3,0,0,'Données projet'!$E$13+1,1))</f>
        <v>445.01146841309549</v>
      </c>
      <c r="CZ7" s="59">
        <f t="shared" si="42"/>
        <v>315.40159257508969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10.16068376068376</v>
      </c>
      <c r="DO7" s="12">
        <f>IF('Données projet'!$A$166&gt;35,DO6+DN7-DW6,IF(A7&lt;'Données projet'!$A$166,$DL$205^A7,IF(A7='Données projet'!$A$166,'Données projet'!$B$166,DO6+DN7-DW6)))</f>
        <v>3.1820727006504042</v>
      </c>
      <c r="DP7" s="17">
        <f>DO7*VLOOKUP('Données projet'!$B$14,Paramètres!$A$1:$I$89,3,0)*VLOOKUP('Données projet'!$B$14,Paramètres!$A$1:$I$89,5,0)</f>
        <v>1.7787786396635761</v>
      </c>
      <c r="DQ7" s="13">
        <f t="shared" si="43"/>
        <v>0.76658405325641277</v>
      </c>
      <c r="DR7" s="20">
        <f t="shared" si="16"/>
        <v>4.4331733568356464</v>
      </c>
      <c r="DS7" s="59">
        <f t="shared" si="17"/>
        <v>180.5192954210126</v>
      </c>
      <c r="DT7" s="59">
        <f ca="1">AVERAGE(OFFSET($DS$3,0,0,'Données projet'!$E$14+1,1))-AVERAGE(OFFSET($H$3,0,0,'Données projet'!$E$14+1,1))</f>
        <v>349.00268383833668</v>
      </c>
      <c r="DU7" s="59">
        <f t="shared" si="44"/>
        <v>459.94854391583749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2.6666666666666665</v>
      </c>
      <c r="EJ7" s="12">
        <f>IF('Données projet'!$A$192&gt;35,EJ6+EI7-ER6,IF(A7&lt;'Données projet'!$A$192,$EG$205^A7,IF(A7='Données projet'!$A$192,'Données projet'!$B$192,EJ6+EI7-ER6)))</f>
        <v>2.6743361672197152</v>
      </c>
      <c r="EK7" s="17">
        <f>EJ7*VLOOKUP('Données projet'!$B$15,Paramètres!$A$1:$I$89,3,0)*VLOOKUP('Données projet'!$B$15,Paramètres!$A$1:$I$89,5,0)</f>
        <v>2.0859822104313781</v>
      </c>
      <c r="EL7" s="13">
        <f t="shared" si="45"/>
        <v>0.88245976121767966</v>
      </c>
      <c r="EM7" s="20">
        <f t="shared" si="19"/>
        <v>5.1700364339554419</v>
      </c>
      <c r="EN7" s="59">
        <f t="shared" si="20"/>
        <v>181.25615849813238</v>
      </c>
      <c r="EO7" s="59">
        <f ca="1">AVERAGE(OFFSET($EN$3,0,0,'Données projet'!$E$15+1,1))-AVERAGE(OFFSET($H$3,0,0,'Données projet'!$E$15+1,1))</f>
        <v>308.82719216177946</v>
      </c>
      <c r="EP7" s="59">
        <f t="shared" si="46"/>
        <v>302.59481222418219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183.7904376128148</v>
      </c>
      <c r="S8" s="59">
        <f ca="1">AVERAGE(OFFSET($R$3,0,0,'Données projet'!$E$9+1,1))-AVERAGE(OFFSET($H$3,0,0,'Données projet'!$E$9+1,1))</f>
        <v>421.33534980160005</v>
      </c>
      <c r="T8" s="59">
        <f t="shared" si="34"/>
        <v>299.0473530693472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2.2578552887845609</v>
      </c>
      <c r="AK8" s="13">
        <f t="shared" si="35"/>
        <v>0.94640699587440658</v>
      </c>
      <c r="AL8" s="20">
        <f t="shared" si="4"/>
        <v>5.5807568124477021</v>
      </c>
      <c r="AM8" s="59">
        <f t="shared" si="5"/>
        <v>184.37180468889505</v>
      </c>
      <c r="AN8" s="59">
        <f ca="1">AVERAGE(OFFSET($AM$3,0,0,'Données projet'!$E$10+1,1))-AVERAGE(OFFSET($H$3,0,0,'Données projet'!$E$10+1,1))</f>
        <v>462.74754756814662</v>
      </c>
      <c r="AO8" s="59">
        <f t="shared" si="36"/>
        <v>327.65191293226667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4.0628205128205126</v>
      </c>
      <c r="BD8" s="12">
        <f>IF('Données projet'!$A$88&gt;35,BD7+BC8-BL7,IF(A8&lt;'Données projet'!$A$88,$BA$205^A8,IF(A8='Données projet'!$A$88,'Données projet'!$B$88,BD7+BC8-BL7)))</f>
        <v>2.2266817443634719</v>
      </c>
      <c r="BE8" s="13">
        <f>BD8*VLOOKUP('Données projet'!$B$11,Paramètres!$A$1:$I$89,3,0)*VLOOKUP('Données projet'!$B$11,Paramètres!$A$1:$I$89,5,0)</f>
        <v>1.4936581141190168</v>
      </c>
      <c r="BF8" s="13">
        <f t="shared" si="37"/>
        <v>0.65693201504857468</v>
      </c>
      <c r="BG8" s="20">
        <f t="shared" si="7"/>
        <v>3.7456111416335549</v>
      </c>
      <c r="BH8" s="59">
        <f t="shared" si="8"/>
        <v>182.53665901808091</v>
      </c>
      <c r="BI8" s="59">
        <f ca="1">AVERAGE(OFFSET($BH$3,0,0,'Données projet'!$E$11+1,1))-AVERAGE(OFFSET($H$3,0,0,'Données projet'!$E$11+1,1))</f>
        <v>332.21938212432008</v>
      </c>
      <c r="BJ8" s="59">
        <f t="shared" si="38"/>
        <v>237.47732529948181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2.1189103479362799</v>
      </c>
      <c r="CA8" s="13">
        <f t="shared" si="39"/>
        <v>0.89475707730805443</v>
      </c>
      <c r="CB8" s="20">
        <f t="shared" si="10"/>
        <v>5.2488040989672156</v>
      </c>
      <c r="CC8" s="59">
        <f t="shared" si="11"/>
        <v>184.03985197541456</v>
      </c>
      <c r="CD8" s="59">
        <f ca="1">AVERAGE(OFFSET($CC$3,0,0,'Données projet'!$E$12+1,1))-AVERAGE(OFFSET($H$3,0,0,'Données projet'!$E$12+1,1))</f>
        <v>439.09551305860475</v>
      </c>
      <c r="CE8" s="59">
        <f t="shared" si="40"/>
        <v>311.31528017256846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4.0628205128205126</v>
      </c>
      <c r="CT8" s="12">
        <f>IF('Données projet'!$A$140&gt;35,CT7+CS8-DB7,IF(A8&lt;'Données projet'!$A$140,$CQ$205^A8,IF(A8='Données projet'!$A$140,'Données projet'!$B$140,CT7+CS8-DB7)))</f>
        <v>2.2266817443634719</v>
      </c>
      <c r="CU8" s="17">
        <f>CT8*VLOOKUP('Données projet'!$B$13,Paramètres!$A$1:$I$89,3,0)*VLOOKUP('Données projet'!$B$13,Paramètres!$A$1:$I$89,5,0)</f>
        <v>2.1536465831483502</v>
      </c>
      <c r="CV8" s="13">
        <f t="shared" si="41"/>
        <v>0.90770556253043633</v>
      </c>
      <c r="CW8" s="20">
        <f t="shared" si="13"/>
        <v>5.3318549870572198</v>
      </c>
      <c r="CX8" s="59">
        <f t="shared" si="14"/>
        <v>184.12290286350458</v>
      </c>
      <c r="CY8" s="59">
        <f ca="1">AVERAGE(OFFSET($CX$3,0,0,'Données projet'!$E$13+1,1))-AVERAGE(OFFSET($H$3,0,0,'Données projet'!$E$13+1,1))</f>
        <v>445.01146841309549</v>
      </c>
      <c r="CZ8" s="59">
        <f t="shared" si="42"/>
        <v>315.40159257508969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10.16068376068376</v>
      </c>
      <c r="DO8" s="12">
        <f>IF('Données projet'!$A$166&gt;35,DO7+DN8-DW7,IF(A8&lt;'Données projet'!$A$166,$DL$205^A8,IF(A8='Données projet'!$A$166,'Données projet'!$B$166,DO7+DN8-DW7)))</f>
        <v>4.2499872010157462</v>
      </c>
      <c r="DP8" s="17">
        <f>DO8*VLOOKUP('Données projet'!$B$14,Paramètres!$A$1:$I$89,3,0)*VLOOKUP('Données projet'!$B$14,Paramètres!$A$1:$I$89,5,0)</f>
        <v>2.3757428453678022</v>
      </c>
      <c r="DQ8" s="13">
        <f t="shared" si="43"/>
        <v>0.98993901605593615</v>
      </c>
      <c r="DR8" s="20">
        <f t="shared" si="16"/>
        <v>5.8618959086463436</v>
      </c>
      <c r="DS8" s="59">
        <f t="shared" si="17"/>
        <v>184.6529437850937</v>
      </c>
      <c r="DT8" s="59">
        <f ca="1">AVERAGE(OFFSET($DS$3,0,0,'Données projet'!$E$14+1,1))-AVERAGE(OFFSET($H$3,0,0,'Données projet'!$E$14+1,1))</f>
        <v>349.00268383833668</v>
      </c>
      <c r="DU8" s="59">
        <f t="shared" si="44"/>
        <v>459.94854391583749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2.6666666666666665</v>
      </c>
      <c r="EJ8" s="12">
        <f>IF('Données projet'!$A$192&gt;35,EJ7+EI8-ER7,IF(A8&lt;'Données projet'!$A$192,$EG$205^A8,IF(A8='Données projet'!$A$192,'Données projet'!$B$192,EJ7+EI8-ER7)))</f>
        <v>3.4199518933533928</v>
      </c>
      <c r="EK8" s="17">
        <f>EJ8*VLOOKUP('Données projet'!$B$15,Paramètres!$A$1:$I$89,3,0)*VLOOKUP('Données projet'!$B$15,Paramètres!$A$1:$I$89,5,0)</f>
        <v>2.6675624768156463</v>
      </c>
      <c r="EL8" s="13">
        <f t="shared" si="45"/>
        <v>1.0966471776471767</v>
      </c>
      <c r="EM8" s="20">
        <f t="shared" si="19"/>
        <v>6.5559984815227494</v>
      </c>
      <c r="EN8" s="59">
        <f t="shared" si="20"/>
        <v>185.3470463579701</v>
      </c>
      <c r="EO8" s="59">
        <f ca="1">AVERAGE(OFFSET($EN$3,0,0,'Données projet'!$E$15+1,1))-AVERAGE(OFFSET($H$3,0,0,'Données projet'!$E$15+1,1))</f>
        <v>308.82719216177946</v>
      </c>
      <c r="EP8" s="59">
        <f t="shared" si="46"/>
        <v>302.59481222418219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187.30539481195709</v>
      </c>
      <c r="S9" s="59">
        <f ca="1">AVERAGE(OFFSET($R$3,0,0,'Données projet'!$E$9+1,1))-AVERAGE(OFFSET($H$3,0,0,'Données projet'!$E$9+1,1))</f>
        <v>421.33534980160005</v>
      </c>
      <c r="T9" s="59">
        <f t="shared" si="34"/>
        <v>299.0473530693472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2.6498893104993768</v>
      </c>
      <c r="AK9" s="13">
        <f t="shared" si="35"/>
        <v>1.0902248828394525</v>
      </c>
      <c r="AL9" s="20">
        <f t="shared" si="4"/>
        <v>6.5140322200651282</v>
      </c>
      <c r="AM9" s="59">
        <f t="shared" si="5"/>
        <v>187.98428431632411</v>
      </c>
      <c r="AN9" s="59">
        <f ca="1">AVERAGE(OFFSET($AM$3,0,0,'Données projet'!$E$10+1,1))-AVERAGE(OFFSET($H$3,0,0,'Données projet'!$E$10+1,1))</f>
        <v>462.74754756814662</v>
      </c>
      <c r="AO9" s="59">
        <f t="shared" si="36"/>
        <v>327.65191293226667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4.0628205128205126</v>
      </c>
      <c r="BD9" s="12">
        <f>IF('Données projet'!$A$88&gt;35,BD8+BC9-BL8,IF(A9&lt;'Données projet'!$A$88,$BA$205^A9,IF(A9='Données projet'!$A$88,'Données projet'!$B$88,BD8+BC9-BL8)))</f>
        <v>2.6133030675536255</v>
      </c>
      <c r="BE9" s="13">
        <f>BD9*VLOOKUP('Données projet'!$B$11,Paramètres!$A$1:$I$89,3,0)*VLOOKUP('Données projet'!$B$11,Paramètres!$A$1:$I$89,5,0)</f>
        <v>1.7530036977149719</v>
      </c>
      <c r="BF9" s="13">
        <f t="shared" si="37"/>
        <v>0.75676070893590697</v>
      </c>
      <c r="BG9" s="20">
        <f t="shared" si="7"/>
        <v>4.3711730082502802</v>
      </c>
      <c r="BH9" s="59">
        <f t="shared" si="8"/>
        <v>185.84142510450926</v>
      </c>
      <c r="BI9" s="59">
        <f ca="1">AVERAGE(OFFSET($BH$3,0,0,'Données projet'!$E$11+1,1))-AVERAGE(OFFSET($H$3,0,0,'Données projet'!$E$11+1,1))</f>
        <v>332.21938212432008</v>
      </c>
      <c r="BJ9" s="59">
        <f t="shared" si="38"/>
        <v>237.47732529948181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2.4868191990840303</v>
      </c>
      <c r="CA9" s="13">
        <f t="shared" si="39"/>
        <v>1.030726140054228</v>
      </c>
      <c r="CB9" s="20">
        <f t="shared" si="10"/>
        <v>6.1263914656658001</v>
      </c>
      <c r="CC9" s="59">
        <f t="shared" si="11"/>
        <v>187.59664356192476</v>
      </c>
      <c r="CD9" s="59">
        <f ca="1">AVERAGE(OFFSET($CC$3,0,0,'Données projet'!$E$12+1,1))-AVERAGE(OFFSET($H$3,0,0,'Données projet'!$E$12+1,1))</f>
        <v>439.09551305860475</v>
      </c>
      <c r="CE9" s="59">
        <f t="shared" si="40"/>
        <v>311.31528017256846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4.0628205128205126</v>
      </c>
      <c r="CT9" s="12">
        <f>IF('Données projet'!$A$140&gt;35,CT8+CS9-DB8,IF(A9&lt;'Données projet'!$A$140,$CQ$205^A9,IF(A9='Données projet'!$A$140,'Données projet'!$B$140,CT8+CS9-DB8)))</f>
        <v>2.6133030675536255</v>
      </c>
      <c r="CU9" s="17">
        <f>CT9*VLOOKUP('Données projet'!$B$13,Paramètres!$A$1:$I$89,3,0)*VLOOKUP('Données projet'!$B$13,Paramètres!$A$1:$I$89,5,0)</f>
        <v>2.5275867269378667</v>
      </c>
      <c r="CV9" s="13">
        <f t="shared" si="41"/>
        <v>1.0456423028109039</v>
      </c>
      <c r="CW9" s="20">
        <f t="shared" si="13"/>
        <v>6.223373893479109</v>
      </c>
      <c r="CX9" s="59">
        <f t="shared" si="14"/>
        <v>187.69362598973808</v>
      </c>
      <c r="CY9" s="59">
        <f ca="1">AVERAGE(OFFSET($CX$3,0,0,'Données projet'!$E$13+1,1))-AVERAGE(OFFSET($H$3,0,0,'Données projet'!$E$13+1,1))</f>
        <v>445.01146841309549</v>
      </c>
      <c r="CZ9" s="59">
        <f t="shared" si="42"/>
        <v>315.40159257508969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10.16068376068376</v>
      </c>
      <c r="DO9" s="12">
        <f>IF('Données projet'!$A$166&gt;35,DO8+DN9-DW8,IF(A9&lt;'Données projet'!$A$166,$DL$205^A9,IF(A9='Données projet'!$A$166,'Données projet'!$B$166,DO8+DN9-DW8)))</f>
        <v>5.6762974664613317</v>
      </c>
      <c r="DP9" s="17">
        <f>DO9*VLOOKUP('Données projet'!$B$14,Paramètres!$A$1:$I$89,3,0)*VLOOKUP('Données projet'!$B$14,Paramètres!$A$1:$I$89,5,0)</f>
        <v>3.1730502837518846</v>
      </c>
      <c r="DQ9" s="13">
        <f t="shared" si="43"/>
        <v>1.27837156453606</v>
      </c>
      <c r="DR9" s="20">
        <f t="shared" si="16"/>
        <v>7.7528930524348363</v>
      </c>
      <c r="DS9" s="59">
        <f t="shared" si="17"/>
        <v>189.22314514869382</v>
      </c>
      <c r="DT9" s="59">
        <f ca="1">AVERAGE(OFFSET($DS$3,0,0,'Données projet'!$E$14+1,1))-AVERAGE(OFFSET($H$3,0,0,'Données projet'!$E$14+1,1))</f>
        <v>349.00268383833668</v>
      </c>
      <c r="DU9" s="59">
        <f t="shared" si="44"/>
        <v>459.94854391583749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2.6666666666666665</v>
      </c>
      <c r="EJ9" s="12">
        <f>IF('Données projet'!$A$192&gt;35,EJ8+EI9-ER8,IF(A9&lt;'Données projet'!$A$192,$EG$205^A9,IF(A9='Données projet'!$A$192,'Données projet'!$B$192,EJ8+EI9-ER8)))</f>
        <v>4.3734482957731098</v>
      </c>
      <c r="EK9" s="17">
        <f>EJ9*VLOOKUP('Données projet'!$B$15,Paramètres!$A$1:$I$89,3,0)*VLOOKUP('Données projet'!$B$15,Paramètres!$A$1:$I$89,5,0)</f>
        <v>3.4112896707030256</v>
      </c>
      <c r="EL9" s="13">
        <f t="shared" si="45"/>
        <v>1.3628213830192535</v>
      </c>
      <c r="EM9" s="20">
        <f t="shared" si="19"/>
        <v>8.3149100852329703</v>
      </c>
      <c r="EN9" s="59">
        <f t="shared" si="20"/>
        <v>189.78516218149196</v>
      </c>
      <c r="EO9" s="59">
        <f ca="1">AVERAGE(OFFSET($EN$3,0,0,'Données projet'!$E$15+1,1))-AVERAGE(OFFSET($H$3,0,0,'Données projet'!$E$15+1,1))</f>
        <v>308.82719216177946</v>
      </c>
      <c r="EP9" s="59">
        <f t="shared" si="46"/>
        <v>302.59481222418219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190.93528149468236</v>
      </c>
      <c r="S10" s="59">
        <f ca="1">AVERAGE(OFFSET($R$3,0,0,'Données projet'!$E$9+1,1))-AVERAGE(OFFSET($H$3,0,0,'Données projet'!$E$9+1,1))</f>
        <v>421.33534980160005</v>
      </c>
      <c r="T10" s="59">
        <f t="shared" si="34"/>
        <v>299.0473530693472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3.1099926522212455</v>
      </c>
      <c r="AK10" s="13">
        <f t="shared" si="35"/>
        <v>1.2558976215767859</v>
      </c>
      <c r="AL10" s="20">
        <f t="shared" si="4"/>
        <v>7.6039255601982383</v>
      </c>
      <c r="AM10" s="59">
        <f t="shared" si="5"/>
        <v>191.72810649593447</v>
      </c>
      <c r="AN10" s="59">
        <f ca="1">AVERAGE(OFFSET($AM$3,0,0,'Données projet'!$E$10+1,1))-AVERAGE(OFFSET($H$3,0,0,'Données projet'!$E$10+1,1))</f>
        <v>462.74754756814662</v>
      </c>
      <c r="AO10" s="59">
        <f t="shared" si="36"/>
        <v>327.65191293226667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4.0628205128205126</v>
      </c>
      <c r="BD10" s="12">
        <f>IF('Données projet'!$A$88&gt;35,BD9+BC10-BL9,IF(A10&lt;'Données projet'!$A$88,$BA$205^A10,IF(A10='Données projet'!$A$88,'Données projet'!$B$88,BD9+BC10-BL9)))</f>
        <v>3.067053897654088</v>
      </c>
      <c r="BE10" s="13">
        <f>BD10*VLOOKUP('Données projet'!$B$11,Paramètres!$A$1:$I$89,3,0)*VLOOKUP('Données projet'!$B$11,Paramètres!$A$1:$I$89,5,0)</f>
        <v>2.0573797545463619</v>
      </c>
      <c r="BF10" s="13">
        <f t="shared" si="37"/>
        <v>0.87175956943859878</v>
      </c>
      <c r="BG10" s="20">
        <f t="shared" si="7"/>
        <v>5.1015843226071391</v>
      </c>
      <c r="BH10" s="59">
        <f t="shared" si="8"/>
        <v>189.22576525834339</v>
      </c>
      <c r="BI10" s="59">
        <f ca="1">AVERAGE(OFFSET($BH$3,0,0,'Données projet'!$E$11+1,1))-AVERAGE(OFFSET($H$3,0,0,'Données projet'!$E$11+1,1))</f>
        <v>332.21938212432008</v>
      </c>
      <c r="BJ10" s="59">
        <f t="shared" si="38"/>
        <v>237.47732529948181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2.9186084890076298</v>
      </c>
      <c r="CA10" s="13">
        <f t="shared" si="39"/>
        <v>1.187357331654072</v>
      </c>
      <c r="CB10" s="20">
        <f t="shared" si="10"/>
        <v>7.1512238043191303</v>
      </c>
      <c r="CC10" s="59">
        <f t="shared" si="11"/>
        <v>191.27540474005536</v>
      </c>
      <c r="CD10" s="59">
        <f ca="1">AVERAGE(OFFSET($CC$3,0,0,'Données projet'!$E$12+1,1))-AVERAGE(OFFSET($H$3,0,0,'Données projet'!$E$12+1,1))</f>
        <v>439.09551305860475</v>
      </c>
      <c r="CE10" s="59">
        <f t="shared" si="40"/>
        <v>311.31528017256846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4.0628205128205126</v>
      </c>
      <c r="CT10" s="12">
        <f>IF('Données projet'!$A$140&gt;35,CT9+CS10-DB9,IF(A10&lt;'Données projet'!$A$140,$CQ$205^A10,IF(A10='Données projet'!$A$140,'Données projet'!$B$140,CT9+CS10-DB9)))</f>
        <v>3.067053897654088</v>
      </c>
      <c r="CU10" s="17">
        <f>CT10*VLOOKUP('Données projet'!$B$13,Paramètres!$A$1:$I$89,3,0)*VLOOKUP('Données projet'!$B$13,Paramètres!$A$1:$I$89,5,0)</f>
        <v>2.9664545298110339</v>
      </c>
      <c r="CV10" s="13">
        <f t="shared" si="41"/>
        <v>1.2045401841316012</v>
      </c>
      <c r="CW10" s="20">
        <f t="shared" si="13"/>
        <v>7.2644824601167564</v>
      </c>
      <c r="CX10" s="59">
        <f t="shared" si="14"/>
        <v>191.388663395853</v>
      </c>
      <c r="CY10" s="59">
        <f ca="1">AVERAGE(OFFSET($CX$3,0,0,'Données projet'!$E$13+1,1))-AVERAGE(OFFSET($H$3,0,0,'Données projet'!$E$13+1,1))</f>
        <v>445.01146841309549</v>
      </c>
      <c r="CZ10" s="59">
        <f t="shared" si="42"/>
        <v>315.40159257508969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10.16068376068376</v>
      </c>
      <c r="DO10" s="12">
        <f>IF('Données projet'!$A$166&gt;35,DO9+DN10-DW9,IF(A10&lt;'Données projet'!$A$166,$DL$205^A10,IF(A10='Données projet'!$A$166,'Données projet'!$B$166,DO9+DN10-DW9)))</f>
        <v>7.5812823436396872</v>
      </c>
      <c r="DP10" s="17">
        <f>DO10*VLOOKUP('Données projet'!$B$14,Paramètres!$A$1:$I$89,3,0)*VLOOKUP('Données projet'!$B$14,Paramètres!$A$1:$I$89,5,0)</f>
        <v>4.2379368300945854</v>
      </c>
      <c r="DQ10" s="13">
        <f t="shared" si="43"/>
        <v>1.6508429615446465</v>
      </c>
      <c r="DR10" s="20">
        <f t="shared" si="16"/>
        <v>10.256291470438329</v>
      </c>
      <c r="DS10" s="59">
        <f t="shared" si="17"/>
        <v>194.38047240617456</v>
      </c>
      <c r="DT10" s="59">
        <f ca="1">AVERAGE(OFFSET($DS$3,0,0,'Données projet'!$E$14+1,1))-AVERAGE(OFFSET($H$3,0,0,'Données projet'!$E$14+1,1))</f>
        <v>349.00268383833668</v>
      </c>
      <c r="DU10" s="59">
        <f t="shared" si="44"/>
        <v>459.94854391583749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2.6666666666666665</v>
      </c>
      <c r="EJ10" s="12">
        <f>IF('Données projet'!$A$192&gt;35,EJ9+EI10-ER9,IF(A10&lt;'Données projet'!$A$192,$EG$205^A10,IF(A10='Données projet'!$A$192,'Données projet'!$B$192,EJ9+EI10-ER9)))</f>
        <v>5.5927833467405659</v>
      </c>
      <c r="EK10" s="17">
        <f>EJ10*VLOOKUP('Données projet'!$B$15,Paramètres!$A$1:$I$89,3,0)*VLOOKUP('Données projet'!$B$15,Paramètres!$A$1:$I$89,5,0)</f>
        <v>4.3623710104576414</v>
      </c>
      <c r="EL10" s="13">
        <f t="shared" si="45"/>
        <v>1.6936004212396314</v>
      </c>
      <c r="EM10" s="20">
        <f t="shared" si="19"/>
        <v>10.54748357687275</v>
      </c>
      <c r="EN10" s="59">
        <f t="shared" si="20"/>
        <v>194.67166451260897</v>
      </c>
      <c r="EO10" s="59">
        <f ca="1">AVERAGE(OFFSET($EN$3,0,0,'Données projet'!$E$15+1,1))-AVERAGE(OFFSET($H$3,0,0,'Données projet'!$E$15+1,1))</f>
        <v>308.82719216177946</v>
      </c>
      <c r="EP10" s="59">
        <f t="shared" si="46"/>
        <v>302.59481222418219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194.70413425189906</v>
      </c>
      <c r="S11" s="59">
        <f ca="1">AVERAGE(OFFSET($R$3,0,0,'Données projet'!$E$9+1,1))-AVERAGE(OFFSET($H$3,0,0,'Données projet'!$E$9+1,1))</f>
        <v>421.33534980160005</v>
      </c>
      <c r="T11" s="59">
        <f t="shared" si="34"/>
        <v>299.0473530693472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3.6499842686060791</v>
      </c>
      <c r="AK11" s="13">
        <f t="shared" si="35"/>
        <v>1.4467463187725633</v>
      </c>
      <c r="AL11" s="20">
        <f t="shared" si="4"/>
        <v>8.8768057730178018</v>
      </c>
      <c r="AM11" s="59">
        <f t="shared" si="5"/>
        <v>195.63007863923835</v>
      </c>
      <c r="AN11" s="59">
        <f ca="1">AVERAGE(OFFSET($AM$3,0,0,'Données projet'!$E$10+1,1))-AVERAGE(OFFSET($H$3,0,0,'Données projet'!$E$10+1,1))</f>
        <v>462.74754756814662</v>
      </c>
      <c r="AO11" s="59">
        <f t="shared" si="36"/>
        <v>327.65191293226667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4.0628205128205126</v>
      </c>
      <c r="BD11" s="12">
        <f>IF('Données projet'!$A$88&gt;35,BD10+BC11-BL10,IF(A11&lt;'Données projet'!$A$88,$BA$205^A11,IF(A11='Données projet'!$A$88,'Données projet'!$B$88,BD10+BC11-BL10)))</f>
        <v>3.5995900084872572</v>
      </c>
      <c r="BE11" s="13">
        <f>BD11*VLOOKUP('Données projet'!$B$11,Paramètres!$A$1:$I$89,3,0)*VLOOKUP('Données projet'!$B$11,Paramètres!$A$1:$I$89,5,0)</f>
        <v>2.4146049776932523</v>
      </c>
      <c r="BF11" s="13">
        <f t="shared" si="37"/>
        <v>1.0042338852084027</v>
      </c>
      <c r="BG11" s="20">
        <f t="shared" si="7"/>
        <v>5.9544776862203825</v>
      </c>
      <c r="BH11" s="59">
        <f t="shared" si="8"/>
        <v>192.70775055244093</v>
      </c>
      <c r="BI11" s="59">
        <f ca="1">AVERAGE(OFFSET($BH$3,0,0,'Données projet'!$E$11+1,1))-AVERAGE(OFFSET($H$3,0,0,'Données projet'!$E$11+1,1))</f>
        <v>332.21938212432008</v>
      </c>
      <c r="BJ11" s="59">
        <f t="shared" si="38"/>
        <v>237.47732529948181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3.4253698520764737</v>
      </c>
      <c r="CA11" s="13">
        <f t="shared" si="39"/>
        <v>1.3677905102498957</v>
      </c>
      <c r="CB11" s="20">
        <f t="shared" si="10"/>
        <v>8.3480876310517598</v>
      </c>
      <c r="CC11" s="59">
        <f t="shared" si="11"/>
        <v>195.10136049727231</v>
      </c>
      <c r="CD11" s="59">
        <f ca="1">AVERAGE(OFFSET($CC$3,0,0,'Données projet'!$E$12+1,1))-AVERAGE(OFFSET($H$3,0,0,'Données projet'!$E$12+1,1))</f>
        <v>439.09551305860475</v>
      </c>
      <c r="CE11" s="59">
        <f t="shared" si="40"/>
        <v>311.31528017256846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4.0628205128205126</v>
      </c>
      <c r="CT11" s="12">
        <f>IF('Données projet'!$A$140&gt;35,CT10+CS11-DB10,IF(A11&lt;'Données projet'!$A$140,$CQ$205^A11,IF(A11='Données projet'!$A$140,'Données projet'!$B$140,CT10+CS11-DB10)))</f>
        <v>3.5995900084872572</v>
      </c>
      <c r="CU11" s="17">
        <f>CT11*VLOOKUP('Données projet'!$B$13,Paramètres!$A$1:$I$89,3,0)*VLOOKUP('Données projet'!$B$13,Paramètres!$A$1:$I$89,5,0)</f>
        <v>3.4815234562088753</v>
      </c>
      <c r="CV11" s="13">
        <f t="shared" si="41"/>
        <v>1.3875845031206417</v>
      </c>
      <c r="CW11" s="20">
        <f t="shared" si="13"/>
        <v>8.4803630291655754</v>
      </c>
      <c r="CX11" s="59">
        <f t="shared" si="14"/>
        <v>195.23363589538613</v>
      </c>
      <c r="CY11" s="59">
        <f ca="1">AVERAGE(OFFSET($CX$3,0,0,'Données projet'!$E$13+1,1))-AVERAGE(OFFSET($H$3,0,0,'Données projet'!$E$13+1,1))</f>
        <v>445.01146841309549</v>
      </c>
      <c r="CZ11" s="59">
        <f t="shared" si="42"/>
        <v>315.40159257508969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10.16068376068376</v>
      </c>
      <c r="DO11" s="12">
        <f>IF('Données projet'!$A$166&gt;35,DO10+DN11-DW10,IF(A11&lt;'Données projet'!$A$166,$DL$205^A11,IF(A11='Données projet'!$A$166,'Données projet'!$B$166,DO10+DN11-DW10)))</f>
        <v>10.125586672224557</v>
      </c>
      <c r="DP11" s="17">
        <f>DO11*VLOOKUP('Données projet'!$B$14,Paramètres!$A$1:$I$89,3,0)*VLOOKUP('Données projet'!$B$14,Paramètres!$A$1:$I$89,5,0)</f>
        <v>5.6602029497735273</v>
      </c>
      <c r="DQ11" s="13">
        <f t="shared" si="43"/>
        <v>2.1318390984944533</v>
      </c>
      <c r="DR11" s="20">
        <f t="shared" si="16"/>
        <v>13.571139900733398</v>
      </c>
      <c r="DS11" s="59">
        <f t="shared" si="17"/>
        <v>200.32441276695394</v>
      </c>
      <c r="DT11" s="59">
        <f ca="1">AVERAGE(OFFSET($DS$3,0,0,'Données projet'!$E$14+1,1))-AVERAGE(OFFSET($H$3,0,0,'Données projet'!$E$14+1,1))</f>
        <v>349.00268383833668</v>
      </c>
      <c r="DU11" s="59">
        <f t="shared" si="44"/>
        <v>459.94854391583749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2.6666666666666665</v>
      </c>
      <c r="EJ11" s="12">
        <f>IF('Données projet'!$A$192&gt;35,EJ10+EI11-ER10,IF(A11&lt;'Données projet'!$A$192,$EG$205^A11,IF(A11='Données projet'!$A$192,'Données projet'!$B$192,EJ10+EI11-ER10)))</f>
        <v>7.1520739352994367</v>
      </c>
      <c r="EK11" s="17">
        <f>EJ11*VLOOKUP('Données projet'!$B$15,Paramètres!$A$1:$I$89,3,0)*VLOOKUP('Données projet'!$B$15,Paramètres!$A$1:$I$89,5,0)</f>
        <v>5.5786176695335605</v>
      </c>
      <c r="EL11" s="13">
        <f t="shared" si="45"/>
        <v>2.1046649418345189</v>
      </c>
      <c r="EM11" s="20">
        <f t="shared" si="19"/>
        <v>13.381717214799407</v>
      </c>
      <c r="EN11" s="59">
        <f t="shared" si="20"/>
        <v>200.13499008101996</v>
      </c>
      <c r="EO11" s="59">
        <f ca="1">AVERAGE(OFFSET($EN$3,0,0,'Données projet'!$E$15+1,1))-AVERAGE(OFFSET($H$3,0,0,'Données projet'!$E$15+1,1))</f>
        <v>308.82719216177946</v>
      </c>
      <c r="EP11" s="59">
        <f t="shared" si="46"/>
        <v>302.59481222418219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198.6399661015663</v>
      </c>
      <c r="S12" s="59">
        <f ca="1">AVERAGE(OFFSET($R$3,0,0,'Données projet'!$E$9+1,1))-AVERAGE(OFFSET($H$3,0,0,'Données projet'!$E$9+1,1))</f>
        <v>421.33534980160005</v>
      </c>
      <c r="T12" s="59">
        <f t="shared" si="34"/>
        <v>299.0473530693472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4.283735253058115</v>
      </c>
      <c r="AK12" s="13">
        <f t="shared" si="35"/>
        <v>1.6665967630817691</v>
      </c>
      <c r="AL12" s="20">
        <f t="shared" si="4"/>
        <v>10.363494928110297</v>
      </c>
      <c r="AM12" s="59">
        <f t="shared" si="5"/>
        <v>199.72145368066637</v>
      </c>
      <c r="AN12" s="59">
        <f ca="1">AVERAGE(OFFSET($AM$3,0,0,'Données projet'!$E$10+1,1))-AVERAGE(OFFSET($H$3,0,0,'Données projet'!$E$10+1,1))</f>
        <v>462.74754756814662</v>
      </c>
      <c r="AO12" s="59">
        <f t="shared" si="36"/>
        <v>327.65191293226667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4.0628205128205126</v>
      </c>
      <c r="BD12" s="12">
        <f>IF('Données projet'!$A$88&gt;35,BD11+BC12-BL11,IF(A12&lt;'Données projet'!$A$88,$BA$205^A12,IF(A12='Données projet'!$A$88,'Données projet'!$B$88,BD11+BC12-BL11)))</f>
        <v>4.2245909793472531</v>
      </c>
      <c r="BE12" s="13">
        <f>BD12*VLOOKUP('Données projet'!$B$11,Paramètres!$A$1:$I$89,3,0)*VLOOKUP('Données projet'!$B$11,Paramètres!$A$1:$I$89,5,0)</f>
        <v>2.8338556289461376</v>
      </c>
      <c r="BF12" s="13">
        <f t="shared" si="37"/>
        <v>1.1568392611396445</v>
      </c>
      <c r="BG12" s="20">
        <f t="shared" si="7"/>
        <v>6.9504602668994044</v>
      </c>
      <c r="BH12" s="59">
        <f t="shared" si="8"/>
        <v>196.30841901945547</v>
      </c>
      <c r="BI12" s="59">
        <f ca="1">AVERAGE(OFFSET($BH$3,0,0,'Données projet'!$E$11+1,1))-AVERAGE(OFFSET($H$3,0,0,'Données projet'!$E$11+1,1))</f>
        <v>332.21938212432008</v>
      </c>
      <c r="BJ12" s="59">
        <f t="shared" si="38"/>
        <v>237.47732529948181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4.0201207759468467</v>
      </c>
      <c r="CA12" s="13">
        <f t="shared" si="39"/>
        <v>1.5756426730640929</v>
      </c>
      <c r="CB12" s="20">
        <f t="shared" si="10"/>
        <v>9.7459546736940528</v>
      </c>
      <c r="CC12" s="59">
        <f t="shared" si="11"/>
        <v>199.10391342625013</v>
      </c>
      <c r="CD12" s="59">
        <f ca="1">AVERAGE(OFFSET($CC$3,0,0,'Données projet'!$E$12+1,1))-AVERAGE(OFFSET($H$3,0,0,'Données projet'!$E$12+1,1))</f>
        <v>439.09551305860475</v>
      </c>
      <c r="CE12" s="59">
        <f t="shared" si="40"/>
        <v>311.31528017256846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4.0628205128205126</v>
      </c>
      <c r="CT12" s="12">
        <f>IF('Données projet'!$A$140&gt;35,CT11+CS12-DB11,IF(A12&lt;'Données projet'!$A$140,$CQ$205^A12,IF(A12='Données projet'!$A$140,'Données projet'!$B$140,CT11+CS12-DB11)))</f>
        <v>4.2245909793472531</v>
      </c>
      <c r="CU12" s="17">
        <f>CT12*VLOOKUP('Données projet'!$B$13,Paramètres!$A$1:$I$89,3,0)*VLOOKUP('Données projet'!$B$13,Paramètres!$A$1:$I$89,5,0)</f>
        <v>4.0860243952246638</v>
      </c>
      <c r="CV12" s="13">
        <f t="shared" si="41"/>
        <v>1.598444600408782</v>
      </c>
      <c r="CW12" s="20">
        <f t="shared" si="13"/>
        <v>9.9004501673949186</v>
      </c>
      <c r="CX12" s="59">
        <f t="shared" si="14"/>
        <v>199.25840891995099</v>
      </c>
      <c r="CY12" s="59">
        <f ca="1">AVERAGE(OFFSET($CX$3,0,0,'Données projet'!$E$13+1,1))-AVERAGE(OFFSET($H$3,0,0,'Données projet'!$E$13+1,1))</f>
        <v>445.01146841309549</v>
      </c>
      <c r="CZ12" s="59">
        <f t="shared" si="42"/>
        <v>315.40159257508969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10.16068376068376</v>
      </c>
      <c r="DO12" s="12">
        <f>IF('Données projet'!$A$166&gt;35,DO11+DN12-DW11,IF(A12&lt;'Données projet'!$A$166,$DL$205^A12,IF(A12='Données projet'!$A$166,'Données projet'!$B$166,DO11+DN12-DW11)))</f>
        <v>13.523768250465828</v>
      </c>
      <c r="DP12" s="17">
        <f>DO12*VLOOKUP('Données projet'!$B$14,Paramètres!$A$1:$I$89,3,0)*VLOOKUP('Données projet'!$B$14,Paramètres!$A$1:$I$89,5,0)</f>
        <v>7.5597864520103979</v>
      </c>
      <c r="DQ12" s="13">
        <f t="shared" si="43"/>
        <v>2.7529801730003816</v>
      </c>
      <c r="DR12" s="20">
        <f t="shared" si="16"/>
        <v>17.961401871893774</v>
      </c>
      <c r="DS12" s="59">
        <f t="shared" si="17"/>
        <v>207.31936062444984</v>
      </c>
      <c r="DT12" s="59">
        <f ca="1">AVERAGE(OFFSET($DS$3,0,0,'Données projet'!$E$14+1,1))-AVERAGE(OFFSET($H$3,0,0,'Données projet'!$E$14+1,1))</f>
        <v>349.00268383833668</v>
      </c>
      <c r="DU12" s="59">
        <f t="shared" si="44"/>
        <v>459.94854391583749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2.6666666666666665</v>
      </c>
      <c r="EJ12" s="12">
        <f>IF('Données projet'!$A$192&gt;35,EJ11+EI12-ER11,IF(A12&lt;'Données projet'!$A$192,$EG$205^A12,IF(A12='Données projet'!$A$192,'Données projet'!$B$192,EJ11+EI12-ER11)))</f>
        <v>9.1461010385465205</v>
      </c>
      <c r="EK12" s="17">
        <f>EJ12*VLOOKUP('Données projet'!$B$15,Paramètres!$A$1:$I$89,3,0)*VLOOKUP('Données projet'!$B$15,Paramètres!$A$1:$I$89,5,0)</f>
        <v>7.1339588100662858</v>
      </c>
      <c r="EL12" s="13">
        <f t="shared" si="45"/>
        <v>2.6155015444227643</v>
      </c>
      <c r="EM12" s="20">
        <f t="shared" si="19"/>
        <v>16.980310117401761</v>
      </c>
      <c r="EN12" s="59">
        <f t="shared" si="20"/>
        <v>206.33826886995783</v>
      </c>
      <c r="EO12" s="59">
        <f ca="1">AVERAGE(OFFSET($EN$3,0,0,'Données projet'!$E$15+1,1))-AVERAGE(OFFSET($H$3,0,0,'Données projet'!$E$15+1,1))</f>
        <v>308.82719216177946</v>
      </c>
      <c r="EP12" s="59">
        <f t="shared" si="46"/>
        <v>302.59481222418219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202.77544115035215</v>
      </c>
      <c r="S13" s="59">
        <f ca="1">AVERAGE(OFFSET($R$3,0,0,'Données projet'!$E$9+1,1))-AVERAGE(OFFSET($H$3,0,0,'Données projet'!$E$9+1,1))</f>
        <v>421.33534980160005</v>
      </c>
      <c r="T13" s="59">
        <f t="shared" si="34"/>
        <v>299.0473530693472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5.0275251529510969</v>
      </c>
      <c r="AK13" s="13">
        <f t="shared" si="35"/>
        <v>1.9198561176026576</v>
      </c>
      <c r="AL13" s="20">
        <f t="shared" si="4"/>
        <v>12.10002237954779</v>
      </c>
      <c r="AM13" s="59">
        <f t="shared" si="5"/>
        <v>204.03868436459268</v>
      </c>
      <c r="AN13" s="59">
        <f ca="1">AVERAGE(OFFSET($AM$3,0,0,'Données projet'!$E$10+1,1))-AVERAGE(OFFSET($H$3,0,0,'Données projet'!$E$10+1,1))</f>
        <v>462.74754756814662</v>
      </c>
      <c r="AO13" s="59">
        <f t="shared" si="36"/>
        <v>327.65191293226667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4.0628205128205126</v>
      </c>
      <c r="BD13" s="12">
        <f>IF('Données projet'!$A$88&gt;35,BD12+BC13-BL12,IF(A13&lt;'Données projet'!$A$88,$BA$205^A13,IF(A13='Données projet'!$A$88,'Données projet'!$B$88,BD12+BC13-BL12)))</f>
        <v>4.9581115906815549</v>
      </c>
      <c r="BE13" s="13">
        <f>BD13*VLOOKUP('Données projet'!$B$11,Paramètres!$A$1:$I$89,3,0)*VLOOKUP('Données projet'!$B$11,Paramètres!$A$1:$I$89,5,0)</f>
        <v>3.3259012550291867</v>
      </c>
      <c r="BF13" s="13">
        <f t="shared" si="37"/>
        <v>1.3326348531212862</v>
      </c>
      <c r="BG13" s="20">
        <f t="shared" si="7"/>
        <v>8.1136170550287403</v>
      </c>
      <c r="BH13" s="59">
        <f t="shared" si="8"/>
        <v>200.05227904007364</v>
      </c>
      <c r="BI13" s="59">
        <f ca="1">AVERAGE(OFFSET($BH$3,0,0,'Données projet'!$E$11+1,1))-AVERAGE(OFFSET($H$3,0,0,'Données projet'!$E$11+1,1))</f>
        <v>332.21938212432008</v>
      </c>
      <c r="BJ13" s="59">
        <f t="shared" si="38"/>
        <v>237.47732529948181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4.7181389896925676</v>
      </c>
      <c r="CA13" s="13">
        <f t="shared" si="39"/>
        <v>1.8150804634015034</v>
      </c>
      <c r="CB13" s="20">
        <f t="shared" si="10"/>
        <v>11.378690547472175</v>
      </c>
      <c r="CC13" s="59">
        <f t="shared" si="11"/>
        <v>203.31735253251708</v>
      </c>
      <c r="CD13" s="59">
        <f ca="1">AVERAGE(OFFSET($CC$3,0,0,'Données projet'!$E$12+1,1))-AVERAGE(OFFSET($H$3,0,0,'Données projet'!$E$12+1,1))</f>
        <v>439.09551305860475</v>
      </c>
      <c r="CE13" s="59">
        <f t="shared" si="40"/>
        <v>311.31528017256846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4.0628205128205126</v>
      </c>
      <c r="CT13" s="12">
        <f>IF('Données projet'!$A$140&gt;35,CT12+CS13-DB12,IF(A13&lt;'Données projet'!$A$140,$CQ$205^A13,IF(A13='Données projet'!$A$140,'Données projet'!$B$140,CT12+CS13-DB12)))</f>
        <v>4.9581115906815549</v>
      </c>
      <c r="CU13" s="17">
        <f>CT13*VLOOKUP('Données projet'!$B$13,Paramètres!$A$1:$I$89,3,0)*VLOOKUP('Données projet'!$B$13,Paramètres!$A$1:$I$89,5,0)</f>
        <v>4.7954855305072002</v>
      </c>
      <c r="CV13" s="13">
        <f t="shared" si="41"/>
        <v>1.8413474169175326</v>
      </c>
      <c r="CW13" s="20">
        <f t="shared" si="13"/>
        <v>11.559150716764741</v>
      </c>
      <c r="CX13" s="59">
        <f t="shared" si="14"/>
        <v>203.49781270180964</v>
      </c>
      <c r="CY13" s="59">
        <f ca="1">AVERAGE(OFFSET($CX$3,0,0,'Données projet'!$E$13+1,1))-AVERAGE(OFFSET($H$3,0,0,'Données projet'!$E$13+1,1))</f>
        <v>445.01146841309549</v>
      </c>
      <c r="CZ13" s="59">
        <f t="shared" si="42"/>
        <v>315.40159257508969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10.16068376068376</v>
      </c>
      <c r="DO13" s="12">
        <f>IF('Données projet'!$A$166&gt;35,DO12+DN13-DW12,IF(A13&lt;'Données projet'!$A$166,$DL$205^A13,IF(A13='Données projet'!$A$166,'Données projet'!$B$166,DO12+DN13-DW12)))</f>
        <v>18.062391208797656</v>
      </c>
      <c r="DP13" s="17">
        <f>DO13*VLOOKUP('Données projet'!$B$14,Paramètres!$A$1:$I$89,3,0)*VLOOKUP('Données projet'!$B$14,Paramètres!$A$1:$I$89,5,0)</f>
        <v>10.09687668571789</v>
      </c>
      <c r="DQ13" s="13">
        <f t="shared" si="43"/>
        <v>3.5550993685619052</v>
      </c>
      <c r="DR13" s="20">
        <f t="shared" si="16"/>
        <v>23.777191627870639</v>
      </c>
      <c r="DS13" s="59">
        <f t="shared" si="17"/>
        <v>215.71585361291554</v>
      </c>
      <c r="DT13" s="59">
        <f ca="1">AVERAGE(OFFSET($DS$3,0,0,'Données projet'!$E$14+1,1))-AVERAGE(OFFSET($H$3,0,0,'Données projet'!$E$14+1,1))</f>
        <v>349.00268383833668</v>
      </c>
      <c r="DU13" s="59">
        <f t="shared" si="44"/>
        <v>459.94854391583749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2.6666666666666665</v>
      </c>
      <c r="EJ13" s="12">
        <f>IF('Données projet'!$A$192&gt;35,EJ12+EI13-ER12,IF(A13&lt;'Données projet'!$A$192,$EG$205^A13,IF(A13='Données projet'!$A$192,'Données projet'!$B$192,EJ12+EI13-ER12)))</f>
        <v>11.696070952851455</v>
      </c>
      <c r="EK13" s="17">
        <f>EJ13*VLOOKUP('Données projet'!$B$15,Paramètres!$A$1:$I$89,3,0)*VLOOKUP('Données projet'!$B$15,Paramètres!$A$1:$I$89,5,0)</f>
        <v>9.1229353432241354</v>
      </c>
      <c r="EL13" s="13">
        <f t="shared" si="45"/>
        <v>3.2503265450485803</v>
      </c>
      <c r="EM13" s="20">
        <f t="shared" si="19"/>
        <v>21.550097788741649</v>
      </c>
      <c r="EN13" s="59">
        <f t="shared" si="20"/>
        <v>213.48875977378654</v>
      </c>
      <c r="EO13" s="59">
        <f ca="1">AVERAGE(OFFSET($EN$3,0,0,'Données projet'!$E$15+1,1))-AVERAGE(OFFSET($H$3,0,0,'Données projet'!$E$15+1,1))</f>
        <v>308.82719216177946</v>
      </c>
      <c r="EP13" s="59">
        <f t="shared" si="46"/>
        <v>302.59481222418219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207.14866375518821</v>
      </c>
      <c r="S14" s="59">
        <f ca="1">AVERAGE(OFFSET($R$3,0,0,'Données projet'!$E$9+1,1))-AVERAGE(OFFSET($H$3,0,0,'Données projet'!$E$9+1,1))</f>
        <v>421.33534980160005</v>
      </c>
      <c r="T14" s="59">
        <f t="shared" si="34"/>
        <v>299.0473530693472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5.9004601522728706</v>
      </c>
      <c r="AK14" s="13">
        <f t="shared" si="35"/>
        <v>2.2116012666919538</v>
      </c>
      <c r="AL14" s="20">
        <f t="shared" si="4"/>
        <v>14.128506971363736</v>
      </c>
      <c r="AM14" s="59">
        <f t="shared" si="5"/>
        <v>208.62430558047788</v>
      </c>
      <c r="AN14" s="59">
        <f ca="1">AVERAGE(OFFSET($AM$3,0,0,'Données projet'!$E$10+1,1))-AVERAGE(OFFSET($H$3,0,0,'Données projet'!$E$10+1,1))</f>
        <v>462.74754756814662</v>
      </c>
      <c r="AO14" s="59">
        <f t="shared" si="36"/>
        <v>327.65191293226667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4.0628205128205126</v>
      </c>
      <c r="BD14" s="12">
        <f>IF('Données projet'!$A$88&gt;35,BD13+BC14-BL13,IF(A14&lt;'Données projet'!$A$88,$BA$205^A14,IF(A14='Données projet'!$A$88,'Données projet'!$B$88,BD13+BC14-BL13)))</f>
        <v>5.8189942330107201</v>
      </c>
      <c r="BE14" s="13">
        <f>BD14*VLOOKUP('Données projet'!$B$11,Paramètres!$A$1:$I$89,3,0)*VLOOKUP('Données projet'!$B$11,Paramètres!$A$1:$I$89,5,0)</f>
        <v>3.9033813315035912</v>
      </c>
      <c r="BF14" s="13">
        <f t="shared" si="37"/>
        <v>1.5351446924476555</v>
      </c>
      <c r="BG14" s="20">
        <f t="shared" si="7"/>
        <v>9.4720994917150865</v>
      </c>
      <c r="BH14" s="59">
        <f t="shared" si="8"/>
        <v>203.96789810082922</v>
      </c>
      <c r="BI14" s="59">
        <f ca="1">AVERAGE(OFFSET($BH$3,0,0,'Données projet'!$E$11+1,1))-AVERAGE(OFFSET($H$3,0,0,'Données projet'!$E$11+1,1))</f>
        <v>332.21938212432008</v>
      </c>
      <c r="BJ14" s="59">
        <f t="shared" si="38"/>
        <v>237.47732529948181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5.5373549121330017</v>
      </c>
      <c r="CA14" s="13">
        <f t="shared" si="39"/>
        <v>2.0909036959598799</v>
      </c>
      <c r="CB14" s="20">
        <f t="shared" si="10"/>
        <v>13.285883742428437</v>
      </c>
      <c r="CC14" s="59">
        <f t="shared" si="11"/>
        <v>207.78168235154257</v>
      </c>
      <c r="CD14" s="59">
        <f ca="1">AVERAGE(OFFSET($CC$3,0,0,'Données projet'!$E$12+1,1))-AVERAGE(OFFSET($H$3,0,0,'Données projet'!$E$12+1,1))</f>
        <v>439.09551305860475</v>
      </c>
      <c r="CE14" s="59">
        <f t="shared" si="40"/>
        <v>311.31528017256846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4.0628205128205126</v>
      </c>
      <c r="CT14" s="12">
        <f>IF('Données projet'!$A$140&gt;35,CT13+CS14-DB13,IF(A14&lt;'Données projet'!$A$140,$CQ$205^A14,IF(A14='Données projet'!$A$140,'Données projet'!$B$140,CT13+CS14-DB13)))</f>
        <v>5.8189942330107201</v>
      </c>
      <c r="CU14" s="17">
        <f>CT14*VLOOKUP('Données projet'!$B$13,Paramètres!$A$1:$I$89,3,0)*VLOOKUP('Données projet'!$B$13,Paramètres!$A$1:$I$89,5,0)</f>
        <v>5.6281312221679691</v>
      </c>
      <c r="CV14" s="13">
        <f t="shared" si="41"/>
        <v>2.1211622279069138</v>
      </c>
      <c r="CW14" s="20">
        <f t="shared" si="13"/>
        <v>13.496686092213752</v>
      </c>
      <c r="CX14" s="59">
        <f t="shared" si="14"/>
        <v>207.9924847013279</v>
      </c>
      <c r="CY14" s="59">
        <f ca="1">AVERAGE(OFFSET($CX$3,0,0,'Données projet'!$E$13+1,1))-AVERAGE(OFFSET($H$3,0,0,'Données projet'!$E$13+1,1))</f>
        <v>445.01146841309549</v>
      </c>
      <c r="CZ14" s="59">
        <f t="shared" si="42"/>
        <v>315.40159257508969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10.16068376068376</v>
      </c>
      <c r="DO14" s="12">
        <f>IF('Données projet'!$A$166&gt;35,DO13+DN14-DW13,IF(A14&lt;'Données projet'!$A$166,$DL$205^A14,IF(A14='Données projet'!$A$166,'Données projet'!$B$166,DO13+DN14-DW13)))</f>
        <v>24.124191581618767</v>
      </c>
      <c r="DP14" s="17">
        <f>DO14*VLOOKUP('Données projet'!$B$14,Paramètres!$A$1:$I$89,3,0)*VLOOKUP('Données projet'!$B$14,Paramètres!$A$1:$I$89,5,0)</f>
        <v>13.48542309412489</v>
      </c>
      <c r="DQ14" s="13">
        <f t="shared" si="43"/>
        <v>4.5909271865822117</v>
      </c>
      <c r="DR14" s="20">
        <f t="shared" si="16"/>
        <v>31.482976738898202</v>
      </c>
      <c r="DS14" s="59">
        <f t="shared" si="17"/>
        <v>225.97877534801233</v>
      </c>
      <c r="DT14" s="59">
        <f ca="1">AVERAGE(OFFSET($DS$3,0,0,'Données projet'!$E$14+1,1))-AVERAGE(OFFSET($H$3,0,0,'Données projet'!$E$14+1,1))</f>
        <v>349.00268383833668</v>
      </c>
      <c r="DU14" s="59">
        <f t="shared" si="44"/>
        <v>459.94854391583749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2.6666666666666665</v>
      </c>
      <c r="EJ14" s="12">
        <f>IF('Données projet'!$A$192&gt;35,EJ13+EI14-ER13,IF(A14&lt;'Données projet'!$A$192,$EG$205^A14,IF(A14='Données projet'!$A$192,'Données projet'!$B$192,EJ13+EI14-ER13)))</f>
        <v>14.956982779612416</v>
      </c>
      <c r="EK14" s="17">
        <f>EJ14*VLOOKUP('Données projet'!$B$15,Paramètres!$A$1:$I$89,3,0)*VLOOKUP('Données projet'!$B$15,Paramètres!$A$1:$I$89,5,0)</f>
        <v>11.666446568097685</v>
      </c>
      <c r="EL14" s="13">
        <f t="shared" si="45"/>
        <v>4.0392339557111736</v>
      </c>
      <c r="EM14" s="20">
        <f t="shared" si="19"/>
        <v>27.354060245633761</v>
      </c>
      <c r="EN14" s="59">
        <f t="shared" si="20"/>
        <v>221.84985885474788</v>
      </c>
      <c r="EO14" s="59">
        <f ca="1">AVERAGE(OFFSET($EN$3,0,0,'Données projet'!$E$15+1,1))-AVERAGE(OFFSET($H$3,0,0,'Données projet'!$E$15+1,1))</f>
        <v>308.82719216177946</v>
      </c>
      <c r="EP14" s="59">
        <f t="shared" si="46"/>
        <v>302.59481222418219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211.804101668192</v>
      </c>
      <c r="S15" s="59">
        <f ca="1">AVERAGE(OFFSET($R$3,0,0,'Données projet'!$E$9+1,1))-AVERAGE(OFFSET($H$3,0,0,'Données projet'!$E$9+1,1))</f>
        <v>421.33534980160005</v>
      </c>
      <c r="T15" s="59">
        <f t="shared" si="34"/>
        <v>299.0473530693472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6.9249638638055826</v>
      </c>
      <c r="AK15" s="13">
        <f t="shared" si="35"/>
        <v>2.5476805881375704</v>
      </c>
      <c r="AL15" s="20">
        <f t="shared" si="4"/>
        <v>16.498189087134325</v>
      </c>
      <c r="AM15" s="59">
        <f t="shared" si="5"/>
        <v>213.52796653986721</v>
      </c>
      <c r="AN15" s="59">
        <f ca="1">AVERAGE(OFFSET($AM$3,0,0,'Données projet'!$E$10+1,1))-AVERAGE(OFFSET($H$3,0,0,'Données projet'!$E$10+1,1))</f>
        <v>462.74754756814662</v>
      </c>
      <c r="AO15" s="59">
        <f t="shared" si="36"/>
        <v>327.65191293226667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4.0628205128205126</v>
      </c>
      <c r="BD15" s="12">
        <f>IF('Données projet'!$A$88&gt;35,BD14+BC15-BL14,IF(A15&lt;'Données projet'!$A$88,$BA$205^A15,IF(A15='Données projet'!$A$88,'Données projet'!$B$88,BD14+BC15-BL14)))</f>
        <v>6.8293529228851897</v>
      </c>
      <c r="BE15" s="13">
        <f>BD15*VLOOKUP('Données projet'!$B$11,Paramètres!$A$1:$I$89,3,0)*VLOOKUP('Données projet'!$B$11,Paramètres!$A$1:$I$89,5,0)</f>
        <v>4.5811299406713859</v>
      </c>
      <c r="BF15" s="13">
        <f t="shared" si="37"/>
        <v>1.7684283292084371</v>
      </c>
      <c r="BG15" s="20">
        <f t="shared" si="7"/>
        <v>11.058813986707358</v>
      </c>
      <c r="BH15" s="59">
        <f t="shared" si="8"/>
        <v>208.08859143944022</v>
      </c>
      <c r="BI15" s="59">
        <f ca="1">AVERAGE(OFFSET($BH$3,0,0,'Données projet'!$E$11+1,1))-AVERAGE(OFFSET($H$3,0,0,'Données projet'!$E$11+1,1))</f>
        <v>332.21938212432008</v>
      </c>
      <c r="BJ15" s="59">
        <f t="shared" si="38"/>
        <v>237.47732529948181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6.4988122414175455</v>
      </c>
      <c r="CA15" s="13">
        <f t="shared" si="39"/>
        <v>2.408641574812437</v>
      </c>
      <c r="CB15" s="20">
        <f t="shared" si="10"/>
        <v>15.513815396600551</v>
      </c>
      <c r="CC15" s="59">
        <f t="shared" si="11"/>
        <v>212.54359284933344</v>
      </c>
      <c r="CD15" s="59">
        <f ca="1">AVERAGE(OFFSET($CC$3,0,0,'Données projet'!$E$12+1,1))-AVERAGE(OFFSET($H$3,0,0,'Données projet'!$E$12+1,1))</f>
        <v>439.09551305860475</v>
      </c>
      <c r="CE15" s="59">
        <f t="shared" si="40"/>
        <v>311.31528017256846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4.0628205128205126</v>
      </c>
      <c r="CT15" s="12">
        <f>IF('Données projet'!$A$140&gt;35,CT14+CS15-DB14,IF(A15&lt;'Données projet'!$A$140,$CQ$205^A15,IF(A15='Données projet'!$A$140,'Données projet'!$B$140,CT14+CS15-DB14)))</f>
        <v>6.8293529228851897</v>
      </c>
      <c r="CU15" s="17">
        <f>CT15*VLOOKUP('Données projet'!$B$13,Paramètres!$A$1:$I$89,3,0)*VLOOKUP('Données projet'!$B$13,Paramètres!$A$1:$I$89,5,0)</f>
        <v>6.6053501470145557</v>
      </c>
      <c r="CV15" s="13">
        <f t="shared" si="41"/>
        <v>2.4434982533774234</v>
      </c>
      <c r="CW15" s="20">
        <f t="shared" si="13"/>
        <v>15.760077630682696</v>
      </c>
      <c r="CX15" s="59">
        <f t="shared" si="14"/>
        <v>212.78985508341557</v>
      </c>
      <c r="CY15" s="59">
        <f ca="1">AVERAGE(OFFSET($CX$3,0,0,'Données projet'!$E$13+1,1))-AVERAGE(OFFSET($H$3,0,0,'Données projet'!$E$13+1,1))</f>
        <v>445.01146841309549</v>
      </c>
      <c r="CZ15" s="59">
        <f t="shared" si="42"/>
        <v>315.40159257508969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10.16068376068376</v>
      </c>
      <c r="DO15" s="12">
        <f>IF('Données projet'!$A$166&gt;35,DO14+DN15-DW14,IF(A15&lt;'Données projet'!$A$166,$DL$205^A15,IF(A15='Données projet'!$A$166,'Données projet'!$B$166,DO14+DN15-DW14)))</f>
        <v>32.220352927755336</v>
      </c>
      <c r="DP15" s="17">
        <f>DO15*VLOOKUP('Données projet'!$B$14,Paramètres!$A$1:$I$89,3,0)*VLOOKUP('Données projet'!$B$14,Paramètres!$A$1:$I$89,5,0)</f>
        <v>18.011177286615233</v>
      </c>
      <c r="DQ15" s="13">
        <f t="shared" si="43"/>
        <v>5.9285578959851977</v>
      </c>
      <c r="DR15" s="20">
        <f t="shared" si="16"/>
        <v>41.695038776362409</v>
      </c>
      <c r="DS15" s="59">
        <f t="shared" si="17"/>
        <v>238.72481622909527</v>
      </c>
      <c r="DT15" s="59">
        <f ca="1">AVERAGE(OFFSET($DS$3,0,0,'Données projet'!$E$14+1,1))-AVERAGE(OFFSET($H$3,0,0,'Données projet'!$E$14+1,1))</f>
        <v>349.00268383833668</v>
      </c>
      <c r="DU15" s="59">
        <f t="shared" si="44"/>
        <v>459.94854391583749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2.6666666666666665</v>
      </c>
      <c r="EJ15" s="12">
        <f>IF('Données projet'!$A$192&gt;35,EJ14+EI15-ER14,IF(A15&lt;'Données projet'!$A$192,$EG$205^A15,IF(A15='Données projet'!$A$192,'Données projet'!$B$192,EJ14+EI15-ER14)))</f>
        <v>19.127049995800721</v>
      </c>
      <c r="EK15" s="17">
        <f>EJ15*VLOOKUP('Données projet'!$B$15,Paramètres!$A$1:$I$89,3,0)*VLOOKUP('Données projet'!$B$15,Paramètres!$A$1:$I$89,5,0)</f>
        <v>14.919098996724562</v>
      </c>
      <c r="EL15" s="13">
        <f t="shared" si="45"/>
        <v>5.019622097301081</v>
      </c>
      <c r="EM15" s="20">
        <f t="shared" si="19"/>
        <v>34.726605905427995</v>
      </c>
      <c r="EN15" s="59">
        <f t="shared" si="20"/>
        <v>231.75638335816086</v>
      </c>
      <c r="EO15" s="59">
        <f ca="1">AVERAGE(OFFSET($EN$3,0,0,'Données projet'!$E$15+1,1))-AVERAGE(OFFSET($H$3,0,0,'Données projet'!$E$15+1,1))</f>
        <v>308.82719216177946</v>
      </c>
      <c r="EP15" s="59">
        <f t="shared" si="46"/>
        <v>302.59481222418219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216.79366597092417</v>
      </c>
      <c r="S16" s="59">
        <f ca="1">AVERAGE(OFFSET($R$3,0,0,'Données projet'!$E$9+1,1))-AVERAGE(OFFSET($H$3,0,0,'Données projet'!$E$9+1,1))</f>
        <v>421.33534980160005</v>
      </c>
      <c r="T16" s="59">
        <f t="shared" si="34"/>
        <v>299.0473530693472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8.1273533381190166</v>
      </c>
      <c r="AK16" s="13">
        <f t="shared" si="35"/>
        <v>2.9348311908328566</v>
      </c>
      <c r="AL16" s="20">
        <f t="shared" si="4"/>
        <v>19.26663805459118</v>
      </c>
      <c r="AM16" s="59">
        <f t="shared" si="5"/>
        <v>218.80763830620998</v>
      </c>
      <c r="AN16" s="59">
        <f ca="1">AVERAGE(OFFSET($AM$3,0,0,'Données projet'!$E$10+1,1))-AVERAGE(OFFSET($H$3,0,0,'Données projet'!$E$10+1,1))</f>
        <v>462.74754756814662</v>
      </c>
      <c r="AO16" s="59">
        <f t="shared" si="36"/>
        <v>327.65191293226667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4.0628205128205126</v>
      </c>
      <c r="BD16" s="12">
        <f>IF('Données projet'!$A$88&gt;35,BD15+BC16-BL15,IF(A16&lt;'Données projet'!$A$88,$BA$205^A16,IF(A16='Données projet'!$A$88,'Données projet'!$B$88,BD15+BC16-BL15)))</f>
        <v>8.0151413590917304</v>
      </c>
      <c r="BE16" s="13">
        <f>BD16*VLOOKUP('Données projet'!$B$11,Paramètres!$A$1:$I$89,3,0)*VLOOKUP('Données projet'!$B$11,Paramètres!$A$1:$I$89,5,0)</f>
        <v>5.3765568236787331</v>
      </c>
      <c r="BF16" s="13">
        <f t="shared" si="37"/>
        <v>2.0371622107885297</v>
      </c>
      <c r="BG16" s="20">
        <f t="shared" si="7"/>
        <v>12.912227318363817</v>
      </c>
      <c r="BH16" s="59">
        <f t="shared" si="8"/>
        <v>212.45322756998263</v>
      </c>
      <c r="BI16" s="59">
        <f ca="1">AVERAGE(OFFSET($BH$3,0,0,'Données projet'!$E$11+1,1))-AVERAGE(OFFSET($H$3,0,0,'Données projet'!$E$11+1,1))</f>
        <v>332.21938212432008</v>
      </c>
      <c r="BJ16" s="59">
        <f t="shared" si="38"/>
        <v>237.47732529948181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7.6272085173116917</v>
      </c>
      <c r="CA16" s="13">
        <f t="shared" si="39"/>
        <v>2.7746635328661533</v>
      </c>
      <c r="CB16" s="20">
        <f t="shared" si="10"/>
        <v>18.116593820726411</v>
      </c>
      <c r="CC16" s="59">
        <f t="shared" si="11"/>
        <v>217.65759407234523</v>
      </c>
      <c r="CD16" s="59">
        <f ca="1">AVERAGE(OFFSET($CC$3,0,0,'Données projet'!$E$12+1,1))-AVERAGE(OFFSET($H$3,0,0,'Données projet'!$E$12+1,1))</f>
        <v>439.09551305860475</v>
      </c>
      <c r="CE16" s="59">
        <f t="shared" si="40"/>
        <v>311.31528017256846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4.0628205128205126</v>
      </c>
      <c r="CT16" s="12">
        <f>IF('Données projet'!$A$140&gt;35,CT15+CS16-DB15,IF(A16&lt;'Données projet'!$A$140,$CQ$205^A16,IF(A16='Données projet'!$A$140,'Données projet'!$B$140,CT15+CS16-DB15)))</f>
        <v>8.0151413590917304</v>
      </c>
      <c r="CU16" s="17">
        <f>CT16*VLOOKUP('Données projet'!$B$13,Paramètres!$A$1:$I$89,3,0)*VLOOKUP('Données projet'!$B$13,Paramètres!$A$1:$I$89,5,0)</f>
        <v>7.752244722513522</v>
      </c>
      <c r="CV16" s="13">
        <f t="shared" si="41"/>
        <v>2.8148171015425705</v>
      </c>
      <c r="CW16" s="20">
        <f t="shared" si="13"/>
        <v>18.404299343564364</v>
      </c>
      <c r="CX16" s="59">
        <f t="shared" si="14"/>
        <v>217.94529959518317</v>
      </c>
      <c r="CY16" s="59">
        <f ca="1">AVERAGE(OFFSET($CX$3,0,0,'Données projet'!$E$13+1,1))-AVERAGE(OFFSET($H$3,0,0,'Données projet'!$E$13+1,1))</f>
        <v>445.01146841309549</v>
      </c>
      <c r="CZ16" s="59">
        <f t="shared" si="42"/>
        <v>315.40159257508969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10.16068376068376</v>
      </c>
      <c r="DO16" s="12">
        <f>IF('Données projet'!$A$166&gt;35,DO15+DN16-DW15,IF(A16&lt;'Données projet'!$A$166,$DL$205^A16,IF(A16='Données projet'!$A$166,'Données projet'!$B$166,DO15+DN16-DW15)))</f>
        <v>43.033613759729988</v>
      </c>
      <c r="DP16" s="17">
        <f>DO16*VLOOKUP('Données projet'!$B$14,Paramètres!$A$1:$I$89,3,0)*VLOOKUP('Données projet'!$B$14,Paramètres!$A$1:$I$89,5,0)</f>
        <v>24.055790091689062</v>
      </c>
      <c r="DQ16" s="13">
        <f t="shared" si="43"/>
        <v>7.6559259813080898</v>
      </c>
      <c r="DR16" s="20">
        <f t="shared" si="16"/>
        <v>55.231238827136707</v>
      </c>
      <c r="DS16" s="59">
        <f t="shared" si="17"/>
        <v>254.77223907875552</v>
      </c>
      <c r="DT16" s="59">
        <f ca="1">AVERAGE(OFFSET($DS$3,0,0,'Données projet'!$E$14+1,1))-AVERAGE(OFFSET($H$3,0,0,'Données projet'!$E$14+1,1))</f>
        <v>349.00268383833668</v>
      </c>
      <c r="DU16" s="59">
        <f t="shared" si="44"/>
        <v>459.94854391583749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2.6666666666666665</v>
      </c>
      <c r="EJ16" s="12">
        <f>IF('Données projet'!$A$192&gt;35,EJ15+EI16-ER15,IF(A16&lt;'Données projet'!$A$192,$EG$205^A16,IF(A16='Données projet'!$A$192,'Données projet'!$B$192,EJ15+EI16-ER15)))</f>
        <v>24.459748796430759</v>
      </c>
      <c r="EK16" s="17">
        <f>EJ16*VLOOKUP('Données projet'!$B$15,Paramètres!$A$1:$I$89,3,0)*VLOOKUP('Données projet'!$B$15,Paramètres!$A$1:$I$89,5,0)</f>
        <v>19.078604061215994</v>
      </c>
      <c r="EL16" s="13">
        <f t="shared" si="45"/>
        <v>6.2379664748280286</v>
      </c>
      <c r="EM16" s="20">
        <f t="shared" si="19"/>
        <v>44.093027016943331</v>
      </c>
      <c r="EN16" s="59">
        <f t="shared" si="20"/>
        <v>243.63402726856214</v>
      </c>
      <c r="EO16" s="59">
        <f ca="1">AVERAGE(OFFSET($EN$3,0,0,'Données projet'!$E$15+1,1))-AVERAGE(OFFSET($H$3,0,0,'Données projet'!$E$15+1,1))</f>
        <v>308.82719216177946</v>
      </c>
      <c r="EP16" s="59">
        <f t="shared" si="46"/>
        <v>302.59481222418219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222.17797449414502</v>
      </c>
      <c r="S17" s="59">
        <f ca="1">AVERAGE(OFFSET($R$3,0,0,'Données projet'!$E$9+1,1))-AVERAGE(OFFSET($H$3,0,0,'Données projet'!$E$9+1,1))</f>
        <v>421.33534980160005</v>
      </c>
      <c r="T17" s="59">
        <f t="shared" si="34"/>
        <v>299.0473530693472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9.5385150856707419</v>
      </c>
      <c r="AK17" s="13">
        <f t="shared" si="35"/>
        <v>3.3808139681206768</v>
      </c>
      <c r="AL17" s="20">
        <f t="shared" si="4"/>
        <v>22.501164768686721</v>
      </c>
      <c r="AM17" s="59">
        <f t="shared" si="5"/>
        <v>224.53102654095991</v>
      </c>
      <c r="AN17" s="59">
        <f ca="1">AVERAGE(OFFSET($AM$3,0,0,'Données projet'!$E$10+1,1))-AVERAGE(OFFSET($H$3,0,0,'Données projet'!$E$10+1,1))</f>
        <v>462.74754756814662</v>
      </c>
      <c r="AO17" s="59">
        <f t="shared" si="36"/>
        <v>327.65191293226667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4.0628205128205126</v>
      </c>
      <c r="BD17" s="12">
        <f>IF('Données projet'!$A$88&gt;35,BD16+BC17-BL16,IF(A17&lt;'Données projet'!$A$88,$BA$205^A17,IF(A17='Données projet'!$A$88,'Données projet'!$B$88,BD16+BC17-BL16)))</f>
        <v>9.4068196111151305</v>
      </c>
      <c r="BE17" s="13">
        <f>BD17*VLOOKUP('Données projet'!$B$11,Paramètres!$A$1:$I$89,3,0)*VLOOKUP('Données projet'!$B$11,Paramètres!$A$1:$I$89,5,0)</f>
        <v>6.3100945951360288</v>
      </c>
      <c r="BF17" s="13">
        <f t="shared" si="37"/>
        <v>2.3467334268063875</v>
      </c>
      <c r="BG17" s="20">
        <f t="shared" si="7"/>
        <v>15.077308804883041</v>
      </c>
      <c r="BH17" s="59">
        <f t="shared" si="8"/>
        <v>217.10717057715624</v>
      </c>
      <c r="BI17" s="59">
        <f ca="1">AVERAGE(OFFSET($BH$3,0,0,'Données projet'!$E$11+1,1))-AVERAGE(OFFSET($H$3,0,0,'Données projet'!$E$11+1,1))</f>
        <v>332.21938212432008</v>
      </c>
      <c r="BJ17" s="59">
        <f t="shared" si="38"/>
        <v>237.47732529948181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8.9515295419371572</v>
      </c>
      <c r="CA17" s="13">
        <f t="shared" si="39"/>
        <v>3.1963069147043139</v>
      </c>
      <c r="CB17" s="20">
        <f t="shared" si="10"/>
        <v>21.15748182865056</v>
      </c>
      <c r="CC17" s="59">
        <f t="shared" si="11"/>
        <v>223.18734360092375</v>
      </c>
      <c r="CD17" s="59">
        <f ca="1">AVERAGE(OFFSET($CC$3,0,0,'Données projet'!$E$12+1,1))-AVERAGE(OFFSET($H$3,0,0,'Données projet'!$E$12+1,1))</f>
        <v>439.09551305860475</v>
      </c>
      <c r="CE17" s="59">
        <f t="shared" si="40"/>
        <v>311.31528017256846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4.0628205128205126</v>
      </c>
      <c r="CT17" s="12">
        <f>IF('Données projet'!$A$140&gt;35,CT16+CS17-DB16,IF(A17&lt;'Données projet'!$A$140,$CQ$205^A17,IF(A17='Données projet'!$A$140,'Données projet'!$B$140,CT16+CS17-DB16)))</f>
        <v>9.4068196111151305</v>
      </c>
      <c r="CU17" s="17">
        <f>CT17*VLOOKUP('Données projet'!$B$13,Paramètres!$A$1:$I$89,3,0)*VLOOKUP('Données projet'!$B$13,Paramètres!$A$1:$I$89,5,0)</f>
        <v>9.0982759278705547</v>
      </c>
      <c r="CV17" s="13">
        <f t="shared" si="41"/>
        <v>3.2425622994348409</v>
      </c>
      <c r="CW17" s="20">
        <f t="shared" si="13"/>
        <v>21.493626579223562</v>
      </c>
      <c r="CX17" s="59">
        <f t="shared" si="14"/>
        <v>223.52348835149675</v>
      </c>
      <c r="CY17" s="59">
        <f ca="1">AVERAGE(OFFSET($CX$3,0,0,'Données projet'!$E$13+1,1))-AVERAGE(OFFSET($H$3,0,0,'Données projet'!$E$13+1,1))</f>
        <v>445.01146841309549</v>
      </c>
      <c r="CZ17" s="59">
        <f t="shared" si="42"/>
        <v>315.40159257508969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10.16068376068376</v>
      </c>
      <c r="DO17" s="12">
        <f>IF('Données projet'!$A$166&gt;35,DO16+DN17-DW16,IF(A17&lt;'Données projet'!$A$166,$DL$205^A17,IF(A17='Données projet'!$A$166,'Données projet'!$B$166,DO16+DN17-DW16)))</f>
        <v>57.475841973982881</v>
      </c>
      <c r="DP17" s="17">
        <f>DO17*VLOOKUP('Données projet'!$B$14,Paramètres!$A$1:$I$89,3,0)*VLOOKUP('Données projet'!$B$14,Paramètres!$A$1:$I$89,5,0)</f>
        <v>32.128995663456436</v>
      </c>
      <c r="DQ17" s="13">
        <f t="shared" si="43"/>
        <v>9.8865868664217604</v>
      </c>
      <c r="DR17" s="20">
        <f t="shared" si="16"/>
        <v>73.177139572871184</v>
      </c>
      <c r="DS17" s="59">
        <f t="shared" si="17"/>
        <v>275.20700134514436</v>
      </c>
      <c r="DT17" s="59">
        <f ca="1">AVERAGE(OFFSET($DS$3,0,0,'Données projet'!$E$14+1,1))-AVERAGE(OFFSET($H$3,0,0,'Données projet'!$E$14+1,1))</f>
        <v>349.00268383833668</v>
      </c>
      <c r="DU17" s="59">
        <f t="shared" si="44"/>
        <v>459.94854391583749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2.6666666666666665</v>
      </c>
      <c r="EJ17" s="12">
        <f>IF('Données projet'!$A$192&gt;35,EJ16+EI17-ER16,IF(A17&lt;'Données projet'!$A$192,$EG$205^A17,IF(A17='Données projet'!$A$192,'Données projet'!$B$192,EJ16+EI17-ER16)))</f>
        <v>31.279225563578599</v>
      </c>
      <c r="EK17" s="17">
        <f>EJ17*VLOOKUP('Données projet'!$B$15,Paramètres!$A$1:$I$89,3,0)*VLOOKUP('Données projet'!$B$15,Paramètres!$A$1:$I$89,5,0)</f>
        <v>24.397795939591308</v>
      </c>
      <c r="EL17" s="13">
        <f t="shared" si="45"/>
        <v>7.75202295846145</v>
      </c>
      <c r="EM17" s="20">
        <f t="shared" si="19"/>
        <v>55.994267914108548</v>
      </c>
      <c r="EN17" s="59">
        <f t="shared" si="20"/>
        <v>258.02412968638174</v>
      </c>
      <c r="EO17" s="59">
        <f ca="1">AVERAGE(OFFSET($EN$3,0,0,'Données projet'!$E$15+1,1))-AVERAGE(OFFSET($H$3,0,0,'Données projet'!$E$15+1,1))</f>
        <v>308.82719216177946</v>
      </c>
      <c r="EP17" s="59">
        <f t="shared" si="46"/>
        <v>302.59481222418219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228.02782997431032</v>
      </c>
      <c r="S18" s="59">
        <f ca="1">AVERAGE(OFFSET($R$3,0,0,'Données projet'!$E$9+1,1))-AVERAGE(OFFSET($H$3,0,0,'Données projet'!$E$9+1,1))</f>
        <v>421.33534980160005</v>
      </c>
      <c r="T18" s="59">
        <f t="shared" si="34"/>
        <v>299.0473530693472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11.194698477404382</v>
      </c>
      <c r="AK18" s="13">
        <f t="shared" si="35"/>
        <v>3.8945691741119406</v>
      </c>
      <c r="AL18" s="20">
        <f t="shared" si="4"/>
        <v>26.280474493057593</v>
      </c>
      <c r="AM18" s="59">
        <f t="shared" si="5"/>
        <v>230.77722442593864</v>
      </c>
      <c r="AN18" s="59">
        <f ca="1">AVERAGE(OFFSET($AM$3,0,0,'Données projet'!$E$10+1,1))-AVERAGE(OFFSET($H$3,0,0,'Données projet'!$E$10+1,1))</f>
        <v>462.74754756814662</v>
      </c>
      <c r="AO18" s="59">
        <f t="shared" si="36"/>
        <v>327.65191293226667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4.0628205128205126</v>
      </c>
      <c r="BD18" s="12">
        <f>IF('Données projet'!$A$88&gt;35,BD17+BC18-BL17,IF(A18&lt;'Données projet'!$A$88,$BA$205^A18,IF(A18='Données projet'!$A$88,'Données projet'!$B$88,BD17+BC18-BL17)))</f>
        <v>11.040136565487554</v>
      </c>
      <c r="BE18" s="13">
        <f>BD18*VLOOKUP('Données projet'!$B$11,Paramètres!$A$1:$I$89,3,0)*VLOOKUP('Données projet'!$B$11,Paramètres!$A$1:$I$89,5,0)</f>
        <v>7.4057236081290512</v>
      </c>
      <c r="BF18" s="13">
        <f t="shared" si="37"/>
        <v>2.7033476997193961</v>
      </c>
      <c r="BG18" s="20">
        <f t="shared" si="7"/>
        <v>17.606632527836044</v>
      </c>
      <c r="BH18" s="59">
        <f t="shared" si="8"/>
        <v>222.10338246071709</v>
      </c>
      <c r="BI18" s="59">
        <f ca="1">AVERAGE(OFFSET($BH$3,0,0,'Données projet'!$E$11+1,1))-AVERAGE(OFFSET($H$3,0,0,'Données projet'!$E$11+1,1))</f>
        <v>332.21938212432008</v>
      </c>
      <c r="BJ18" s="59">
        <f t="shared" si="38"/>
        <v>237.47732529948181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10.505793955717957</v>
      </c>
      <c r="CA18" s="13">
        <f t="shared" si="39"/>
        <v>3.6820240623674367</v>
      </c>
      <c r="CB18" s="20">
        <f t="shared" si="10"/>
        <v>24.710449714832063</v>
      </c>
      <c r="CC18" s="59">
        <f t="shared" si="11"/>
        <v>229.20719964771311</v>
      </c>
      <c r="CD18" s="59">
        <f ca="1">AVERAGE(OFFSET($CC$3,0,0,'Données projet'!$E$12+1,1))-AVERAGE(OFFSET($H$3,0,0,'Données projet'!$E$12+1,1))</f>
        <v>439.09551305860475</v>
      </c>
      <c r="CE18" s="59">
        <f t="shared" si="40"/>
        <v>311.31528017256846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4.0628205128205126</v>
      </c>
      <c r="CT18" s="12">
        <f>IF('Données projet'!$A$140&gt;35,CT17+CS18-DB17,IF(A18&lt;'Données projet'!$A$140,$CQ$205^A18,IF(A18='Données projet'!$A$140,'Données projet'!$B$140,CT17+CS18-DB17)))</f>
        <v>11.040136565487554</v>
      </c>
      <c r="CU18" s="17">
        <f>CT18*VLOOKUP('Données projet'!$B$13,Paramètres!$A$1:$I$89,3,0)*VLOOKUP('Données projet'!$B$13,Paramètres!$A$1:$I$89,5,0)</f>
        <v>10.678020086139563</v>
      </c>
      <c r="CV18" s="13">
        <f t="shared" si="41"/>
        <v>3.7353085072398455</v>
      </c>
      <c r="CW18" s="20">
        <f t="shared" si="13"/>
        <v>25.103213966802468</v>
      </c>
      <c r="CX18" s="59">
        <f t="shared" si="14"/>
        <v>229.5999638996835</v>
      </c>
      <c r="CY18" s="59">
        <f ca="1">AVERAGE(OFFSET($CX$3,0,0,'Données projet'!$E$13+1,1))-AVERAGE(OFFSET($H$3,0,0,'Données projet'!$E$13+1,1))</f>
        <v>445.01146841309549</v>
      </c>
      <c r="CZ18" s="59">
        <f t="shared" si="42"/>
        <v>315.40159257508969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10.16068376068376</v>
      </c>
      <c r="DO18" s="12">
        <f>IF('Données projet'!$A$166&gt;35,DO17+DN18-DW17,IF(A18&lt;'Données projet'!$A$166,$DL$205^A18,IF(A18='Données projet'!$A$166,'Données projet'!$B$166,DO17+DN18-DW17)))</f>
        <v>76.764931457129379</v>
      </c>
      <c r="DP18" s="17">
        <f>DO18*VLOOKUP('Données projet'!$B$14,Paramètres!$A$1:$I$89,3,0)*VLOOKUP('Données projet'!$B$14,Paramètres!$A$1:$I$89,5,0)</f>
        <v>42.911596684535326</v>
      </c>
      <c r="DQ18" s="13">
        <f t="shared" si="43"/>
        <v>12.767181932785956</v>
      </c>
      <c r="DR18" s="20">
        <f t="shared" si="16"/>
        <v>96.97387275850123</v>
      </c>
      <c r="DS18" s="59">
        <f t="shared" si="17"/>
        <v>301.47062269138229</v>
      </c>
      <c r="DT18" s="59">
        <f ca="1">AVERAGE(OFFSET($DS$3,0,0,'Données projet'!$E$14+1,1))-AVERAGE(OFFSET($H$3,0,0,'Données projet'!$E$14+1,1))</f>
        <v>349.00268383833668</v>
      </c>
      <c r="DU18" s="59">
        <f t="shared" si="44"/>
        <v>459.94854391583749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40</v>
      </c>
      <c r="EH18" s="12">
        <f>VLOOKUP(A18,'Données projet'!$A$191:$I$211,9,0)</f>
        <v>2.6666666666666665</v>
      </c>
      <c r="EI18" s="12">
        <f t="array" ref="EI18">INDEX(EH:EH,MIN(IF(ISNUMBER(EH18:EH214),ROW(EH18:EH214),"")))</f>
        <v>2.6666666666666665</v>
      </c>
      <c r="EJ18" s="12">
        <f>IF('Données projet'!$A$192&gt;35,EJ17+EI18-ER17,IF(A18&lt;'Données projet'!$A$192,$EG$205^A18,IF(A18='Données projet'!$A$192,'Données projet'!$B$192,EJ17+EI18-ER17)))</f>
        <v>40</v>
      </c>
      <c r="EK18" s="17">
        <f>EJ18*VLOOKUP('Données projet'!$B$15,Paramètres!$A$1:$I$89,3,0)*VLOOKUP('Données projet'!$B$15,Paramètres!$A$1:$I$89,5,0)</f>
        <v>31.200000000000003</v>
      </c>
      <c r="EL18" s="13">
        <f t="shared" si="45"/>
        <v>9.6335657126419925</v>
      </c>
      <c r="EM18" s="20">
        <f t="shared" si="19"/>
        <v>71.118460282851473</v>
      </c>
      <c r="EN18" s="59">
        <f t="shared" si="20"/>
        <v>275.61521021573253</v>
      </c>
      <c r="EO18" s="59">
        <f ca="1">AVERAGE(OFFSET($EN$3,0,0,'Données projet'!$E$15+1,1))-AVERAGE(OFFSET($H$3,0,0,'Données projet'!$E$15+1,1))</f>
        <v>308.82719216177946</v>
      </c>
      <c r="EP18" s="59">
        <f t="shared" si="46"/>
        <v>302.59481222418219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234.42594953184124</v>
      </c>
      <c r="S19" s="59">
        <f ca="1">AVERAGE(OFFSET($R$3,0,0,'Données projet'!$E$9+1,1))-AVERAGE(OFFSET($H$3,0,0,'Données projet'!$E$9+1,1))</f>
        <v>421.33534980160005</v>
      </c>
      <c r="T19" s="59">
        <f t="shared" si="34"/>
        <v>299.0473530693472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13.138446904410113</v>
      </c>
      <c r="AK19" s="13">
        <f t="shared" si="35"/>
        <v>4.486395641690498</v>
      </c>
      <c r="AL19" s="20">
        <f t="shared" si="4"/>
        <v>30.696600767791892</v>
      </c>
      <c r="AM19" s="59">
        <f t="shared" si="5"/>
        <v>237.63864668990595</v>
      </c>
      <c r="AN19" s="59">
        <f ca="1">AVERAGE(OFFSET($AM$3,0,0,'Données projet'!$E$10+1,1))-AVERAGE(OFFSET($H$3,0,0,'Données projet'!$E$10+1,1))</f>
        <v>462.74754756814662</v>
      </c>
      <c r="AO19" s="59">
        <f t="shared" si="36"/>
        <v>327.65191293226667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4.0628205128205126</v>
      </c>
      <c r="BD19" s="12">
        <f>IF('Données projet'!$A$88&gt;35,BD18+BC19-BL18,IF(A19&lt;'Données projet'!$A$88,$BA$205^A19,IF(A19='Données projet'!$A$88,'Données projet'!$B$88,BD18+BC19-BL18)))</f>
        <v>12.957048229201293</v>
      </c>
      <c r="BE19" s="13">
        <f>BD19*VLOOKUP('Données projet'!$B$11,Paramètres!$A$1:$I$89,3,0)*VLOOKUP('Données projet'!$B$11,Paramètres!$A$1:$I$89,5,0)</f>
        <v>8.6915879521482271</v>
      </c>
      <c r="BF19" s="13">
        <f t="shared" si="37"/>
        <v>3.1141537858961477</v>
      </c>
      <c r="BG19" s="20">
        <f t="shared" si="7"/>
        <v>20.561666860427287</v>
      </c>
      <c r="BH19" s="59">
        <f t="shared" si="8"/>
        <v>227.50371278254136</v>
      </c>
      <c r="BI19" s="59">
        <f ca="1">AVERAGE(OFFSET($BH$3,0,0,'Données projet'!$E$11+1,1))-AVERAGE(OFFSET($H$3,0,0,'Données projet'!$E$11+1,1))</f>
        <v>332.21938212432008</v>
      </c>
      <c r="BJ19" s="59">
        <f t="shared" si="38"/>
        <v>237.47732529948181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12.32992709490795</v>
      </c>
      <c r="CA19" s="13">
        <f t="shared" si="39"/>
        <v>4.2415517525816071</v>
      </c>
      <c r="CB19" s="20">
        <f t="shared" si="10"/>
        <v>28.861992326044312</v>
      </c>
      <c r="CC19" s="59">
        <f t="shared" si="11"/>
        <v>235.80403824815838</v>
      </c>
      <c r="CD19" s="59">
        <f ca="1">AVERAGE(OFFSET($CC$3,0,0,'Données projet'!$E$12+1,1))-AVERAGE(OFFSET($H$3,0,0,'Données projet'!$E$12+1,1))</f>
        <v>439.09551305860475</v>
      </c>
      <c r="CE19" s="59">
        <f t="shared" si="40"/>
        <v>311.31528017256846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4.0628205128205126</v>
      </c>
      <c r="CT19" s="12">
        <f>IF('Données projet'!$A$140&gt;35,CT18+CS19-DB18,IF(A19&lt;'Données projet'!$A$140,$CQ$205^A19,IF(A19='Données projet'!$A$140,'Données projet'!$B$140,CT18+CS19-DB18)))</f>
        <v>12.957048229201293</v>
      </c>
      <c r="CU19" s="17">
        <f>CT19*VLOOKUP('Données projet'!$B$13,Paramètres!$A$1:$I$89,3,0)*VLOOKUP('Données projet'!$B$13,Paramètres!$A$1:$I$89,5,0)</f>
        <v>12.532057047283491</v>
      </c>
      <c r="CV19" s="13">
        <f t="shared" si="41"/>
        <v>4.3029334075370569</v>
      </c>
      <c r="CW19" s="20">
        <f t="shared" si="13"/>
        <v>29.320941708812455</v>
      </c>
      <c r="CX19" s="59">
        <f t="shared" si="14"/>
        <v>236.26298763092652</v>
      </c>
      <c r="CY19" s="59">
        <f ca="1">AVERAGE(OFFSET($CX$3,0,0,'Données projet'!$E$13+1,1))-AVERAGE(OFFSET($H$3,0,0,'Données projet'!$E$13+1,1))</f>
        <v>445.01146841309549</v>
      </c>
      <c r="CZ19" s="59">
        <f t="shared" si="42"/>
        <v>315.40159257508969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10.16068376068376</v>
      </c>
      <c r="DO19" s="12">
        <f>IF('Données projet'!$A$166&gt;35,DO18+DN19-DW18,IF(A19&lt;'Données projet'!$A$166,$DL$205^A19,IF(A19='Données projet'!$A$166,'Données projet'!$B$166,DO18+DN19-DW18)))</f>
        <v>102.52750545673157</v>
      </c>
      <c r="DP19" s="17">
        <f>DO19*VLOOKUP('Données projet'!$B$14,Paramètres!$A$1:$I$89,3,0)*VLOOKUP('Données projet'!$B$14,Paramètres!$A$1:$I$89,5,0)</f>
        <v>57.312875550312953</v>
      </c>
      <c r="DQ19" s="13">
        <f t="shared" si="43"/>
        <v>16.487078574959277</v>
      </c>
      <c r="DR19" s="20">
        <f t="shared" si="16"/>
        <v>128.53492010151578</v>
      </c>
      <c r="DS19" s="59">
        <f t="shared" si="17"/>
        <v>335.47696602362987</v>
      </c>
      <c r="DT19" s="59">
        <f ca="1">AVERAGE(OFFSET($DS$3,0,0,'Données projet'!$E$14+1,1))-AVERAGE(OFFSET($H$3,0,0,'Données projet'!$E$14+1,1))</f>
        <v>349.00268383833668</v>
      </c>
      <c r="DU19" s="59">
        <f t="shared" si="44"/>
        <v>459.94854391583749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9.6</v>
      </c>
      <c r="EJ19" s="12">
        <f>IF('Données projet'!$A$192&gt;35,EJ18+EI19-ER18,IF(A19&lt;'Données projet'!$A$192,$EG$205^A19,IF(A19='Données projet'!$A$192,'Données projet'!$B$192,EJ18+EI19-ER18)))</f>
        <v>46.6</v>
      </c>
      <c r="EK19" s="17">
        <f>EJ19*VLOOKUP('Données projet'!$B$15,Paramètres!$A$1:$I$89,3,0)*VLOOKUP('Données projet'!$B$15,Paramètres!$A$1:$I$89,5,0)</f>
        <v>36.347999999999999</v>
      </c>
      <c r="EL19" s="13">
        <f t="shared" si="45"/>
        <v>11.025356771848859</v>
      </c>
      <c r="EM19" s="20">
        <f t="shared" si="19"/>
        <v>82.508596377636763</v>
      </c>
      <c r="EN19" s="59">
        <f t="shared" si="20"/>
        <v>289.45064229975083</v>
      </c>
      <c r="EO19" s="59">
        <f ca="1">AVERAGE(OFFSET($EN$3,0,0,'Données projet'!$E$15+1,1))-AVERAGE(OFFSET($H$3,0,0,'Données projet'!$E$15+1,1))</f>
        <v>308.82719216177946</v>
      </c>
      <c r="EP19" s="59">
        <f t="shared" si="46"/>
        <v>302.59481222418219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241.46898830206896</v>
      </c>
      <c r="S20" s="59">
        <f ca="1">AVERAGE(OFFSET($R$3,0,0,'Données projet'!$E$9+1,1))-AVERAGE(OFFSET($H$3,0,0,'Données projet'!$E$9+1,1))</f>
        <v>421.33534980160005</v>
      </c>
      <c r="T20" s="59">
        <f t="shared" si="34"/>
        <v>299.0473530693472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15.419690615912625</v>
      </c>
      <c r="AK20" s="13">
        <f t="shared" si="35"/>
        <v>5.1681572348420586</v>
      </c>
      <c r="AL20" s="20">
        <f t="shared" si="4"/>
        <v>35.857168340064412</v>
      </c>
      <c r="AM20" s="59">
        <f t="shared" si="5"/>
        <v>245.22329265593714</v>
      </c>
      <c r="AN20" s="59">
        <f ca="1">AVERAGE(OFFSET($AM$3,0,0,'Données projet'!$E$10+1,1))-AVERAGE(OFFSET($H$3,0,0,'Données projet'!$E$10+1,1))</f>
        <v>462.74754756814662</v>
      </c>
      <c r="AO20" s="59">
        <f t="shared" si="36"/>
        <v>327.65191293226667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4.0628205128205126</v>
      </c>
      <c r="BD20" s="12">
        <f>IF('Données projet'!$A$88&gt;35,BD19+BC20-BL19,IF(A20&lt;'Données projet'!$A$88,$BA$205^A20,IF(A20='Données projet'!$A$88,'Données projet'!$B$88,BD19+BC20-BL19)))</f>
        <v>15.206795479203771</v>
      </c>
      <c r="BE20" s="13">
        <f>BD20*VLOOKUP('Données projet'!$B$11,Paramètres!$A$1:$I$89,3,0)*VLOOKUP('Données projet'!$B$11,Paramètres!$A$1:$I$89,5,0)</f>
        <v>10.200718407449891</v>
      </c>
      <c r="BF20" s="13">
        <f t="shared" si="37"/>
        <v>3.5873867809227589</v>
      </c>
      <c r="BG20" s="20">
        <f t="shared" si="7"/>
        <v>24.014283203082368</v>
      </c>
      <c r="BH20" s="59">
        <f t="shared" si="8"/>
        <v>233.38040751895508</v>
      </c>
      <c r="BI20" s="59">
        <f ca="1">AVERAGE(OFFSET($BH$3,0,0,'Données projet'!$E$11+1,1))-AVERAGE(OFFSET($H$3,0,0,'Données projet'!$E$11+1,1))</f>
        <v>332.21938212432008</v>
      </c>
      <c r="BJ20" s="59">
        <f t="shared" si="38"/>
        <v>237.47732529948181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14.470786578010308</v>
      </c>
      <c r="CA20" s="13">
        <f t="shared" si="39"/>
        <v>4.8861063820046198</v>
      </c>
      <c r="CB20" s="20">
        <f t="shared" si="10"/>
        <v>33.713255238692668</v>
      </c>
      <c r="CC20" s="59">
        <f t="shared" si="11"/>
        <v>243.07937955456538</v>
      </c>
      <c r="CD20" s="59">
        <f ca="1">AVERAGE(OFFSET($CC$3,0,0,'Données projet'!$E$12+1,1))-AVERAGE(OFFSET($H$3,0,0,'Données projet'!$E$12+1,1))</f>
        <v>439.09551305860475</v>
      </c>
      <c r="CE20" s="59">
        <f t="shared" si="40"/>
        <v>311.31528017256846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4.0628205128205126</v>
      </c>
      <c r="CT20" s="12">
        <f>IF('Données projet'!$A$140&gt;35,CT19+CS20-DB19,IF(A20&lt;'Données projet'!$A$140,$CQ$205^A20,IF(A20='Données projet'!$A$140,'Données projet'!$B$140,CT19+CS20-DB19)))</f>
        <v>15.206795479203771</v>
      </c>
      <c r="CU20" s="17">
        <f>CT20*VLOOKUP('Données projet'!$B$13,Paramètres!$A$1:$I$89,3,0)*VLOOKUP('Données projet'!$B$13,Paramètres!$A$1:$I$89,5,0)</f>
        <v>14.708012587485888</v>
      </c>
      <c r="CV20" s="13">
        <f t="shared" si="41"/>
        <v>4.9568157151710226</v>
      </c>
      <c r="CW20" s="20">
        <f t="shared" si="13"/>
        <v>34.249575960460788</v>
      </c>
      <c r="CX20" s="59">
        <f t="shared" si="14"/>
        <v>243.61570027633351</v>
      </c>
      <c r="CY20" s="59">
        <f ca="1">AVERAGE(OFFSET($CX$3,0,0,'Données projet'!$E$13+1,1))-AVERAGE(OFFSET($H$3,0,0,'Données projet'!$E$13+1,1))</f>
        <v>445.01146841309549</v>
      </c>
      <c r="CZ20" s="59">
        <f t="shared" si="42"/>
        <v>315.40159257508969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10.16068376068376</v>
      </c>
      <c r="DO20" s="12">
        <f>IF('Données projet'!$A$166&gt;35,DO19+DN20-DW19,IF(A20&lt;'Données projet'!$A$166,$DL$205^A20,IF(A20='Données projet'!$A$166,'Données projet'!$B$166,DO19+DN20-DW19)))</f>
        <v>136.93608755517039</v>
      </c>
      <c r="DP20" s="17">
        <f>DO20*VLOOKUP('Données projet'!$B$14,Paramètres!$A$1:$I$89,3,0)*VLOOKUP('Données projet'!$B$14,Paramètres!$A$1:$I$89,5,0)</f>
        <v>76.547272943340246</v>
      </c>
      <c r="DQ20" s="13">
        <f t="shared" si="43"/>
        <v>21.290819020824138</v>
      </c>
      <c r="DR20" s="20">
        <f t="shared" si="16"/>
        <v>170.40134350425296</v>
      </c>
      <c r="DS20" s="59">
        <f t="shared" si="17"/>
        <v>379.76746782012572</v>
      </c>
      <c r="DT20" s="59">
        <f ca="1">AVERAGE(OFFSET($DS$3,0,0,'Données projet'!$E$14+1,1))-AVERAGE(OFFSET($H$3,0,0,'Données projet'!$E$14+1,1))</f>
        <v>349.00268383833668</v>
      </c>
      <c r="DU20" s="59">
        <f t="shared" si="44"/>
        <v>459.94854391583749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9.6</v>
      </c>
      <c r="EJ20" s="12">
        <f>IF('Données projet'!$A$192&gt;35,EJ19+EI20-ER19,IF(A20&lt;'Données projet'!$A$192,$EG$205^A20,IF(A20='Données projet'!$A$192,'Données projet'!$B$192,EJ19+EI20-ER19)))</f>
        <v>56.2</v>
      </c>
      <c r="EK20" s="17">
        <f>EJ20*VLOOKUP('Données projet'!$B$15,Paramètres!$A$1:$I$89,3,0)*VLOOKUP('Données projet'!$B$15,Paramètres!$A$1:$I$89,5,0)</f>
        <v>43.836000000000006</v>
      </c>
      <c r="EL20" s="13">
        <f t="shared" si="45"/>
        <v>13.009897179721728</v>
      </c>
      <c r="EM20" s="20">
        <f t="shared" si="19"/>
        <v>99.006604254682017</v>
      </c>
      <c r="EN20" s="59">
        <f t="shared" si="20"/>
        <v>308.37272857055473</v>
      </c>
      <c r="EO20" s="59">
        <f ca="1">AVERAGE(OFFSET($EN$3,0,0,'Données projet'!$E$15+1,1))-AVERAGE(OFFSET($H$3,0,0,'Données projet'!$E$15+1,1))</f>
        <v>308.82719216177946</v>
      </c>
      <c r="EP20" s="59">
        <f t="shared" si="46"/>
        <v>302.59481222418219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249.26990736392435</v>
      </c>
      <c r="S21" s="59">
        <f ca="1">AVERAGE(OFFSET($R$3,0,0,'Données projet'!$E$9+1,1))-AVERAGE(OFFSET($H$3,0,0,'Données projet'!$E$9+1,1))</f>
        <v>421.33534980160005</v>
      </c>
      <c r="T21" s="59">
        <f t="shared" si="34"/>
        <v>299.0473530693472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18.097029307981138</v>
      </c>
      <c r="AK21" s="13">
        <f t="shared" si="35"/>
        <v>5.9535206738890976</v>
      </c>
      <c r="AL21" s="20">
        <f t="shared" si="4"/>
        <v>41.888041218423993</v>
      </c>
      <c r="AM21" s="59">
        <f t="shared" si="5"/>
        <v>253.65739441042712</v>
      </c>
      <c r="AN21" s="59">
        <f ca="1">AVERAGE(OFFSET($AM$3,0,0,'Données projet'!$E$10+1,1))-AVERAGE(OFFSET($H$3,0,0,'Données projet'!$E$10+1,1))</f>
        <v>462.74754756814662</v>
      </c>
      <c r="AO21" s="59">
        <f t="shared" si="36"/>
        <v>327.65191293226667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4.0628205128205126</v>
      </c>
      <c r="BD21" s="12">
        <f>IF('Données projet'!$A$88&gt;35,BD20+BC21-BL20,IF(A21&lt;'Données projet'!$A$88,$BA$205^A21,IF(A21='Données projet'!$A$88,'Données projet'!$B$88,BD20+BC21-BL20)))</f>
        <v>17.847168942782186</v>
      </c>
      <c r="BE21" s="13">
        <f>BD21*VLOOKUP('Données projet'!$B$11,Paramètres!$A$1:$I$89,3,0)*VLOOKUP('Données projet'!$B$11,Paramètres!$A$1:$I$89,5,0)</f>
        <v>11.97188092681829</v>
      </c>
      <c r="BF21" s="13">
        <f t="shared" si="37"/>
        <v>4.1325332018681884</v>
      </c>
      <c r="BG21" s="20">
        <f t="shared" si="7"/>
        <v>28.048521274128948</v>
      </c>
      <c r="BH21" s="59">
        <f t="shared" si="8"/>
        <v>239.81787446613205</v>
      </c>
      <c r="BI21" s="59">
        <f ca="1">AVERAGE(OFFSET($BH$3,0,0,'Données projet'!$E$11+1,1))-AVERAGE(OFFSET($H$3,0,0,'Données projet'!$E$11+1,1))</f>
        <v>332.21938212432008</v>
      </c>
      <c r="BJ21" s="59">
        <f t="shared" si="38"/>
        <v>237.47732529948181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16.983365965951528</v>
      </c>
      <c r="CA21" s="13">
        <f t="shared" si="39"/>
        <v>5.6286088132097909</v>
      </c>
      <c r="CB21" s="20">
        <f t="shared" si="10"/>
        <v>39.382522740372629</v>
      </c>
      <c r="CC21" s="59">
        <f t="shared" si="11"/>
        <v>251.15187593237573</v>
      </c>
      <c r="CD21" s="59">
        <f ca="1">AVERAGE(OFFSET($CC$3,0,0,'Données projet'!$E$12+1,1))-AVERAGE(OFFSET($H$3,0,0,'Données projet'!$E$12+1,1))</f>
        <v>439.09551305860475</v>
      </c>
      <c r="CE21" s="59">
        <f t="shared" si="40"/>
        <v>311.31528017256846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4.0628205128205126</v>
      </c>
      <c r="CT21" s="12">
        <f>IF('Données projet'!$A$140&gt;35,CT20+CS21-DB20,IF(A21&lt;'Données projet'!$A$140,$CQ$205^A21,IF(A21='Données projet'!$A$140,'Données projet'!$B$140,CT20+CS21-DB20)))</f>
        <v>17.847168942782186</v>
      </c>
      <c r="CU21" s="17">
        <f>CT21*VLOOKUP('Données projet'!$B$13,Paramètres!$A$1:$I$89,3,0)*VLOOKUP('Données projet'!$B$13,Paramètres!$A$1:$I$89,5,0)</f>
        <v>17.26178180145893</v>
      </c>
      <c r="CV21" s="13">
        <f t="shared" si="41"/>
        <v>5.710063277095883</v>
      </c>
      <c r="CW21" s="20">
        <f t="shared" si="13"/>
        <v>40.009296845149635</v>
      </c>
      <c r="CX21" s="59">
        <f t="shared" si="14"/>
        <v>251.77865003715274</v>
      </c>
      <c r="CY21" s="59">
        <f ca="1">AVERAGE(OFFSET($CX$3,0,0,'Données projet'!$E$13+1,1))-AVERAGE(OFFSET($H$3,0,0,'Données projet'!$E$13+1,1))</f>
        <v>445.01146841309549</v>
      </c>
      <c r="CZ21" s="59">
        <f t="shared" si="42"/>
        <v>315.40159257508969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>
        <f>VLOOKUP(A21,'Données projet'!$A$165:$I$185,2,0)</f>
        <v>182.89230769230767</v>
      </c>
      <c r="DM21" s="12">
        <f>VLOOKUP(A21,'Données projet'!$A$165:$I$185,9,0)</f>
        <v>10.16068376068376</v>
      </c>
      <c r="DN21" s="12">
        <f t="array" ref="DN21">INDEX(DM:DM,MIN(IF(ISNUMBER(DM21:DM217),ROW(DM21:DM217),"")))</f>
        <v>10.16068376068376</v>
      </c>
      <c r="DO21" s="12">
        <f>IF('Données projet'!$A$166&gt;35,DO20+DN21-DW20,IF(A21&lt;'Données projet'!$A$166,$DL$205^A21,IF(A21='Données projet'!$A$166,'Données projet'!$B$166,DO20+DN21-DW20)))</f>
        <v>182.89230769230767</v>
      </c>
      <c r="DP21" s="17">
        <f>DO21*VLOOKUP('Données projet'!$B$14,Paramètres!$A$1:$I$89,3,0)*VLOOKUP('Données projet'!$B$14,Paramètres!$A$1:$I$89,5,0)</f>
        <v>102.23679999999999</v>
      </c>
      <c r="DQ21" s="13">
        <f t="shared" si="43"/>
        <v>27.494196289326943</v>
      </c>
      <c r="DR21" s="20">
        <f t="shared" si="16"/>
        <v>225.9481518705777</v>
      </c>
      <c r="DS21" s="59">
        <f t="shared" si="17"/>
        <v>437.71750506258081</v>
      </c>
      <c r="DT21" s="59">
        <f ca="1">AVERAGE(OFFSET($DS$3,0,0,'Données projet'!$E$14+1,1))-AVERAGE(OFFSET($H$3,0,0,'Données projet'!$E$14+1,1))</f>
        <v>349.00268383833668</v>
      </c>
      <c r="DU21" s="59">
        <f t="shared" si="44"/>
        <v>459.94854391583749</v>
      </c>
      <c r="DV21" s="15">
        <f>IF(ISNA(VLOOKUP(A21,'Données projet'!$A$165:$I$185,3,0)),0,VLOOKUP(A21,'Données projet'!$A$165:$I$185,3,0))</f>
        <v>1</v>
      </c>
      <c r="DW21" s="15">
        <f>IF(ISNA(VLOOKUP(A21,'Données projet'!$A$165:$I$185,4,0)),0,VLOOKUP(A21,'Données projet'!$A$165:$I$185,4,0))</f>
        <v>69.284615384615378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0.30800000000000005</v>
      </c>
      <c r="DZ21" s="16">
        <f>IF(ISNA(VLOOKUP(A21,'Données projet'!$A$165:$I$185,7,0)),0%,VLOOKUP(A21,'Données projet'!$A$165:$I$185,7,0))</f>
        <v>0.44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15.762109241455983</v>
      </c>
      <c r="EC21" s="21">
        <f>EXP(-LN(2)/2)*EC20+(1-EXP(-LN(2)/2))/(LN(2)/2)*DW21*DZ21*VLOOKUP('Données projet'!$B$14,Paramètres!$A$1:$I$89,3,0)*0.475*44/12</f>
        <v>19.294646846829099</v>
      </c>
      <c r="ED21" s="22">
        <f t="shared" si="18"/>
        <v>35.056756088285084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9.6</v>
      </c>
      <c r="EJ21" s="12">
        <f>IF('Données projet'!$A$192&gt;35,EJ20+EI21-ER20,IF(A21&lt;'Données projet'!$A$192,$EG$205^A21,IF(A21='Données projet'!$A$192,'Données projet'!$B$192,EJ20+EI21-ER20)))</f>
        <v>65.8</v>
      </c>
      <c r="EK21" s="17">
        <f>EJ21*VLOOKUP('Données projet'!$B$15,Paramètres!$A$1:$I$89,3,0)*VLOOKUP('Données projet'!$B$15,Paramètres!$A$1:$I$89,5,0)</f>
        <v>51.323999999999998</v>
      </c>
      <c r="EL21" s="13">
        <f t="shared" si="45"/>
        <v>14.95516659950003</v>
      </c>
      <c r="EM21" s="20">
        <f t="shared" si="19"/>
        <v>115.43621516079588</v>
      </c>
      <c r="EN21" s="59">
        <f t="shared" si="20"/>
        <v>327.20556835279899</v>
      </c>
      <c r="EO21" s="59">
        <f ca="1">AVERAGE(OFFSET($EN$3,0,0,'Données projet'!$E$15+1,1))-AVERAGE(OFFSET($H$3,0,0,'Données projet'!$E$15+1,1))</f>
        <v>308.82719216177946</v>
      </c>
      <c r="EP21" s="59">
        <f t="shared" si="46"/>
        <v>302.59481222418219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257.96074467695155</v>
      </c>
      <c r="S22" s="59">
        <f ca="1">AVERAGE(OFFSET($R$3,0,0,'Données projet'!$E$9+1,1))-AVERAGE(OFFSET($H$3,0,0,'Données projet'!$E$9+1,1))</f>
        <v>421.33534980160005</v>
      </c>
      <c r="T22" s="59">
        <f t="shared" si="34"/>
        <v>299.0473530693472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21.239237409598623</v>
      </c>
      <c r="AK22" s="13">
        <f t="shared" si="35"/>
        <v>6.8582295011208343</v>
      </c>
      <c r="AL22" s="20">
        <f t="shared" si="4"/>
        <v>48.936421536169718</v>
      </c>
      <c r="AM22" s="59">
        <f t="shared" si="5"/>
        <v>263.08851577919324</v>
      </c>
      <c r="AN22" s="59">
        <f ca="1">AVERAGE(OFFSET($AM$3,0,0,'Données projet'!$E$10+1,1))-AVERAGE(OFFSET($H$3,0,0,'Données projet'!$E$10+1,1))</f>
        <v>462.74754756814662</v>
      </c>
      <c r="AO22" s="59">
        <f t="shared" si="36"/>
        <v>327.65191293226667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4.0628205128205126</v>
      </c>
      <c r="BD22" s="12">
        <f>IF('Données projet'!$A$88&gt;35,BD21+BC22-BL21,IF(A22&lt;'Données projet'!$A$88,$BA$205^A22,IF(A22='Données projet'!$A$88,'Données projet'!$B$88,BD21+BC22-BL21)))</f>
        <v>20.945993500590358</v>
      </c>
      <c r="BE22" s="13">
        <f>BD22*VLOOKUP('Données projet'!$B$11,Paramètres!$A$1:$I$89,3,0)*VLOOKUP('Données projet'!$B$11,Paramètres!$A$1:$I$89,5,0)</f>
        <v>14.050572440196014</v>
      </c>
      <c r="BF22" s="13">
        <f t="shared" si="37"/>
        <v>4.7605211557785063</v>
      </c>
      <c r="BG22" s="20">
        <f t="shared" si="7"/>
        <v>32.762654679655618</v>
      </c>
      <c r="BH22" s="59">
        <f t="shared" si="8"/>
        <v>246.91474892267914</v>
      </c>
      <c r="BI22" s="59">
        <f ca="1">AVERAGE(OFFSET($BH$3,0,0,'Données projet'!$E$11+1,1))-AVERAGE(OFFSET($H$3,0,0,'Données projet'!$E$11+1,1))</f>
        <v>332.21938212432008</v>
      </c>
      <c r="BJ22" s="59">
        <f t="shared" si="38"/>
        <v>237.47732529948181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19.932207415161784</v>
      </c>
      <c r="CA22" s="13">
        <f t="shared" si="39"/>
        <v>6.4839433887121185</v>
      </c>
      <c r="CB22" s="20">
        <f t="shared" si="10"/>
        <v>46.008129316747045</v>
      </c>
      <c r="CC22" s="59">
        <f t="shared" si="11"/>
        <v>260.16022355977054</v>
      </c>
      <c r="CD22" s="59">
        <f ca="1">AVERAGE(OFFSET($CC$3,0,0,'Données projet'!$E$12+1,1))-AVERAGE(OFFSET($H$3,0,0,'Données projet'!$E$12+1,1))</f>
        <v>439.09551305860475</v>
      </c>
      <c r="CE22" s="59">
        <f t="shared" si="40"/>
        <v>311.31528017256846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4.0628205128205126</v>
      </c>
      <c r="CT22" s="12">
        <f>IF('Données projet'!$A$140&gt;35,CT21+CS22-DB21,IF(A22&lt;'Données projet'!$A$140,$CQ$205^A22,IF(A22='Données projet'!$A$140,'Données projet'!$B$140,CT21+CS22-DB21)))</f>
        <v>20.945993500590358</v>
      </c>
      <c r="CU22" s="17">
        <f>CT22*VLOOKUP('Données projet'!$B$13,Paramètres!$A$1:$I$89,3,0)*VLOOKUP('Données projet'!$B$13,Paramètres!$A$1:$I$89,5,0)</f>
        <v>20.258964913770992</v>
      </c>
      <c r="CV22" s="13">
        <f t="shared" si="41"/>
        <v>6.5777758347253874</v>
      </c>
      <c r="CW22" s="20">
        <f t="shared" si="13"/>
        <v>46.74065680363119</v>
      </c>
      <c r="CX22" s="59">
        <f t="shared" si="14"/>
        <v>260.89275104665472</v>
      </c>
      <c r="CY22" s="59">
        <f ca="1">AVERAGE(OFFSET($CX$3,0,0,'Données projet'!$E$13+1,1))-AVERAGE(OFFSET($H$3,0,0,'Données projet'!$E$13+1,1))</f>
        <v>445.01146841309549</v>
      </c>
      <c r="CZ22" s="59">
        <f t="shared" si="42"/>
        <v>315.40159257508969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20.658974358974358</v>
      </c>
      <c r="DO22" s="12">
        <f>IF('Données projet'!$A$166&gt;35,DO21+DN22-DW21,IF(A22&lt;'Données projet'!$A$166,$DL$205^A22,IF(A22='Données projet'!$A$166,'Données projet'!$B$166,DO21+DN22-DW21)))</f>
        <v>134.26666666666665</v>
      </c>
      <c r="DP22" s="17">
        <f>DO22*VLOOKUP('Données projet'!$B$14,Paramètres!$A$1:$I$89,3,0)*VLOOKUP('Données projet'!$B$14,Paramètres!$A$1:$I$89,5,0)</f>
        <v>75.055066666666661</v>
      </c>
      <c r="DQ22" s="13">
        <f t="shared" si="43"/>
        <v>20.923669242672773</v>
      </c>
      <c r="DR22" s="20">
        <f t="shared" si="16"/>
        <v>167.1629650420995</v>
      </c>
      <c r="DS22" s="59">
        <f t="shared" si="17"/>
        <v>381.31505928512303</v>
      </c>
      <c r="DT22" s="59">
        <f ca="1">AVERAGE(OFFSET($DS$3,0,0,'Données projet'!$E$14+1,1))-AVERAGE(OFFSET($H$3,0,0,'Données projet'!$E$14+1,1))</f>
        <v>349.00268383833668</v>
      </c>
      <c r="DU22" s="59">
        <f t="shared" si="44"/>
        <v>459.94854391583749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15.33109353535507</v>
      </c>
      <c r="EC22" s="21">
        <f>EXP(-LN(2)/2)*EC21+(1-EXP(-LN(2)/2))/(LN(2)/2)*DW22*DZ22*VLOOKUP('Données projet'!$B$14,Paramètres!$A$1:$I$89,3,0)*0.475*44/12</f>
        <v>13.643375625992494</v>
      </c>
      <c r="ED22" s="22">
        <f t="shared" si="18"/>
        <v>28.974469161347564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9.6</v>
      </c>
      <c r="EJ22" s="12">
        <f>IF('Données projet'!$A$192&gt;35,EJ21+EI22-ER21,IF(A22&lt;'Données projet'!$A$192,$EG$205^A22,IF(A22='Données projet'!$A$192,'Données projet'!$B$192,EJ21+EI22-ER21)))</f>
        <v>75.399999999999991</v>
      </c>
      <c r="EK22" s="17">
        <f>EJ22*VLOOKUP('Données projet'!$B$15,Paramètres!$A$1:$I$89,3,0)*VLOOKUP('Données projet'!$B$15,Paramètres!$A$1:$I$89,5,0)</f>
        <v>58.811999999999998</v>
      </c>
      <c r="EL22" s="13">
        <f t="shared" si="45"/>
        <v>16.86755663452599</v>
      </c>
      <c r="EM22" s="20">
        <f t="shared" si="19"/>
        <v>131.8085611384661</v>
      </c>
      <c r="EN22" s="59">
        <f t="shared" si="20"/>
        <v>345.96065538148963</v>
      </c>
      <c r="EO22" s="59">
        <f ca="1">AVERAGE(OFFSET($EN$3,0,0,'Données projet'!$E$15+1,1))-AVERAGE(OFFSET($H$3,0,0,'Données projet'!$E$15+1,1))</f>
        <v>308.82719216177946</v>
      </c>
      <c r="EP22" s="59">
        <f t="shared" si="46"/>
        <v>302.59481222418219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267.69585776850914</v>
      </c>
      <c r="S23" s="59">
        <f ca="1">AVERAGE(OFFSET($R$3,0,0,'Données projet'!$E$9+1,1))-AVERAGE(OFFSET($H$3,0,0,'Données projet'!$E$9+1,1))</f>
        <v>421.33534980160005</v>
      </c>
      <c r="T23" s="59">
        <f t="shared" si="34"/>
        <v>299.0473530693472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24.927030733289886</v>
      </c>
      <c r="AK23" s="13">
        <f t="shared" si="35"/>
        <v>7.900419678784556</v>
      </c>
      <c r="AL23" s="20">
        <f t="shared" si="4"/>
        <v>57.174476134362976</v>
      </c>
      <c r="AM23" s="59">
        <f t="shared" si="5"/>
        <v>273.68917902125872</v>
      </c>
      <c r="AN23" s="59">
        <f ca="1">AVERAGE(OFFSET($AM$3,0,0,'Données projet'!$E$10+1,1))-AVERAGE(OFFSET($H$3,0,0,'Données projet'!$E$10+1,1))</f>
        <v>462.74754756814662</v>
      </c>
      <c r="AO23" s="59">
        <f t="shared" si="36"/>
        <v>327.65191293226667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4.0628205128205126</v>
      </c>
      <c r="BD23" s="12">
        <f>IF('Données projet'!$A$88&gt;35,BD22+BC23-BL22,IF(A23&lt;'Données projet'!$A$88,$BA$205^A23,IF(A23='Données projet'!$A$88,'Données projet'!$B$88,BD22+BC23-BL22)))</f>
        <v>24.582870545650774</v>
      </c>
      <c r="BE23" s="13">
        <f>BD23*VLOOKUP('Données projet'!$B$11,Paramètres!$A$1:$I$89,3,0)*VLOOKUP('Données projet'!$B$11,Paramètres!$A$1:$I$89,5,0)</f>
        <v>16.49018956202254</v>
      </c>
      <c r="BF23" s="13">
        <f t="shared" si="37"/>
        <v>5.4839394065532705</v>
      </c>
      <c r="BG23" s="20">
        <f t="shared" si="7"/>
        <v>38.271607953602867</v>
      </c>
      <c r="BH23" s="59">
        <f t="shared" si="8"/>
        <v>254.78631084049857</v>
      </c>
      <c r="BI23" s="59">
        <f ca="1">AVERAGE(OFFSET($BH$3,0,0,'Données projet'!$E$11+1,1))-AVERAGE(OFFSET($H$3,0,0,'Données projet'!$E$11+1,1))</f>
        <v>332.21938212432008</v>
      </c>
      <c r="BJ23" s="59">
        <f t="shared" si="38"/>
        <v>237.47732529948181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23.393059611241277</v>
      </c>
      <c r="CA23" s="13">
        <f t="shared" si="39"/>
        <v>7.4692563052803118</v>
      </c>
      <c r="CB23" s="20">
        <f t="shared" si="10"/>
        <v>53.751866887941766</v>
      </c>
      <c r="CC23" s="59">
        <f t="shared" si="11"/>
        <v>270.26656977483748</v>
      </c>
      <c r="CD23" s="59">
        <f ca="1">AVERAGE(OFFSET($CC$3,0,0,'Données projet'!$E$12+1,1))-AVERAGE(OFFSET($H$3,0,0,'Données projet'!$E$12+1,1))</f>
        <v>439.09551305860475</v>
      </c>
      <c r="CE23" s="59">
        <f t="shared" si="40"/>
        <v>311.31528017256846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4.0628205128205126</v>
      </c>
      <c r="CT23" s="12">
        <f>IF('Données projet'!$A$140&gt;35,CT22+CS23-DB22,IF(A23&lt;'Données projet'!$A$140,$CQ$205^A23,IF(A23='Données projet'!$A$140,'Données projet'!$B$140,CT22+CS23-DB22)))</f>
        <v>24.582870545650774</v>
      </c>
      <c r="CU23" s="17">
        <f>CT23*VLOOKUP('Données projet'!$B$13,Paramètres!$A$1:$I$89,3,0)*VLOOKUP('Données projet'!$B$13,Paramètres!$A$1:$I$89,5,0)</f>
        <v>23.776552391753427</v>
      </c>
      <c r="CV23" s="13">
        <f t="shared" si="41"/>
        <v>7.5773477161715004</v>
      </c>
      <c r="CW23" s="20">
        <f t="shared" si="13"/>
        <v>54.608042687969252</v>
      </c>
      <c r="CX23" s="59">
        <f t="shared" si="14"/>
        <v>271.12274557486495</v>
      </c>
      <c r="CY23" s="59">
        <f ca="1">AVERAGE(OFFSET($CX$3,0,0,'Données projet'!$E$13+1,1))-AVERAGE(OFFSET($H$3,0,0,'Données projet'!$E$13+1,1))</f>
        <v>445.01146841309549</v>
      </c>
      <c r="CZ23" s="59">
        <f t="shared" si="42"/>
        <v>315.40159257508969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20.658974358974358</v>
      </c>
      <c r="DO23" s="12">
        <f>IF('Données projet'!$A$166&gt;35,DO22+DN23-DW22,IF(A23&lt;'Données projet'!$A$166,$DL$205^A23,IF(A23='Données projet'!$A$166,'Données projet'!$B$166,DO22+DN23-DW22)))</f>
        <v>154.925641025641</v>
      </c>
      <c r="DP23" s="17">
        <f>DO23*VLOOKUP('Données projet'!$B$14,Paramètres!$A$1:$I$89,3,0)*VLOOKUP('Données projet'!$B$14,Paramètres!$A$1:$I$89,5,0)</f>
        <v>86.603433333333314</v>
      </c>
      <c r="DQ23" s="13">
        <f t="shared" si="43"/>
        <v>23.744229853900279</v>
      </c>
      <c r="DR23" s="20">
        <f t="shared" si="16"/>
        <v>192.18884671776516</v>
      </c>
      <c r="DS23" s="59">
        <f t="shared" si="17"/>
        <v>408.70354960466091</v>
      </c>
      <c r="DT23" s="59">
        <f ca="1">AVERAGE(OFFSET($DS$3,0,0,'Données projet'!$E$14+1,1))-AVERAGE(OFFSET($H$3,0,0,'Données projet'!$E$14+1,1))</f>
        <v>349.00268383833668</v>
      </c>
      <c r="DU23" s="59">
        <f t="shared" si="44"/>
        <v>459.94854391583749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14.911863976403616</v>
      </c>
      <c r="EC23" s="21">
        <f>EXP(-LN(2)/2)*EC22+(1-EXP(-LN(2)/2))/(LN(2)/2)*DW23*DZ23*VLOOKUP('Données projet'!$B$14,Paramètres!$A$1:$I$89,3,0)*0.475*44/12</f>
        <v>9.6473234234145515</v>
      </c>
      <c r="ED23" s="22">
        <f t="shared" si="18"/>
        <v>24.559187399818168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85</v>
      </c>
      <c r="EH23" s="12">
        <f>VLOOKUP(A23,'Données projet'!$A$191:$I$211,9,0)</f>
        <v>9.6</v>
      </c>
      <c r="EI23" s="12">
        <f t="array" ref="EI23">INDEX(EH:EH,MIN(IF(ISNUMBER(EH23:EH219),ROW(EH23:EH219),"")))</f>
        <v>9.6</v>
      </c>
      <c r="EJ23" s="12">
        <f>IF('Données projet'!$A$192&gt;35,EJ22+EI23-ER22,IF(A23&lt;'Données projet'!$A$192,$EG$205^A23,IF(A23='Données projet'!$A$192,'Données projet'!$B$192,EJ22+EI23-ER22)))</f>
        <v>84.999999999999986</v>
      </c>
      <c r="EK23" s="17">
        <f>EJ23*VLOOKUP('Données projet'!$B$15,Paramètres!$A$1:$I$89,3,0)*VLOOKUP('Données projet'!$B$15,Paramètres!$A$1:$I$89,5,0)</f>
        <v>66.3</v>
      </c>
      <c r="EL23" s="13">
        <f t="shared" si="45"/>
        <v>18.751733344032118</v>
      </c>
      <c r="EM23" s="20">
        <f t="shared" si="19"/>
        <v>148.13176890752257</v>
      </c>
      <c r="EN23" s="59">
        <f t="shared" si="20"/>
        <v>364.64647179441829</v>
      </c>
      <c r="EO23" s="59">
        <f ca="1">AVERAGE(OFFSET($EN$3,0,0,'Données projet'!$E$15+1,1))-AVERAGE(OFFSET($H$3,0,0,'Données projet'!$E$15+1,1))</f>
        <v>308.82719216177946</v>
      </c>
      <c r="EP23" s="59">
        <f t="shared" si="46"/>
        <v>302.59481222418219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0.215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4.6164360471015273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4.6164360471015273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278.65571866132592</v>
      </c>
      <c r="S24" s="59">
        <f ca="1">AVERAGE(OFFSET($R$3,0,0,'Données projet'!$E$9+1,1))-AVERAGE(OFFSET($H$3,0,0,'Données projet'!$E$9+1,1))</f>
        <v>421.33534980160005</v>
      </c>
      <c r="T24" s="59">
        <f t="shared" si="34"/>
        <v>299.0473530693472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29.255139871338766</v>
      </c>
      <c r="AK24" s="13">
        <f t="shared" si="35"/>
        <v>9.1009831459745705</v>
      </c>
      <c r="AL24" s="20">
        <f t="shared" si="4"/>
        <v>66.803580921820739</v>
      </c>
      <c r="AM24" s="59">
        <f t="shared" si="5"/>
        <v>285.66110929769513</v>
      </c>
      <c r="AN24" s="59">
        <f ca="1">AVERAGE(OFFSET($AM$3,0,0,'Données projet'!$E$10+1,1))-AVERAGE(OFFSET($H$3,0,0,'Données projet'!$E$10+1,1))</f>
        <v>462.74754756814662</v>
      </c>
      <c r="AO24" s="59">
        <f t="shared" si="36"/>
        <v>327.65191293226667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4.0628205128205126</v>
      </c>
      <c r="BD24" s="12">
        <f>IF('Données projet'!$A$88&gt;35,BD23+BC24-BL23,IF(A24&lt;'Données projet'!$A$88,$BA$205^A24,IF(A24='Données projet'!$A$88,'Données projet'!$B$88,BD23+BC24-BL23)))</f>
        <v>28.851222752799568</v>
      </c>
      <c r="BE24" s="13">
        <f>BD24*VLOOKUP('Données projet'!$B$11,Paramètres!$A$1:$I$89,3,0)*VLOOKUP('Données projet'!$B$11,Paramètres!$A$1:$I$89,5,0)</f>
        <v>19.35340022257795</v>
      </c>
      <c r="BF24" s="13">
        <f t="shared" si="37"/>
        <v>6.3172897316595966</v>
      </c>
      <c r="BG24" s="20">
        <f t="shared" si="7"/>
        <v>44.70978500363038</v>
      </c>
      <c r="BH24" s="59">
        <f t="shared" si="8"/>
        <v>263.56731337950475</v>
      </c>
      <c r="BI24" s="59">
        <f ca="1">AVERAGE(OFFSET($BH$3,0,0,'Données projet'!$E$11+1,1))-AVERAGE(OFFSET($H$3,0,0,'Données projet'!$E$11+1,1))</f>
        <v>332.21938212432008</v>
      </c>
      <c r="BJ24" s="59">
        <f t="shared" si="38"/>
        <v>237.47732529948181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27.45482357156407</v>
      </c>
      <c r="CA24" s="13">
        <f t="shared" si="39"/>
        <v>8.6042993298019912</v>
      </c>
      <c r="CB24" s="20">
        <f t="shared" si="10"/>
        <v>62.802972386545882</v>
      </c>
      <c r="CC24" s="59">
        <f t="shared" si="11"/>
        <v>281.66050076242027</v>
      </c>
      <c r="CD24" s="59">
        <f ca="1">AVERAGE(OFFSET($CC$3,0,0,'Données projet'!$E$12+1,1))-AVERAGE(OFFSET($H$3,0,0,'Données projet'!$E$12+1,1))</f>
        <v>439.09551305860475</v>
      </c>
      <c r="CE24" s="59">
        <f t="shared" si="40"/>
        <v>311.31528017256846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4.0628205128205126</v>
      </c>
      <c r="CT24" s="12">
        <f>IF('Données projet'!$A$140&gt;35,CT23+CS24-DB23,IF(A24&lt;'Données projet'!$A$140,$CQ$205^A24,IF(A24='Données projet'!$A$140,'Données projet'!$B$140,CT23+CS24-DB23)))</f>
        <v>28.851222752799568</v>
      </c>
      <c r="CU24" s="17">
        <f>CT24*VLOOKUP('Données projet'!$B$13,Paramètres!$A$1:$I$89,3,0)*VLOOKUP('Données projet'!$B$13,Paramètres!$A$1:$I$89,5,0)</f>
        <v>27.904902646507743</v>
      </c>
      <c r="CV24" s="13">
        <f t="shared" si="41"/>
        <v>8.7288165261968871</v>
      </c>
      <c r="CW24" s="20">
        <f t="shared" si="13"/>
        <v>63.803727559127225</v>
      </c>
      <c r="CX24" s="59">
        <f t="shared" si="14"/>
        <v>282.66125593500158</v>
      </c>
      <c r="CY24" s="59">
        <f ca="1">AVERAGE(OFFSET($CX$3,0,0,'Données projet'!$E$13+1,1))-AVERAGE(OFFSET($H$3,0,0,'Données projet'!$E$13+1,1))</f>
        <v>445.01146841309549</v>
      </c>
      <c r="CZ24" s="59">
        <f t="shared" si="42"/>
        <v>315.40159257508969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20.658974358974358</v>
      </c>
      <c r="DO24" s="12">
        <f>IF('Données projet'!$A$166&gt;35,DO23+DN24-DW23,IF(A24&lt;'Données projet'!$A$166,$DL$205^A24,IF(A24='Données projet'!$A$166,'Données projet'!$B$166,DO23+DN24-DW23)))</f>
        <v>175.58461538461535</v>
      </c>
      <c r="DP24" s="17">
        <f>DO24*VLOOKUP('Données projet'!$B$14,Paramètres!$A$1:$I$89,3,0)*VLOOKUP('Données projet'!$B$14,Paramètres!$A$1:$I$89,5,0)</f>
        <v>98.15179999999998</v>
      </c>
      <c r="DQ24" s="13">
        <f t="shared" si="43"/>
        <v>26.52121247620833</v>
      </c>
      <c r="DR24" s="20">
        <f t="shared" si="16"/>
        <v>217.13883006272945</v>
      </c>
      <c r="DS24" s="59">
        <f t="shared" si="17"/>
        <v>435.99635843860381</v>
      </c>
      <c r="DT24" s="59">
        <f ca="1">AVERAGE(OFFSET($DS$3,0,0,'Données projet'!$E$14+1,1))-AVERAGE(OFFSET($H$3,0,0,'Données projet'!$E$14+1,1))</f>
        <v>349.00268383833668</v>
      </c>
      <c r="DU24" s="59">
        <f t="shared" si="44"/>
        <v>459.94854391583749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14.504098271788013</v>
      </c>
      <c r="EC24" s="21">
        <f>EXP(-LN(2)/2)*EC23+(1-EXP(-LN(2)/2))/(LN(2)/2)*DW24*DZ24*VLOOKUP('Données projet'!$B$14,Paramètres!$A$1:$I$89,3,0)*0.475*44/12</f>
        <v>6.8216878129962479</v>
      </c>
      <c r="ED24" s="22">
        <f t="shared" si="18"/>
        <v>21.325786084784262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10.6</v>
      </c>
      <c r="EJ24" s="12">
        <f>IF('Données projet'!$A$192&gt;35,EJ23+EI24-ER23,IF(A24&lt;'Données projet'!$A$192,$EG$205^A24,IF(A24='Données projet'!$A$192,'Données projet'!$B$192,EJ23+EI24-ER23)))</f>
        <v>70.59999999999998</v>
      </c>
      <c r="EK24" s="17">
        <f>EJ24*VLOOKUP('Données projet'!$B$15,Paramètres!$A$1:$I$89,3,0)*VLOOKUP('Données projet'!$B$15,Paramètres!$A$1:$I$89,5,0)</f>
        <v>55.067999999999984</v>
      </c>
      <c r="EL24" s="13">
        <f t="shared" si="45"/>
        <v>15.915148294580479</v>
      </c>
      <c r="EM24" s="20">
        <f t="shared" si="19"/>
        <v>123.62898327972762</v>
      </c>
      <c r="EN24" s="59">
        <f t="shared" si="20"/>
        <v>342.48651165560199</v>
      </c>
      <c r="EO24" s="59">
        <f ca="1">AVERAGE(OFFSET($EN$3,0,0,'Données projet'!$E$15+1,1))-AVERAGE(OFFSET($H$3,0,0,'Données projet'!$E$15+1,1))</f>
        <v>308.82719216177946</v>
      </c>
      <c r="EP24" s="59">
        <f t="shared" si="46"/>
        <v>302.59481222418219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4.4901993606257156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4.4901993606257156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291.05135529127796</v>
      </c>
      <c r="S25" s="59">
        <f ca="1">AVERAGE(OFFSET($R$3,0,0,'Données projet'!$E$9+1,1))-AVERAGE(OFFSET($H$3,0,0,'Données projet'!$E$9+1,1))</f>
        <v>421.33534980160005</v>
      </c>
      <c r="T25" s="59">
        <f t="shared" si="34"/>
        <v>299.0473530693472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34.334743598185383</v>
      </c>
      <c r="AK25" s="13">
        <f t="shared" si="35"/>
        <v>10.48398662234813</v>
      </c>
      <c r="AL25" s="20">
        <f t="shared" si="4"/>
        <v>78.059288467429198</v>
      </c>
      <c r="AM25" s="59">
        <f t="shared" si="5"/>
        <v>299.24020237089758</v>
      </c>
      <c r="AN25" s="59">
        <f ca="1">AVERAGE(OFFSET($AM$3,0,0,'Données projet'!$E$10+1,1))-AVERAGE(OFFSET($H$3,0,0,'Données projet'!$E$10+1,1))</f>
        <v>462.74754756814662</v>
      </c>
      <c r="AO25" s="59">
        <f t="shared" si="36"/>
        <v>327.65191293226667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4.0628205128205126</v>
      </c>
      <c r="BD25" s="12">
        <f>IF('Données projet'!$A$88&gt;35,BD24+BC25-BL24,IF(A25&lt;'Données projet'!$A$88,$BA$205^A25,IF(A25='Données projet'!$A$88,'Données projet'!$B$88,BD24+BC25-BL24)))</f>
        <v>33.860693883812012</v>
      </c>
      <c r="BE25" s="13">
        <f>BD25*VLOOKUP('Données projet'!$B$11,Paramètres!$A$1:$I$89,3,0)*VLOOKUP('Données projet'!$B$11,Paramètres!$A$1:$I$89,5,0)</f>
        <v>22.713753457261099</v>
      </c>
      <c r="BF25" s="13">
        <f t="shared" si="37"/>
        <v>7.277277627473751</v>
      </c>
      <c r="BG25" s="20">
        <f t="shared" si="7"/>
        <v>52.234379139246528</v>
      </c>
      <c r="BH25" s="59">
        <f t="shared" si="8"/>
        <v>273.41529304271489</v>
      </c>
      <c r="BI25" s="59">
        <f ca="1">AVERAGE(OFFSET($BH$3,0,0,'Données projet'!$E$11+1,1))-AVERAGE(OFFSET($H$3,0,0,'Données projet'!$E$11+1,1))</f>
        <v>332.21938212432008</v>
      </c>
      <c r="BJ25" s="59">
        <f t="shared" si="38"/>
        <v>237.47732529948181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32.221836299835509</v>
      </c>
      <c r="CA25" s="13">
        <f t="shared" si="39"/>
        <v>9.9118257468944293</v>
      </c>
      <c r="CB25" s="20">
        <f t="shared" si="10"/>
        <v>73.382794731387975</v>
      </c>
      <c r="CC25" s="59">
        <f t="shared" si="11"/>
        <v>294.56370863485637</v>
      </c>
      <c r="CD25" s="59">
        <f ca="1">AVERAGE(OFFSET($CC$3,0,0,'Données projet'!$E$12+1,1))-AVERAGE(OFFSET($H$3,0,0,'Données projet'!$E$12+1,1))</f>
        <v>439.09551305860475</v>
      </c>
      <c r="CE25" s="59">
        <f t="shared" si="40"/>
        <v>311.31528017256846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4.0628205128205126</v>
      </c>
      <c r="CT25" s="12">
        <f>IF('Données projet'!$A$140&gt;35,CT24+CS25-DB24,IF(A25&lt;'Données projet'!$A$140,$CQ$205^A25,IF(A25='Données projet'!$A$140,'Données projet'!$B$140,CT24+CS25-DB24)))</f>
        <v>33.860693883812012</v>
      </c>
      <c r="CU25" s="17">
        <f>CT25*VLOOKUP('Données projet'!$B$13,Paramètres!$A$1:$I$89,3,0)*VLOOKUP('Données projet'!$B$13,Paramètres!$A$1:$I$89,5,0)</f>
        <v>32.750063124422979</v>
      </c>
      <c r="CV25" s="13">
        <f t="shared" si="41"/>
        <v>10.055264823785132</v>
      </c>
      <c r="CW25" s="20">
        <f t="shared" si="13"/>
        <v>74.552612843129126</v>
      </c>
      <c r="CX25" s="59">
        <f t="shared" si="14"/>
        <v>295.73352674659753</v>
      </c>
      <c r="CY25" s="59">
        <f ca="1">AVERAGE(OFFSET($CX$3,0,0,'Données projet'!$E$13+1,1))-AVERAGE(OFFSET($H$3,0,0,'Données projet'!$E$13+1,1))</f>
        <v>445.01146841309549</v>
      </c>
      <c r="CZ25" s="59">
        <f t="shared" si="42"/>
        <v>315.40159257508969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20.658974358974358</v>
      </c>
      <c r="DO25" s="12">
        <f>IF('Données projet'!$A$166&gt;35,DO24+DN25-DW24,IF(A25&lt;'Données projet'!$A$166,$DL$205^A25,IF(A25='Données projet'!$A$166,'Données projet'!$B$166,DO24+DN25-DW24)))</f>
        <v>196.24358974358969</v>
      </c>
      <c r="DP25" s="17">
        <f>DO25*VLOOKUP('Données projet'!$B$14,Paramètres!$A$1:$I$89,3,0)*VLOOKUP('Données projet'!$B$14,Paramètres!$A$1:$I$89,5,0)</f>
        <v>109.70016666666663</v>
      </c>
      <c r="DQ25" s="13">
        <f t="shared" si="43"/>
        <v>29.260330282475415</v>
      </c>
      <c r="DR25" s="20">
        <f t="shared" si="16"/>
        <v>242.02286551975575</v>
      </c>
      <c r="DS25" s="59">
        <f t="shared" si="17"/>
        <v>463.20377942322415</v>
      </c>
      <c r="DT25" s="59">
        <f ca="1">AVERAGE(OFFSET($DS$3,0,0,'Données projet'!$E$14+1,1))-AVERAGE(OFFSET($H$3,0,0,'Données projet'!$E$14+1,1))</f>
        <v>349.00268383833668</v>
      </c>
      <c r="DU25" s="59">
        <f t="shared" si="44"/>
        <v>459.94854391583749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14.107482941808591</v>
      </c>
      <c r="EC25" s="21">
        <f>EXP(-LN(2)/2)*EC24+(1-EXP(-LN(2)/2))/(LN(2)/2)*DW25*DZ25*VLOOKUP('Données projet'!$B$14,Paramètres!$A$1:$I$89,3,0)*0.475*44/12</f>
        <v>4.8236617117072758</v>
      </c>
      <c r="ED25" s="22">
        <f t="shared" si="18"/>
        <v>18.931144653515865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10.6</v>
      </c>
      <c r="EJ25" s="12">
        <f>IF('Données projet'!$A$192&gt;35,EJ24+EI25-ER24,IF(A25&lt;'Données projet'!$A$192,$EG$205^A25,IF(A25='Données projet'!$A$192,'Données projet'!$B$192,EJ24+EI25-ER24)))</f>
        <v>81.199999999999974</v>
      </c>
      <c r="EK25" s="17">
        <f>EJ25*VLOOKUP('Données projet'!$B$15,Paramètres!$A$1:$I$89,3,0)*VLOOKUP('Données projet'!$B$15,Paramètres!$A$1:$I$89,5,0)</f>
        <v>63.335999999999984</v>
      </c>
      <c r="EL25" s="13">
        <f t="shared" si="45"/>
        <v>18.009040022946227</v>
      </c>
      <c r="EM25" s="20">
        <f t="shared" si="19"/>
        <v>141.67594470663133</v>
      </c>
      <c r="EN25" s="59">
        <f t="shared" si="20"/>
        <v>362.85685861009972</v>
      </c>
      <c r="EO25" s="59">
        <f ca="1">AVERAGE(OFFSET($EN$3,0,0,'Données projet'!$E$15+1,1))-AVERAGE(OFFSET($H$3,0,0,'Données projet'!$E$15+1,1))</f>
        <v>308.82719216177946</v>
      </c>
      <c r="EP25" s="59">
        <f t="shared" si="46"/>
        <v>302.59481222418219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4.3674146229800836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4.3674146229800836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305.12954978125185</v>
      </c>
      <c r="S26" s="59">
        <f ca="1">AVERAGE(OFFSET($R$3,0,0,'Données projet'!$E$9+1,1))-AVERAGE(OFFSET($H$3,0,0,'Données projet'!$E$9+1,1))</f>
        <v>421.33534980160005</v>
      </c>
      <c r="T26" s="59">
        <f t="shared" si="34"/>
        <v>299.0473530693472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40.29632478729232</v>
      </c>
      <c r="AK26" s="13">
        <f t="shared" si="35"/>
        <v>12.077154054085931</v>
      </c>
      <c r="AL26" s="20">
        <f t="shared" si="4"/>
        <v>91.217142315400451</v>
      </c>
      <c r="AM26" s="59">
        <f t="shared" si="5"/>
        <v>314.70233902494692</v>
      </c>
      <c r="AN26" s="59">
        <f ca="1">AVERAGE(OFFSET($AM$3,0,0,'Données projet'!$E$10+1,1))-AVERAGE(OFFSET($H$3,0,0,'Données projet'!$E$10+1,1))</f>
        <v>462.74754756814662</v>
      </c>
      <c r="AO26" s="59">
        <f t="shared" si="36"/>
        <v>327.65191293226667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4.0628205128205126</v>
      </c>
      <c r="BD26" s="12">
        <f>IF('Données projet'!$A$88&gt;35,BD25+BC26-BL25,IF(A26&lt;'Données projet'!$A$88,$BA$205^A26,IF(A26='Données projet'!$A$88,'Données projet'!$B$88,BD25+BC26-BL25)))</f>
        <v>39.739965273463824</v>
      </c>
      <c r="BE26" s="13">
        <f>BD26*VLOOKUP('Données projet'!$B$11,Paramètres!$A$1:$I$89,3,0)*VLOOKUP('Données projet'!$B$11,Paramètres!$A$1:$I$89,5,0)</f>
        <v>26.65756870543953</v>
      </c>
      <c r="BF26" s="13">
        <f t="shared" si="37"/>
        <v>8.3831471907838733</v>
      </c>
      <c r="BG26" s="20">
        <f t="shared" si="7"/>
        <v>61.029246852589097</v>
      </c>
      <c r="BH26" s="59">
        <f t="shared" si="8"/>
        <v>284.51444356213563</v>
      </c>
      <c r="BI26" s="59">
        <f ca="1">AVERAGE(OFFSET($BH$3,0,0,'Données projet'!$E$11+1,1))-AVERAGE(OFFSET($H$3,0,0,'Données projet'!$E$11+1,1))</f>
        <v>332.21938212432008</v>
      </c>
      <c r="BJ26" s="59">
        <f t="shared" si="38"/>
        <v>237.47732529948181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37.816550954228177</v>
      </c>
      <c r="CA26" s="13">
        <f t="shared" si="39"/>
        <v>11.418046475500782</v>
      </c>
      <c r="CB26" s="20">
        <f t="shared" si="10"/>
        <v>85.75025719011127</v>
      </c>
      <c r="CC26" s="59">
        <f t="shared" si="11"/>
        <v>309.23545389965778</v>
      </c>
      <c r="CD26" s="59">
        <f ca="1">AVERAGE(OFFSET($CC$3,0,0,'Données projet'!$E$12+1,1))-AVERAGE(OFFSET($H$3,0,0,'Données projet'!$E$12+1,1))</f>
        <v>439.09551305860475</v>
      </c>
      <c r="CE26" s="59">
        <f t="shared" si="40"/>
        <v>311.31528017256846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4.0628205128205126</v>
      </c>
      <c r="CT26" s="12">
        <f>IF('Données projet'!$A$140&gt;35,CT25+CS26-DB25,IF(A26&lt;'Données projet'!$A$140,$CQ$205^A26,IF(A26='Données projet'!$A$140,'Données projet'!$B$140,CT25+CS26-DB25)))</f>
        <v>39.739965273463824</v>
      </c>
      <c r="CU26" s="17">
        <f>CT26*VLOOKUP('Données projet'!$B$13,Paramètres!$A$1:$I$89,3,0)*VLOOKUP('Données projet'!$B$13,Paramètres!$A$1:$I$89,5,0)</f>
        <v>38.436494412494213</v>
      </c>
      <c r="CV26" s="13">
        <f t="shared" si="41"/>
        <v>11.583282839432428</v>
      </c>
      <c r="CW26" s="20">
        <f t="shared" si="13"/>
        <v>87.117778713772225</v>
      </c>
      <c r="CX26" s="59">
        <f t="shared" si="14"/>
        <v>310.60297542331875</v>
      </c>
      <c r="CY26" s="59">
        <f ca="1">AVERAGE(OFFSET($CX$3,0,0,'Données projet'!$E$13+1,1))-AVERAGE(OFFSET($H$3,0,0,'Données projet'!$E$13+1,1))</f>
        <v>445.01146841309549</v>
      </c>
      <c r="CZ26" s="59">
        <f t="shared" si="42"/>
        <v>315.40159257508969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20.658974358974358</v>
      </c>
      <c r="DO26" s="12">
        <f>IF('Données projet'!$A$166&gt;35,DO25+DN26-DW25,IF(A26&lt;'Données projet'!$A$166,$DL$205^A26,IF(A26='Données projet'!$A$166,'Données projet'!$B$166,DO25+DN26-DW25)))</f>
        <v>216.90256410256404</v>
      </c>
      <c r="DP26" s="17">
        <f>DO26*VLOOKUP('Données projet'!$B$14,Paramètres!$A$1:$I$89,3,0)*VLOOKUP('Données projet'!$B$14,Paramètres!$A$1:$I$89,5,0)</f>
        <v>121.2485333333333</v>
      </c>
      <c r="DQ26" s="13">
        <f t="shared" si="43"/>
        <v>31.966023537079113</v>
      </c>
      <c r="DR26" s="20">
        <f t="shared" si="16"/>
        <v>266.84868654930165</v>
      </c>
      <c r="DS26" s="59">
        <f t="shared" si="17"/>
        <v>490.33388325884812</v>
      </c>
      <c r="DT26" s="59">
        <f ca="1">AVERAGE(OFFSET($DS$3,0,0,'Données projet'!$E$14+1,1))-AVERAGE(OFFSET($H$3,0,0,'Données projet'!$E$14+1,1))</f>
        <v>349.00268383833668</v>
      </c>
      <c r="DU26" s="59">
        <f t="shared" si="44"/>
        <v>459.94854391583749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13.72171307888455</v>
      </c>
      <c r="EC26" s="21">
        <f>EXP(-LN(2)/2)*EC25+(1-EXP(-LN(2)/2))/(LN(2)/2)*DW26*DZ26*VLOOKUP('Données projet'!$B$14,Paramètres!$A$1:$I$89,3,0)*0.475*44/12</f>
        <v>3.410843906498124</v>
      </c>
      <c r="ED26" s="22">
        <f t="shared" si="18"/>
        <v>17.132556985382674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10.6</v>
      </c>
      <c r="EJ26" s="12">
        <f>IF('Données projet'!$A$192&gt;35,EJ25+EI26-ER25,IF(A26&lt;'Données projet'!$A$192,$EG$205^A26,IF(A26='Données projet'!$A$192,'Données projet'!$B$192,EJ25+EI26-ER25)))</f>
        <v>91.799999999999969</v>
      </c>
      <c r="EK26" s="17">
        <f>EJ26*VLOOKUP('Données projet'!$B$15,Paramètres!$A$1:$I$89,3,0)*VLOOKUP('Données projet'!$B$15,Paramètres!$A$1:$I$89,5,0)</f>
        <v>71.603999999999985</v>
      </c>
      <c r="EL26" s="13">
        <f t="shared" si="45"/>
        <v>20.071260561992585</v>
      </c>
      <c r="EM26" s="20">
        <f t="shared" si="19"/>
        <v>159.66774547880371</v>
      </c>
      <c r="EN26" s="59">
        <f t="shared" si="20"/>
        <v>383.15294218835021</v>
      </c>
      <c r="EO26" s="59">
        <f ca="1">AVERAGE(OFFSET($EN$3,0,0,'Données projet'!$E$15+1,1))-AVERAGE(OFFSET($H$3,0,0,'Données projet'!$E$15+1,1))</f>
        <v>308.82719216177946</v>
      </c>
      <c r="EP26" s="59">
        <f t="shared" si="46"/>
        <v>302.59481222418219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4.2479874404423397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4.2479874404423397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321.17892281340664</v>
      </c>
      <c r="S27" s="59">
        <f ca="1">AVERAGE(OFFSET($R$3,0,0,'Données projet'!$E$9+1,1))-AVERAGE(OFFSET($H$3,0,0,'Données projet'!$E$9+1,1))</f>
        <v>421.33534980160005</v>
      </c>
      <c r="T27" s="59">
        <f t="shared" si="34"/>
        <v>299.0473530693472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47.293022204154973</v>
      </c>
      <c r="AK27" s="13">
        <f t="shared" si="35"/>
        <v>13.912422373299071</v>
      </c>
      <c r="AL27" s="20">
        <f t="shared" si="4"/>
        <v>106.5994826390658</v>
      </c>
      <c r="AM27" s="59">
        <f t="shared" si="5"/>
        <v>332.37019082268557</v>
      </c>
      <c r="AN27" s="59">
        <f ca="1">AVERAGE(OFFSET($AM$3,0,0,'Données projet'!$E$10+1,1))-AVERAGE(OFFSET($H$3,0,0,'Données projet'!$E$10+1,1))</f>
        <v>462.74754756814662</v>
      </c>
      <c r="AO27" s="59">
        <f t="shared" si="36"/>
        <v>327.65191293226667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4.0628205128205126</v>
      </c>
      <c r="BD27" s="12">
        <f>IF('Données projet'!$A$88&gt;35,BD26+BC27-BL26,IF(A27&lt;'Données projet'!$A$88,$BA$205^A27,IF(A27='Données projet'!$A$88,'Données projet'!$B$88,BD26+BC27-BL26)))</f>
        <v>46.640061345320483</v>
      </c>
      <c r="BE27" s="13">
        <f>BD27*VLOOKUP('Données projet'!$B$11,Paramètres!$A$1:$I$89,3,0)*VLOOKUP('Données projet'!$B$11,Paramètres!$A$1:$I$89,5,0)</f>
        <v>31.286153150440978</v>
      </c>
      <c r="BF27" s="13">
        <f t="shared" si="37"/>
        <v>9.6570668895510785</v>
      </c>
      <c r="BG27" s="20">
        <f t="shared" si="7"/>
        <v>71.309441569652833</v>
      </c>
      <c r="BH27" s="59">
        <f t="shared" si="8"/>
        <v>297.08014975327262</v>
      </c>
      <c r="BI27" s="59">
        <f ca="1">AVERAGE(OFFSET($BH$3,0,0,'Données projet'!$E$11+1,1))-AVERAGE(OFFSET($H$3,0,0,'Données projet'!$E$11+1,1))</f>
        <v>332.21938212432008</v>
      </c>
      <c r="BJ27" s="59">
        <f t="shared" si="38"/>
        <v>237.47732529948181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44.382682376206972</v>
      </c>
      <c r="CA27" s="13">
        <f t="shared" si="39"/>
        <v>13.153155497870197</v>
      </c>
      <c r="CB27" s="20">
        <f t="shared" si="10"/>
        <v>100.20825096401774</v>
      </c>
      <c r="CC27" s="59">
        <f t="shared" si="11"/>
        <v>325.97895914763751</v>
      </c>
      <c r="CD27" s="59">
        <f ca="1">AVERAGE(OFFSET($CC$3,0,0,'Données projet'!$E$12+1,1))-AVERAGE(OFFSET($H$3,0,0,'Données projet'!$E$12+1,1))</f>
        <v>439.09551305860475</v>
      </c>
      <c r="CE27" s="59">
        <f t="shared" si="40"/>
        <v>311.31528017256846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4.0628205128205126</v>
      </c>
      <c r="CT27" s="12">
        <f>IF('Données projet'!$A$140&gt;35,CT26+CS27-DB26,IF(A27&lt;'Données projet'!$A$140,$CQ$205^A27,IF(A27='Données projet'!$A$140,'Données projet'!$B$140,CT26+CS27-DB26)))</f>
        <v>46.640061345320483</v>
      </c>
      <c r="CU27" s="17">
        <f>CT27*VLOOKUP('Données projet'!$B$13,Paramètres!$A$1:$I$89,3,0)*VLOOKUP('Données projet'!$B$13,Paramètres!$A$1:$I$89,5,0)</f>
        <v>45.110267333193974</v>
      </c>
      <c r="CV27" s="13">
        <f t="shared" si="41"/>
        <v>13.343501507878033</v>
      </c>
      <c r="CW27" s="20">
        <f t="shared" si="13"/>
        <v>101.80698073153373</v>
      </c>
      <c r="CX27" s="59">
        <f t="shared" si="14"/>
        <v>327.57768891515354</v>
      </c>
      <c r="CY27" s="59">
        <f ca="1">AVERAGE(OFFSET($CX$3,0,0,'Données projet'!$E$13+1,1))-AVERAGE(OFFSET($H$3,0,0,'Données projet'!$E$13+1,1))</f>
        <v>445.01146841309549</v>
      </c>
      <c r="CZ27" s="59">
        <f t="shared" si="42"/>
        <v>315.40159257508969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>
        <f>VLOOKUP(A27,'Données projet'!$A$165:$I$185,2,0)</f>
        <v>237.56153846153845</v>
      </c>
      <c r="DM27" s="12">
        <f>VLOOKUP(A27,'Données projet'!$A$165:$I$185,9,0)</f>
        <v>20.658974358974358</v>
      </c>
      <c r="DN27" s="12">
        <f t="array" ref="DN27">INDEX(DM:DM,MIN(IF(ISNUMBER(DM27:DM223),ROW(DM27:DM223),"")))</f>
        <v>20.658974358974358</v>
      </c>
      <c r="DO27" s="12">
        <f>IF('Données projet'!$A$166&gt;35,DO26+DN27-DW26,IF(A27&lt;'Données projet'!$A$166,$DL$205^A27,IF(A27='Données projet'!$A$166,'Données projet'!$B$166,DO26+DN27-DW26)))</f>
        <v>237.56153846153839</v>
      </c>
      <c r="DP27" s="17">
        <f>DO27*VLOOKUP('Données projet'!$B$14,Paramètres!$A$1:$I$89,3,0)*VLOOKUP('Données projet'!$B$14,Paramètres!$A$1:$I$89,5,0)</f>
        <v>132.79689999999997</v>
      </c>
      <c r="DQ27" s="13">
        <f t="shared" si="43"/>
        <v>34.641837967861036</v>
      </c>
      <c r="DR27" s="20">
        <f t="shared" si="16"/>
        <v>291.62246862735793</v>
      </c>
      <c r="DS27" s="59">
        <f t="shared" si="17"/>
        <v>517.39317681097771</v>
      </c>
      <c r="DT27" s="59">
        <f ca="1">AVERAGE(OFFSET($DS$3,0,0,'Données projet'!$E$14+1,1))-AVERAGE(OFFSET($H$3,0,0,'Données projet'!$E$14+1,1))</f>
        <v>349.00268383833668</v>
      </c>
      <c r="DU27" s="59">
        <f t="shared" si="44"/>
        <v>459.94854391583749</v>
      </c>
      <c r="DV27" s="15">
        <f>IF(ISNA(VLOOKUP(A27,'Données projet'!$A$165:$I$185,3,0)),0,VLOOKUP(A27,'Données projet'!$A$165:$I$185,3,0))</f>
        <v>2</v>
      </c>
      <c r="DW27" s="15">
        <f>IF(ISNA(VLOOKUP(A27,'Données projet'!$A$165:$I$185,4,0)),0,VLOOKUP(A27,'Données projet'!$A$165:$I$185,4,0))</f>
        <v>42.661538461538463</v>
      </c>
      <c r="DX27" s="16">
        <f>IF(ISNA(VLOOKUP(A27,'Données projet'!$A$165:$I$185,5,0)),0%,VLOOKUP(A27,'Données projet'!$A$165:$I$185,5,0)*VLOOKUP('Données projet'!$B$14,Paramètres!$A$1:$I$89,7,0))</f>
        <v>0.38500000000000001</v>
      </c>
      <c r="DY27" s="16">
        <f>IF(ISNA(VLOOKUP(A27,'Données projet'!$A$165:$I$185,6,0)),0%,VLOOKUP(A27,'Données projet'!$A$165:$I$185,6,0)*VLOOKUP('Données projet'!$B$14,Paramètres!$A$1:$I$89,7,0))</f>
        <v>9.240000000000001E-2</v>
      </c>
      <c r="DZ27" s="16">
        <f>IF(ISNA(VLOOKUP(A27,'Données projet'!$A$165:$I$185,7,0)),0%,VLOOKUP(A27,'Données projet'!$A$165:$I$185,7,0))</f>
        <v>0.13200000000000001</v>
      </c>
      <c r="EA27" s="21">
        <f>EXP(-LN(2)/35)*EA26+(1-EXP(-LN(2)/35))/(LN(2)/35)*DW27*DX27*VLOOKUP('Données projet'!$B$14,Paramètres!$A$1:$I$89,3,0)*0.475*44/12</f>
        <v>12.179722870865961</v>
      </c>
      <c r="EB27" s="21">
        <f>EXP(-LN(2)/25)*EB26+(1-EXP(-LN(2)/25))/(LN(2)/25)*Calculateur!DW27*Calculateur!DY27*VLOOKUP('Données projet'!$B$14,Paramètres!$A$1:$I$89,3,0)*0.475*44/12</f>
        <v>16.25811611180935</v>
      </c>
      <c r="EC27" s="21">
        <f>EXP(-LN(2)/2)*EC26+(1-EXP(-LN(2)/2))/(LN(2)/2)*DW27*DZ27*VLOOKUP('Données projet'!$B$14,Paramètres!$A$1:$I$89,3,0)*0.475*44/12</f>
        <v>5.9759957746672558</v>
      </c>
      <c r="ED27" s="22">
        <f t="shared" si="18"/>
        <v>34.413834757342563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10.6</v>
      </c>
      <c r="EJ27" s="12">
        <f>IF('Données projet'!$A$192&gt;35,EJ26+EI27-ER26,IF(A27&lt;'Données projet'!$A$192,$EG$205^A27,IF(A27='Données projet'!$A$192,'Données projet'!$B$192,EJ26+EI27-ER26)))</f>
        <v>102.39999999999996</v>
      </c>
      <c r="EK27" s="17">
        <f>EJ27*VLOOKUP('Données projet'!$B$15,Paramètres!$A$1:$I$89,3,0)*VLOOKUP('Données projet'!$B$15,Paramètres!$A$1:$I$89,5,0)</f>
        <v>79.871999999999971</v>
      </c>
      <c r="EL27" s="13">
        <f t="shared" si="45"/>
        <v>22.105884547145401</v>
      </c>
      <c r="EM27" s="20">
        <f t="shared" si="19"/>
        <v>177.61148225294485</v>
      </c>
      <c r="EN27" s="59">
        <f t="shared" si="20"/>
        <v>403.38219043656466</v>
      </c>
      <c r="EO27" s="59">
        <f ca="1">AVERAGE(OFFSET($EN$3,0,0,'Données projet'!$E$15+1,1))-AVERAGE(OFFSET($H$3,0,0,'Données projet'!$E$15+1,1))</f>
        <v>308.82719216177946</v>
      </c>
      <c r="EP27" s="59">
        <f t="shared" si="46"/>
        <v>302.59481222418219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4.1318260004914933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4.1318260004914933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339.53705545259567</v>
      </c>
      <c r="S28" s="59">
        <f ca="1">AVERAGE(OFFSET($R$3,0,0,'Données projet'!$E$9+1,1))-AVERAGE(OFFSET($H$3,0,0,'Données projet'!$E$9+1,1))</f>
        <v>421.33534980160005</v>
      </c>
      <c r="T28" s="59">
        <f t="shared" si="34"/>
        <v>299.0473530693472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55.504564275003808</v>
      </c>
      <c r="AK28" s="13">
        <f t="shared" si="35"/>
        <v>16.026581711739372</v>
      </c>
      <c r="AL28" s="20">
        <f t="shared" si="4"/>
        <v>124.58341259357769</v>
      </c>
      <c r="AM28" s="59">
        <f t="shared" si="5"/>
        <v>352.6211865599098</v>
      </c>
      <c r="AN28" s="59">
        <f ca="1">AVERAGE(OFFSET($AM$3,0,0,'Données projet'!$E$10+1,1))-AVERAGE(OFFSET($H$3,0,0,'Données projet'!$E$10+1,1))</f>
        <v>462.74754756814662</v>
      </c>
      <c r="AO28" s="59">
        <f t="shared" si="36"/>
        <v>327.65191293226667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4.0628205128205126</v>
      </c>
      <c r="BD28" s="12">
        <f>IF('Données projet'!$A$88&gt;35,BD27+BC28-BL27,IF(A28&lt;'Données projet'!$A$88,$BA$205^A28,IF(A28='Données projet'!$A$88,'Données projet'!$B$88,BD27+BC28-BL27)))</f>
        <v>54.738229068051083</v>
      </c>
      <c r="BE28" s="13">
        <f>BD28*VLOOKUP('Données projet'!$B$11,Paramètres!$A$1:$I$89,3,0)*VLOOKUP('Données projet'!$B$11,Paramètres!$A$1:$I$89,5,0)</f>
        <v>36.71840405884867</v>
      </c>
      <c r="BF28" s="13">
        <f t="shared" si="37"/>
        <v>11.124573956161623</v>
      </c>
      <c r="BG28" s="20">
        <f t="shared" si="7"/>
        <v>83.326520042809591</v>
      </c>
      <c r="BH28" s="59">
        <f t="shared" si="8"/>
        <v>311.3642940091417</v>
      </c>
      <c r="BI28" s="59">
        <f ca="1">AVERAGE(OFFSET($BH$3,0,0,'Données projet'!$E$11+1,1))-AVERAGE(OFFSET($H$3,0,0,'Données projet'!$E$11+1,1))</f>
        <v>332.21938212432008</v>
      </c>
      <c r="BJ28" s="59">
        <f t="shared" si="38"/>
        <v>237.47732529948181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52.088898781157418</v>
      </c>
      <c r="CA28" s="13">
        <f t="shared" si="39"/>
        <v>15.151935133769465</v>
      </c>
      <c r="CB28" s="20">
        <f t="shared" si="10"/>
        <v>117.11111906849764</v>
      </c>
      <c r="CC28" s="59">
        <f t="shared" si="11"/>
        <v>345.14889303482977</v>
      </c>
      <c r="CD28" s="59">
        <f ca="1">AVERAGE(OFFSET($CC$3,0,0,'Données projet'!$E$12+1,1))-AVERAGE(OFFSET($H$3,0,0,'Données projet'!$E$12+1,1))</f>
        <v>439.09551305860475</v>
      </c>
      <c r="CE28" s="59">
        <f t="shared" si="40"/>
        <v>311.31528017256846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4.0628205128205126</v>
      </c>
      <c r="CT28" s="12">
        <f>IF('Données projet'!$A$140&gt;35,CT27+CS28-DB27,IF(A28&lt;'Données projet'!$A$140,$CQ$205^A28,IF(A28='Données projet'!$A$140,'Données projet'!$B$140,CT27+CS28-DB27)))</f>
        <v>54.738229068051083</v>
      </c>
      <c r="CU28" s="17">
        <f>CT28*VLOOKUP('Données projet'!$B$13,Paramètres!$A$1:$I$89,3,0)*VLOOKUP('Données projet'!$B$13,Paramètres!$A$1:$I$89,5,0)</f>
        <v>52.942815154619012</v>
      </c>
      <c r="CV28" s="13">
        <f t="shared" si="41"/>
        <v>15.371206501547148</v>
      </c>
      <c r="CW28" s="20">
        <f t="shared" si="13"/>
        <v>118.9802543844894</v>
      </c>
      <c r="CX28" s="59">
        <f t="shared" si="14"/>
        <v>347.01802835082151</v>
      </c>
      <c r="CY28" s="59">
        <f ca="1">AVERAGE(OFFSET($CX$3,0,0,'Données projet'!$E$13+1,1))-AVERAGE(OFFSET($H$3,0,0,'Données projet'!$E$13+1,1))</f>
        <v>445.01146841309549</v>
      </c>
      <c r="CZ28" s="59">
        <f t="shared" si="42"/>
        <v>315.40159257508969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22.828205128205127</v>
      </c>
      <c r="DO28" s="12">
        <f>IF('Données projet'!$A$166&gt;35,DO27+DN28-DW27,IF(A28&lt;'Données projet'!$A$166,$DL$205^A28,IF(A28='Données projet'!$A$166,'Données projet'!$B$166,DO27+DN28-DW27)))</f>
        <v>217.72820512820502</v>
      </c>
      <c r="DP28" s="17">
        <f>DO28*VLOOKUP('Données projet'!$B$14,Paramètres!$A$1:$I$89,3,0)*VLOOKUP('Données projet'!$B$14,Paramètres!$A$1:$I$89,5,0)</f>
        <v>121.71006666666661</v>
      </c>
      <c r="DQ28" s="13">
        <f t="shared" si="43"/>
        <v>32.073515207801002</v>
      </c>
      <c r="DR28" s="20">
        <f t="shared" si="16"/>
        <v>267.83973843136442</v>
      </c>
      <c r="DS28" s="59">
        <f t="shared" si="17"/>
        <v>495.87751239769653</v>
      </c>
      <c r="DT28" s="59">
        <f ca="1">AVERAGE(OFFSET($DS$3,0,0,'Données projet'!$E$14+1,1))-AVERAGE(OFFSET($H$3,0,0,'Données projet'!$E$14+1,1))</f>
        <v>349.00268383833668</v>
      </c>
      <c r="DU28" s="59">
        <f t="shared" si="44"/>
        <v>459.94854391583749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11.940885934265687</v>
      </c>
      <c r="EB28" s="21">
        <f>EXP(-LN(2)/25)*EB27+(1-EXP(-LN(2)/25))/(LN(2)/25)*Calculateur!DW28*Calculateur!DY28*VLOOKUP('Données projet'!$B$14,Paramètres!$A$1:$I$89,3,0)*0.475*44/12</f>
        <v>15.813537071754755</v>
      </c>
      <c r="EC28" s="21">
        <f>EXP(-LN(2)/2)*EC27+(1-EXP(-LN(2)/2))/(LN(2)/2)*DW28*DZ28*VLOOKUP('Données projet'!$B$14,Paramètres!$A$1:$I$89,3,0)*0.475*44/12</f>
        <v>4.2256671366093723</v>
      </c>
      <c r="ED28" s="22">
        <f t="shared" si="18"/>
        <v>31.980090142629813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113</v>
      </c>
      <c r="EH28" s="12">
        <f>VLOOKUP(A28,'Données projet'!$A$191:$I$211,9,0)</f>
        <v>10.6</v>
      </c>
      <c r="EI28" s="12">
        <f t="array" ref="EI28">INDEX(EH:EH,MIN(IF(ISNUMBER(EH28:EH224),ROW(EH28:EH224),"")))</f>
        <v>10.6</v>
      </c>
      <c r="EJ28" s="12">
        <f>IF('Données projet'!$A$192&gt;35,EJ27+EI28-ER27,IF(A28&lt;'Données projet'!$A$192,$EG$205^A28,IF(A28='Données projet'!$A$192,'Données projet'!$B$192,EJ27+EI28-ER27)))</f>
        <v>112.99999999999996</v>
      </c>
      <c r="EK28" s="17">
        <f>EJ28*VLOOKUP('Données projet'!$B$15,Paramètres!$A$1:$I$89,3,0)*VLOOKUP('Données projet'!$B$15,Paramètres!$A$1:$I$89,5,0)</f>
        <v>88.139999999999972</v>
      </c>
      <c r="EL28" s="13">
        <f t="shared" si="45"/>
        <v>24.116094026318823</v>
      </c>
      <c r="EM28" s="20">
        <f t="shared" si="19"/>
        <v>195.51269709583855</v>
      </c>
      <c r="EN28" s="59">
        <f t="shared" si="20"/>
        <v>423.55047106217069</v>
      </c>
      <c r="EO28" s="59">
        <f ca="1">AVERAGE(OFFSET($EN$3,0,0,'Données projet'!$E$15+1,1))-AVERAGE(OFFSET($H$3,0,0,'Données projet'!$E$15+1,1))</f>
        <v>308.82719216177946</v>
      </c>
      <c r="EP28" s="59">
        <f t="shared" si="46"/>
        <v>302.59481222418219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0.215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9.0045919320944172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9.0045919320944172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360.59882567306897</v>
      </c>
      <c r="S29" s="59">
        <f ca="1">AVERAGE(OFFSET($R$3,0,0,'Données projet'!$E$9+1,1))-AVERAGE(OFFSET($H$3,0,0,'Données projet'!$E$9+1,1))</f>
        <v>421.33534980160005</v>
      </c>
      <c r="T29" s="59">
        <f t="shared" si="34"/>
        <v>299.0473530693472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65.141885880309971</v>
      </c>
      <c r="AK29" s="13">
        <f t="shared" si="35"/>
        <v>18.462012902656809</v>
      </c>
      <c r="AL29" s="20">
        <f t="shared" si="4"/>
        <v>145.61012371366715</v>
      </c>
      <c r="AM29" s="59">
        <f t="shared" si="5"/>
        <v>375.89683776285733</v>
      </c>
      <c r="AN29" s="59">
        <f ca="1">AVERAGE(OFFSET($AM$3,0,0,'Données projet'!$E$10+1,1))-AVERAGE(OFFSET($H$3,0,0,'Données projet'!$E$10+1,1))</f>
        <v>462.74754756814662</v>
      </c>
      <c r="AO29" s="59">
        <f t="shared" si="36"/>
        <v>327.65191293226667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4.0628205128205126</v>
      </c>
      <c r="BD29" s="12">
        <f>IF('Données projet'!$A$88&gt;35,BD28+BC29-BL28,IF(A29&lt;'Données projet'!$A$88,$BA$205^A29,IF(A29='Données projet'!$A$88,'Données projet'!$B$88,BD28+BC29-BL28)))</f>
        <v>64.242491006222849</v>
      </c>
      <c r="BE29" s="13">
        <f>BD29*VLOOKUP('Données projet'!$B$11,Paramètres!$A$1:$I$89,3,0)*VLOOKUP('Données projet'!$B$11,Paramètres!$A$1:$I$89,5,0)</f>
        <v>43.093862966974292</v>
      </c>
      <c r="BF29" s="13">
        <f t="shared" si="37"/>
        <v>12.815086311560426</v>
      </c>
      <c r="BG29" s="20">
        <f t="shared" si="7"/>
        <v>97.374753326781288</v>
      </c>
      <c r="BH29" s="59">
        <f t="shared" si="8"/>
        <v>327.66146737597148</v>
      </c>
      <c r="BI29" s="59">
        <f ca="1">AVERAGE(OFFSET($BH$3,0,0,'Données projet'!$E$11+1,1))-AVERAGE(OFFSET($H$3,0,0,'Données projet'!$E$11+1,1))</f>
        <v>332.21938212432008</v>
      </c>
      <c r="BJ29" s="59">
        <f t="shared" si="38"/>
        <v>237.47732529948181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61.133154441521668</v>
      </c>
      <c r="CA29" s="13">
        <f t="shared" si="39"/>
        <v>17.454453293366154</v>
      </c>
      <c r="CB29" s="20">
        <f t="shared" si="10"/>
        <v>136.87341680492963</v>
      </c>
      <c r="CC29" s="59">
        <f t="shared" si="11"/>
        <v>367.16013085411981</v>
      </c>
      <c r="CD29" s="59">
        <f ca="1">AVERAGE(OFFSET($CC$3,0,0,'Données projet'!$E$12+1,1))-AVERAGE(OFFSET($H$3,0,0,'Données projet'!$E$12+1,1))</f>
        <v>439.09551305860475</v>
      </c>
      <c r="CE29" s="59">
        <f t="shared" si="40"/>
        <v>311.31528017256846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4.0628205128205126</v>
      </c>
      <c r="CT29" s="12">
        <f>IF('Données projet'!$A$140&gt;35,CT28+CS29-DB28,IF(A29&lt;'Données projet'!$A$140,$CQ$205^A29,IF(A29='Données projet'!$A$140,'Données projet'!$B$140,CT28+CS29-DB28)))</f>
        <v>64.242491006222849</v>
      </c>
      <c r="CU29" s="17">
        <f>CT29*VLOOKUP('Données projet'!$B$13,Paramètres!$A$1:$I$89,3,0)*VLOOKUP('Données projet'!$B$13,Paramètres!$A$1:$I$89,5,0)</f>
        <v>62.13533730121874</v>
      </c>
      <c r="CV29" s="13">
        <f t="shared" si="41"/>
        <v>17.707045573735556</v>
      </c>
      <c r="CW29" s="20">
        <f t="shared" si="13"/>
        <v>139.0588168405454</v>
      </c>
      <c r="CX29" s="59">
        <f t="shared" si="14"/>
        <v>369.34553088973558</v>
      </c>
      <c r="CY29" s="59">
        <f ca="1">AVERAGE(OFFSET($CX$3,0,0,'Données projet'!$E$13+1,1))-AVERAGE(OFFSET($H$3,0,0,'Données projet'!$E$13+1,1))</f>
        <v>445.01146841309549</v>
      </c>
      <c r="CZ29" s="59">
        <f t="shared" si="42"/>
        <v>315.40159257508969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22.828205128205127</v>
      </c>
      <c r="DO29" s="12">
        <f>IF('Données projet'!$A$166&gt;35,DO28+DN29-DW28,IF(A29&lt;'Données projet'!$A$166,$DL$205^A29,IF(A29='Données projet'!$A$166,'Données projet'!$B$166,DO28+DN29-DW28)))</f>
        <v>240.55641025641015</v>
      </c>
      <c r="DP29" s="17">
        <f>DO29*VLOOKUP('Données projet'!$B$14,Paramètres!$A$1:$I$89,3,0)*VLOOKUP('Données projet'!$B$14,Paramètres!$A$1:$I$89,5,0)</f>
        <v>134.47103333333328</v>
      </c>
      <c r="DQ29" s="13">
        <f t="shared" si="43"/>
        <v>35.027441907439481</v>
      </c>
      <c r="DR29" s="20">
        <f t="shared" si="16"/>
        <v>295.20984437767919</v>
      </c>
      <c r="DS29" s="59">
        <f t="shared" si="17"/>
        <v>525.49655842686934</v>
      </c>
      <c r="DT29" s="59">
        <f ca="1">AVERAGE(OFFSET($DS$3,0,0,'Données projet'!$E$14+1,1))-AVERAGE(OFFSET($H$3,0,0,'Données projet'!$E$14+1,1))</f>
        <v>349.00268383833668</v>
      </c>
      <c r="DU29" s="59">
        <f t="shared" si="44"/>
        <v>459.94854391583749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11.706732444315998</v>
      </c>
      <c r="EB29" s="21">
        <f>EXP(-LN(2)/25)*EB28+(1-EXP(-LN(2)/25))/(LN(2)/25)*Calculateur!DW29*Calculateur!DY29*VLOOKUP('Données projet'!$B$14,Paramètres!$A$1:$I$89,3,0)*0.475*44/12</f>
        <v>15.38111506892985</v>
      </c>
      <c r="EC29" s="21">
        <f>EXP(-LN(2)/2)*EC28+(1-EXP(-LN(2)/2))/(LN(2)/2)*DW29*DZ29*VLOOKUP('Données projet'!$B$14,Paramètres!$A$1:$I$89,3,0)*0.475*44/12</f>
        <v>2.9879978873336284</v>
      </c>
      <c r="ED29" s="22">
        <f t="shared" si="18"/>
        <v>30.075845400579475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11.5</v>
      </c>
      <c r="EJ29" s="12">
        <f>IF('Données projet'!$A$192&gt;35,EJ28+EI29-ER28,IF(A29&lt;'Données projet'!$A$192,$EG$205^A29,IF(A29='Données projet'!$A$192,'Données projet'!$B$192,EJ28+EI29-ER28)))</f>
        <v>97.499999999999957</v>
      </c>
      <c r="EK29" s="17">
        <f>EJ29*VLOOKUP('Données projet'!$B$15,Paramètres!$A$1:$I$89,3,0)*VLOOKUP('Données projet'!$B$15,Paramètres!$A$1:$I$89,5,0)</f>
        <v>76.049999999999969</v>
      </c>
      <c r="EL29" s="13">
        <f t="shared" si="45"/>
        <v>21.168560890749262</v>
      </c>
      <c r="EM29" s="20">
        <f t="shared" si="19"/>
        <v>169.32232688472158</v>
      </c>
      <c r="EN29" s="59">
        <f t="shared" si="20"/>
        <v>399.60904093391173</v>
      </c>
      <c r="EO29" s="59">
        <f ca="1">AVERAGE(OFFSET($EN$3,0,0,'Données projet'!$E$15+1,1))-AVERAGE(OFFSET($H$3,0,0,'Données projet'!$E$15+1,1))</f>
        <v>308.82719216177946</v>
      </c>
      <c r="EP29" s="59">
        <f t="shared" si="46"/>
        <v>302.59481222418219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8.7583608921803862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8.7583608921803862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384.82616717909605</v>
      </c>
      <c r="S30" s="59">
        <f ca="1">AVERAGE(OFFSET($R$3,0,0,'Données projet'!$E$9+1,1))-AVERAGE(OFFSET($H$3,0,0,'Données projet'!$E$9+1,1))</f>
        <v>421.33534980160005</v>
      </c>
      <c r="T30" s="59">
        <f t="shared" si="34"/>
        <v>299.0473530693472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76.452546767480001</v>
      </c>
      <c r="AK30" s="13">
        <f t="shared" si="35"/>
        <v>21.267537054904178</v>
      </c>
      <c r="AL30" s="20">
        <f t="shared" si="4"/>
        <v>170.19581265731912</v>
      </c>
      <c r="AM30" s="59">
        <f t="shared" si="5"/>
        <v>402.71365552988266</v>
      </c>
      <c r="AN30" s="59">
        <f ca="1">AVERAGE(OFFSET($AM$3,0,0,'Données projet'!$E$10+1,1))-AVERAGE(OFFSET($H$3,0,0,'Données projet'!$E$10+1,1))</f>
        <v>462.74754756814662</v>
      </c>
      <c r="AO30" s="59">
        <f t="shared" si="36"/>
        <v>327.65191293226667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4.0628205128205126</v>
      </c>
      <c r="BD30" s="12">
        <f>IF('Données projet'!$A$88&gt;35,BD29+BC30-BL29,IF(A30&lt;'Données projet'!$A$88,$BA$205^A30,IF(A30='Données projet'!$A$88,'Données projet'!$B$88,BD29+BC30-BL29)))</f>
        <v>75.396988922564091</v>
      </c>
      <c r="BE30" s="13">
        <f>BD30*VLOOKUP('Données projet'!$B$11,Paramètres!$A$1:$I$89,3,0)*VLOOKUP('Données projet'!$B$11,Paramètres!$A$1:$I$89,5,0)</f>
        <v>50.576300169255994</v>
      </c>
      <c r="BF30" s="13">
        <f t="shared" si="37"/>
        <v>14.762492282392751</v>
      </c>
      <c r="BG30" s="20">
        <f t="shared" si="7"/>
        <v>113.79839685328822</v>
      </c>
      <c r="BH30" s="59">
        <f t="shared" si="8"/>
        <v>346.31623972585174</v>
      </c>
      <c r="BI30" s="59">
        <f ca="1">AVERAGE(OFFSET($BH$3,0,0,'Données projet'!$E$11+1,1))-AVERAGE(OFFSET($H$3,0,0,'Données projet'!$E$11+1,1))</f>
        <v>332.21938212432008</v>
      </c>
      <c r="BJ30" s="59">
        <f t="shared" si="38"/>
        <v>237.47732529948181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71.74777465871199</v>
      </c>
      <c r="CA30" s="13">
        <f t="shared" si="39"/>
        <v>20.106866686044771</v>
      </c>
      <c r="CB30" s="20">
        <f t="shared" si="10"/>
        <v>159.98016700878466</v>
      </c>
      <c r="CC30" s="59">
        <f t="shared" si="11"/>
        <v>392.49800988134814</v>
      </c>
      <c r="CD30" s="59">
        <f ca="1">AVERAGE(OFFSET($CC$3,0,0,'Données projet'!$E$12+1,1))-AVERAGE(OFFSET($H$3,0,0,'Données projet'!$E$12+1,1))</f>
        <v>439.09551305860475</v>
      </c>
      <c r="CE30" s="59">
        <f t="shared" si="40"/>
        <v>311.31528017256846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4.0628205128205126</v>
      </c>
      <c r="CT30" s="12">
        <f>IF('Données projet'!$A$140&gt;35,CT29+CS30-DB29,IF(A30&lt;'Données projet'!$A$140,$CQ$205^A30,IF(A30='Données projet'!$A$140,'Données projet'!$B$140,CT29+CS30-DB29)))</f>
        <v>75.396988922564091</v>
      </c>
      <c r="CU30" s="17">
        <f>CT30*VLOOKUP('Données projet'!$B$13,Paramètres!$A$1:$I$89,3,0)*VLOOKUP('Données projet'!$B$13,Paramètres!$A$1:$I$89,5,0)</f>
        <v>72.923967685903989</v>
      </c>
      <c r="CV30" s="13">
        <f t="shared" si="41"/>
        <v>20.397843391069493</v>
      </c>
      <c r="CW30" s="20">
        <f t="shared" si="13"/>
        <v>162.53548762572882</v>
      </c>
      <c r="CX30" s="59">
        <f t="shared" si="14"/>
        <v>395.05333049829233</v>
      </c>
      <c r="CY30" s="59">
        <f ca="1">AVERAGE(OFFSET($CX$3,0,0,'Données projet'!$E$13+1,1))-AVERAGE(OFFSET($H$3,0,0,'Données projet'!$E$13+1,1))</f>
        <v>445.01146841309549</v>
      </c>
      <c r="CZ30" s="59">
        <f t="shared" si="42"/>
        <v>315.40159257508969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22.828205128205127</v>
      </c>
      <c r="DO30" s="12">
        <f>IF('Données projet'!$A$166&gt;35,DO29+DN30-DW29,IF(A30&lt;'Données projet'!$A$166,$DL$205^A30,IF(A30='Données projet'!$A$166,'Données projet'!$B$166,DO29+DN30-DW29)))</f>
        <v>263.38461538461524</v>
      </c>
      <c r="DP30" s="17">
        <f>DO30*VLOOKUP('Données projet'!$B$14,Paramètres!$A$1:$I$89,3,0)*VLOOKUP('Données projet'!$B$14,Paramètres!$A$1:$I$89,5,0)</f>
        <v>147.23199999999994</v>
      </c>
      <c r="DQ30" s="13">
        <f t="shared" si="43"/>
        <v>37.948867426510738</v>
      </c>
      <c r="DR30" s="20">
        <f t="shared" si="16"/>
        <v>322.52334410117277</v>
      </c>
      <c r="DS30" s="59">
        <f t="shared" si="17"/>
        <v>555.04118697373633</v>
      </c>
      <c r="DT30" s="59">
        <f ca="1">AVERAGE(OFFSET($DS$3,0,0,'Données projet'!$E$14+1,1))-AVERAGE(OFFSET($H$3,0,0,'Données projet'!$E$14+1,1))</f>
        <v>349.00268383833668</v>
      </c>
      <c r="DU30" s="59">
        <f t="shared" si="44"/>
        <v>459.94854391583749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11.477170561484696</v>
      </c>
      <c r="EB30" s="21">
        <f>EXP(-LN(2)/25)*EB29+(1-EXP(-LN(2)/25))/(LN(2)/25)*Calculateur!DW30*Calculateur!DY30*VLOOKUP('Données projet'!$B$14,Paramètres!$A$1:$I$89,3,0)*0.475*44/12</f>
        <v>14.960517668512276</v>
      </c>
      <c r="EC30" s="21">
        <f>EXP(-LN(2)/2)*EC29+(1-EXP(-LN(2)/2))/(LN(2)/2)*DW30*DZ30*VLOOKUP('Données projet'!$B$14,Paramètres!$A$1:$I$89,3,0)*0.475*44/12</f>
        <v>2.1128335683046862</v>
      </c>
      <c r="ED30" s="22">
        <f t="shared" si="18"/>
        <v>28.550521798301659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11.5</v>
      </c>
      <c r="EJ30" s="12">
        <f>IF('Données projet'!$A$192&gt;35,EJ29+EI30-ER29,IF(A30&lt;'Données projet'!$A$192,$EG$205^A30,IF(A30='Données projet'!$A$192,'Données projet'!$B$192,EJ29+EI30-ER29)))</f>
        <v>108.99999999999996</v>
      </c>
      <c r="EK30" s="17">
        <f>EJ30*VLOOKUP('Données projet'!$B$15,Paramètres!$A$1:$I$89,3,0)*VLOOKUP('Données projet'!$B$15,Paramètres!$A$1:$I$89,5,0)</f>
        <v>85.019999999999968</v>
      </c>
      <c r="EL30" s="13">
        <f t="shared" si="45"/>
        <v>23.360218970693097</v>
      </c>
      <c r="EM30" s="20">
        <f t="shared" si="19"/>
        <v>188.76221470729038</v>
      </c>
      <c r="EN30" s="59">
        <f t="shared" si="20"/>
        <v>421.28005757985386</v>
      </c>
      <c r="EO30" s="59">
        <f ca="1">AVERAGE(OFFSET($EN$3,0,0,'Données projet'!$E$15+1,1))-AVERAGE(OFFSET($H$3,0,0,'Données projet'!$E$15+1,1))</f>
        <v>308.82719216177946</v>
      </c>
      <c r="EP30" s="59">
        <f t="shared" si="46"/>
        <v>302.59481222418219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8.5188630530015317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8.5188630530015317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412.75949364982785</v>
      </c>
      <c r="S31" s="59">
        <f ca="1">AVERAGE(OFFSET($R$3,0,0,'Données projet'!$E$9+1,1))-AVERAGE(OFFSET($H$3,0,0,'Données projet'!$E$9+1,1))</f>
        <v>421.33534980160005</v>
      </c>
      <c r="T31" s="59">
        <f t="shared" si="34"/>
        <v>299.0473530693472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89.72709076880507</v>
      </c>
      <c r="AK31" s="13">
        <f t="shared" si="35"/>
        <v>24.499394230010086</v>
      </c>
      <c r="AL31" s="20">
        <f t="shared" si="4"/>
        <v>198.94446137293639</v>
      </c>
      <c r="AM31" s="59">
        <f t="shared" si="5"/>
        <v>433.67593079492048</v>
      </c>
      <c r="AN31" s="59">
        <f ca="1">AVERAGE(OFFSET($AM$3,0,0,'Données projet'!$E$10+1,1))-AVERAGE(OFFSET($H$3,0,0,'Données projet'!$E$10+1,1))</f>
        <v>462.74754756814662</v>
      </c>
      <c r="AO31" s="59">
        <f t="shared" si="36"/>
        <v>327.65191293226667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4.0628205128205126</v>
      </c>
      <c r="BD31" s="12">
        <f>IF('Données projet'!$A$88&gt;35,BD30+BC31-BL30,IF(A31&lt;'Données projet'!$A$88,$BA$205^A31,IF(A31='Données projet'!$A$88,'Données projet'!$B$88,BD30+BC31-BL30)))</f>
        <v>88.488255196060223</v>
      </c>
      <c r="BE31" s="13">
        <f>BD31*VLOOKUP('Données projet'!$B$11,Paramètres!$A$1:$I$89,3,0)*VLOOKUP('Données projet'!$B$11,Paramètres!$A$1:$I$89,5,0)</f>
        <v>59.357921585517204</v>
      </c>
      <c r="BF31" s="13">
        <f t="shared" si="37"/>
        <v>17.005829932734116</v>
      </c>
      <c r="BG31" s="20">
        <f t="shared" si="7"/>
        <v>133.00020056095437</v>
      </c>
      <c r="BH31" s="59">
        <f t="shared" si="8"/>
        <v>367.73166998293846</v>
      </c>
      <c r="BI31" s="59">
        <f ca="1">AVERAGE(OFFSET($BH$3,0,0,'Données projet'!$E$11+1,1))-AVERAGE(OFFSET($H$3,0,0,'Données projet'!$E$11+1,1))</f>
        <v>332.21938212432008</v>
      </c>
      <c r="BJ31" s="59">
        <f t="shared" si="38"/>
        <v>237.47732529948181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84.205423644570914</v>
      </c>
      <c r="CA31" s="13">
        <f t="shared" si="39"/>
        <v>23.162346086430109</v>
      </c>
      <c r="CB31" s="20">
        <f t="shared" si="10"/>
        <v>186.99886561482674</v>
      </c>
      <c r="CC31" s="59">
        <f t="shared" si="11"/>
        <v>421.73033503681086</v>
      </c>
      <c r="CD31" s="59">
        <f ca="1">AVERAGE(OFFSET($CC$3,0,0,'Données projet'!$E$12+1,1))-AVERAGE(OFFSET($H$3,0,0,'Données projet'!$E$12+1,1))</f>
        <v>439.09551305860475</v>
      </c>
      <c r="CE31" s="59">
        <f t="shared" si="40"/>
        <v>311.31528017256846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4.0628205128205126</v>
      </c>
      <c r="CT31" s="12">
        <f>IF('Données projet'!$A$140&gt;35,CT30+CS31-DB30,IF(A31&lt;'Données projet'!$A$140,$CQ$205^A31,IF(A31='Données projet'!$A$140,'Données projet'!$B$140,CT30+CS31-DB30)))</f>
        <v>88.488255196060223</v>
      </c>
      <c r="CU31" s="17">
        <f>CT31*VLOOKUP('Données projet'!$B$13,Paramètres!$A$1:$I$89,3,0)*VLOOKUP('Données projet'!$B$13,Paramètres!$A$1:$I$89,5,0)</f>
        <v>85.585840425629442</v>
      </c>
      <c r="CV31" s="13">
        <f t="shared" si="41"/>
        <v>23.49754018952472</v>
      </c>
      <c r="CW31" s="20">
        <f t="shared" si="13"/>
        <v>189.98688790472684</v>
      </c>
      <c r="CX31" s="59">
        <f t="shared" si="14"/>
        <v>424.71835732671093</v>
      </c>
      <c r="CY31" s="59">
        <f ca="1">AVERAGE(OFFSET($CX$3,0,0,'Données projet'!$E$13+1,1))-AVERAGE(OFFSET($H$3,0,0,'Données projet'!$E$13+1,1))</f>
        <v>445.01146841309549</v>
      </c>
      <c r="CZ31" s="59">
        <f t="shared" si="42"/>
        <v>315.40159257508969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22.828205128205127</v>
      </c>
      <c r="DO31" s="12">
        <f>IF('Données projet'!$A$166&gt;35,DO30+DN31-DW30,IF(A31&lt;'Données projet'!$A$166,$DL$205^A31,IF(A31='Données projet'!$A$166,'Données projet'!$B$166,DO30+DN31-DW30)))</f>
        <v>286.21282051282037</v>
      </c>
      <c r="DP31" s="17">
        <f>DO31*VLOOKUP('Données projet'!$B$14,Paramètres!$A$1:$I$89,3,0)*VLOOKUP('Données projet'!$B$14,Paramètres!$A$1:$I$89,5,0)</f>
        <v>159.99296666666658</v>
      </c>
      <c r="DQ31" s="13">
        <f t="shared" si="43"/>
        <v>40.840929014671453</v>
      </c>
      <c r="DR31" s="20">
        <f t="shared" si="16"/>
        <v>349.785701644997</v>
      </c>
      <c r="DS31" s="59">
        <f t="shared" si="17"/>
        <v>584.51717106698106</v>
      </c>
      <c r="DT31" s="59">
        <f ca="1">AVERAGE(OFFSET($DS$3,0,0,'Données projet'!$E$14+1,1))-AVERAGE(OFFSET($H$3,0,0,'Données projet'!$E$14+1,1))</f>
        <v>349.00268383833668</v>
      </c>
      <c r="DU31" s="59">
        <f t="shared" si="44"/>
        <v>459.94854391583749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11.252110247156793</v>
      </c>
      <c r="EB31" s="21">
        <f>EXP(-LN(2)/25)*EB30+(1-EXP(-LN(2)/25))/(LN(2)/25)*Calculateur!DW31*Calculateur!DY31*VLOOKUP('Données projet'!$B$14,Paramètres!$A$1:$I$89,3,0)*0.475*44/12</f>
        <v>14.551421526127376</v>
      </c>
      <c r="EC31" s="21">
        <f>EXP(-LN(2)/2)*EC30+(1-EXP(-LN(2)/2))/(LN(2)/2)*DW31*DZ31*VLOOKUP('Données projet'!$B$14,Paramètres!$A$1:$I$89,3,0)*0.475*44/12</f>
        <v>1.4939989436668142</v>
      </c>
      <c r="ED31" s="22">
        <f t="shared" si="18"/>
        <v>27.297530716950984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11.5</v>
      </c>
      <c r="EJ31" s="12">
        <f>IF('Données projet'!$A$192&gt;35,EJ30+EI31-ER30,IF(A31&lt;'Données projet'!$A$192,$EG$205^A31,IF(A31='Données projet'!$A$192,'Données projet'!$B$192,EJ30+EI31-ER30)))</f>
        <v>120.49999999999996</v>
      </c>
      <c r="EK31" s="17">
        <f>EJ31*VLOOKUP('Données projet'!$B$15,Paramètres!$A$1:$I$89,3,0)*VLOOKUP('Données projet'!$B$15,Paramètres!$A$1:$I$89,5,0)</f>
        <v>93.989999999999966</v>
      </c>
      <c r="EL31" s="13">
        <f t="shared" si="45"/>
        <v>25.525074036970054</v>
      </c>
      <c r="EM31" s="20">
        <f t="shared" si="19"/>
        <v>208.15542061438944</v>
      </c>
      <c r="EN31" s="59">
        <f t="shared" si="20"/>
        <v>442.88689003637353</v>
      </c>
      <c r="EO31" s="59">
        <f ca="1">AVERAGE(OFFSET($EN$3,0,0,'Données projet'!$E$15+1,1))-AVERAGE(OFFSET($H$3,0,0,'Données projet'!$E$15+1,1))</f>
        <v>308.82719216177946</v>
      </c>
      <c r="EP31" s="59">
        <f t="shared" si="46"/>
        <v>302.59481222418219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8.2859142948296665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8.2859142948296665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445.03107317252352</v>
      </c>
      <c r="S32" s="59">
        <f ca="1">AVERAGE(OFFSET($R$3,0,0,'Données projet'!$E$9+1,1))-AVERAGE(OFFSET($H$3,0,0,'Données projet'!$E$9+1,1))</f>
        <v>421.33534980160005</v>
      </c>
      <c r="T32" s="59">
        <f t="shared" si="34"/>
        <v>299.0473530693472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105.30650917776822</v>
      </c>
      <c r="AK32" s="13">
        <f t="shared" si="35"/>
        <v>28.222370840964146</v>
      </c>
      <c r="AL32" s="20">
        <f t="shared" si="4"/>
        <v>232.56279936595885</v>
      </c>
      <c r="AM32" s="59">
        <f t="shared" si="5"/>
        <v>469.49069668873472</v>
      </c>
      <c r="AN32" s="59">
        <f ca="1">AVERAGE(OFFSET($AM$3,0,0,'Données projet'!$E$10+1,1))-AVERAGE(OFFSET($H$3,0,0,'Données projet'!$E$10+1,1))</f>
        <v>462.74754756814662</v>
      </c>
      <c r="AO32" s="59">
        <f t="shared" si="36"/>
        <v>327.65191293226667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4.0628205128205126</v>
      </c>
      <c r="BD32" s="12">
        <f>IF('Données projet'!$A$88&gt;35,BD31+BC32-BL31,IF(A32&lt;'Données projet'!$A$88,$BA$205^A32,IF(A32='Données projet'!$A$88,'Données projet'!$B$88,BD31+BC32-BL31)))</f>
        <v>103.85257315361756</v>
      </c>
      <c r="BE32" s="13">
        <f>BD32*VLOOKUP('Données projet'!$B$11,Paramètres!$A$1:$I$89,3,0)*VLOOKUP('Données projet'!$B$11,Paramètres!$A$1:$I$89,5,0)</f>
        <v>69.66430607144666</v>
      </c>
      <c r="BF32" s="13">
        <f t="shared" si="37"/>
        <v>19.590069628419247</v>
      </c>
      <c r="BG32" s="20">
        <f t="shared" si="7"/>
        <v>155.45137101059979</v>
      </c>
      <c r="BH32" s="59">
        <f t="shared" si="8"/>
        <v>392.37926833337565</v>
      </c>
      <c r="BI32" s="59">
        <f ca="1">AVERAGE(OFFSET($BH$3,0,0,'Données projet'!$E$11+1,1))-AVERAGE(OFFSET($H$3,0,0,'Données projet'!$E$11+1,1))</f>
        <v>332.21938212432008</v>
      </c>
      <c r="BJ32" s="59">
        <f t="shared" si="38"/>
        <v>237.47732529948181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98.826108612982466</v>
      </c>
      <c r="CA32" s="13">
        <f t="shared" si="39"/>
        <v>26.682142205673451</v>
      </c>
      <c r="CB32" s="20">
        <f t="shared" si="10"/>
        <v>218.59353684249234</v>
      </c>
      <c r="CC32" s="59">
        <f t="shared" si="11"/>
        <v>455.52143416526815</v>
      </c>
      <c r="CD32" s="59">
        <f ca="1">AVERAGE(OFFSET($CC$3,0,0,'Données projet'!$E$12+1,1))-AVERAGE(OFFSET($H$3,0,0,'Données projet'!$E$12+1,1))</f>
        <v>439.09551305860475</v>
      </c>
      <c r="CE32" s="59">
        <f t="shared" si="40"/>
        <v>311.31528017256846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4.0628205128205126</v>
      </c>
      <c r="CT32" s="12">
        <f>IF('Données projet'!$A$140&gt;35,CT31+CS32-DB31,IF(A32&lt;'Données projet'!$A$140,$CQ$205^A32,IF(A32='Données projet'!$A$140,'Données projet'!$B$140,CT31+CS32-DB31)))</f>
        <v>103.85257315361756</v>
      </c>
      <c r="CU32" s="17">
        <f>CT32*VLOOKUP('Données projet'!$B$13,Paramètres!$A$1:$I$89,3,0)*VLOOKUP('Données projet'!$B$13,Paramètres!$A$1:$I$89,5,0)</f>
        <v>100.4462087541789</v>
      </c>
      <c r="CV32" s="13">
        <f t="shared" si="41"/>
        <v>27.068273070478782</v>
      </c>
      <c r="CW32" s="20">
        <f t="shared" si="13"/>
        <v>222.0877225112788</v>
      </c>
      <c r="CX32" s="59">
        <f t="shared" si="14"/>
        <v>459.01561983405463</v>
      </c>
      <c r="CY32" s="59">
        <f ca="1">AVERAGE(OFFSET($CX$3,0,0,'Données projet'!$E$13+1,1))-AVERAGE(OFFSET($H$3,0,0,'Données projet'!$E$13+1,1))</f>
        <v>445.01146841309549</v>
      </c>
      <c r="CZ32" s="59">
        <f t="shared" si="42"/>
        <v>315.40159257508969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22.828205128205127</v>
      </c>
      <c r="DO32" s="12">
        <f>IF('Données projet'!$A$166&gt;35,DO31+DN32-DW31,IF(A32&lt;'Données projet'!$A$166,$DL$205^A32,IF(A32='Données projet'!$A$166,'Données projet'!$B$166,DO31+DN32-DW31)))</f>
        <v>309.0410256410255</v>
      </c>
      <c r="DP32" s="17">
        <f>DO32*VLOOKUP('Données projet'!$B$14,Paramètres!$A$1:$I$89,3,0)*VLOOKUP('Données projet'!$B$14,Paramètres!$A$1:$I$89,5,0)</f>
        <v>172.75393333333326</v>
      </c>
      <c r="DQ32" s="13">
        <f t="shared" si="43"/>
        <v>43.706234996805463</v>
      </c>
      <c r="DR32" s="20">
        <f t="shared" si="16"/>
        <v>377.00145984165829</v>
      </c>
      <c r="DS32" s="59">
        <f t="shared" si="17"/>
        <v>613.92935716443412</v>
      </c>
      <c r="DT32" s="59">
        <f ca="1">AVERAGE(OFFSET($DS$3,0,0,'Données projet'!$E$14+1,1))-AVERAGE(OFFSET($H$3,0,0,'Données projet'!$E$14+1,1))</f>
        <v>349.00268383833668</v>
      </c>
      <c r="DU32" s="59">
        <f t="shared" si="44"/>
        <v>459.94854391583749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11.031463228319623</v>
      </c>
      <c r="EB32" s="21">
        <f>EXP(-LN(2)/25)*EB31+(1-EXP(-LN(2)/25))/(LN(2)/25)*Calculateur!DW32*Calculateur!DY32*VLOOKUP('Données projet'!$B$14,Paramètres!$A$1:$I$89,3,0)*0.475*44/12</f>
        <v>14.153512139269422</v>
      </c>
      <c r="EC32" s="21">
        <f>EXP(-LN(2)/2)*EC31+(1-EXP(-LN(2)/2))/(LN(2)/2)*DW32*DZ32*VLOOKUP('Données projet'!$B$14,Paramètres!$A$1:$I$89,3,0)*0.475*44/12</f>
        <v>1.0564167841523431</v>
      </c>
      <c r="ED32" s="22">
        <f t="shared" si="18"/>
        <v>26.24139215174139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11.5</v>
      </c>
      <c r="EJ32" s="12">
        <f>IF('Données projet'!$A$192&gt;35,EJ31+EI32-ER31,IF(A32&lt;'Données projet'!$A$192,$EG$205^A32,IF(A32='Données projet'!$A$192,'Données projet'!$B$192,EJ31+EI32-ER31)))</f>
        <v>131.99999999999994</v>
      </c>
      <c r="EK32" s="17">
        <f>EJ32*VLOOKUP('Données projet'!$B$15,Paramètres!$A$1:$I$89,3,0)*VLOOKUP('Données projet'!$B$15,Paramètres!$A$1:$I$89,5,0)</f>
        <v>102.95999999999997</v>
      </c>
      <c r="EL32" s="13">
        <f t="shared" si="45"/>
        <v>27.665975080374633</v>
      </c>
      <c r="EM32" s="20">
        <f t="shared" si="19"/>
        <v>227.50690659831903</v>
      </c>
      <c r="EN32" s="59">
        <f t="shared" si="20"/>
        <v>464.43480392109484</v>
      </c>
      <c r="EO32" s="59">
        <f ca="1">AVERAGE(OFFSET($EN$3,0,0,'Données projet'!$E$15+1,1))-AVERAGE(OFFSET($H$3,0,0,'Données projet'!$E$15+1,1))</f>
        <v>308.82719216177946</v>
      </c>
      <c r="EP32" s="59">
        <f t="shared" si="46"/>
        <v>302.59481222418219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8.0593355327002545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8.0593355327002545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482.38068640268057</v>
      </c>
      <c r="S33" s="59">
        <f ca="1">AVERAGE(OFFSET($R$3,0,0,'Données projet'!$E$9+1,1))-AVERAGE(OFFSET($H$3,0,0,'Données projet'!$E$9+1,1))</f>
        <v>421.33534980160005</v>
      </c>
      <c r="T33" s="59">
        <f t="shared" si="34"/>
        <v>299.0473530693472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123.59099999999999</v>
      </c>
      <c r="AK33" s="13">
        <f t="shared" si="35"/>
        <v>32.511098372760657</v>
      </c>
      <c r="AL33" s="20">
        <f t="shared" si="4"/>
        <v>271.87782133255809</v>
      </c>
      <c r="AM33" s="59">
        <f t="shared" si="5"/>
        <v>510.98524626560004</v>
      </c>
      <c r="AN33" s="59">
        <f ca="1">AVERAGE(OFFSET($AM$3,0,0,'Données projet'!$E$10+1,1))-AVERAGE(OFFSET($H$3,0,0,'Données projet'!$E$10+1,1))</f>
        <v>462.74754756814662</v>
      </c>
      <c r="AO33" s="59">
        <f t="shared" si="36"/>
        <v>327.65191293226667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121.88461538461537</v>
      </c>
      <c r="BB33" s="12">
        <f>VLOOKUP(A33,'Données projet'!$A$87:$I$107,9,0)</f>
        <v>4.0628205128205126</v>
      </c>
      <c r="BC33" s="12">
        <f t="array" ref="BC33">INDEX(BB:BB,MIN(IF(ISNUMBER(BB33:BB229),ROW(BB33:BB229),"")))</f>
        <v>4.0628205128205126</v>
      </c>
      <c r="BD33" s="12">
        <f>IF('Données projet'!$A$88&gt;35,BD32+BC33-BL32,IF(A33&lt;'Données projet'!$A$88,$BA$205^A33,IF(A33='Données projet'!$A$88,'Données projet'!$B$88,BD32+BC33-BL32)))</f>
        <v>121.88461538461537</v>
      </c>
      <c r="BE33" s="13">
        <f>BD33*VLOOKUP('Données projet'!$B$11,Paramètres!$A$1:$I$89,3,0)*VLOOKUP('Données projet'!$B$11,Paramètres!$A$1:$I$89,5,0)</f>
        <v>81.760199999999998</v>
      </c>
      <c r="BF33" s="13">
        <f t="shared" si="37"/>
        <v>22.567015521400862</v>
      </c>
      <c r="BG33" s="20">
        <f t="shared" si="7"/>
        <v>181.70323369977314</v>
      </c>
      <c r="BH33" s="59">
        <f t="shared" si="8"/>
        <v>420.81065863281515</v>
      </c>
      <c r="BI33" s="59">
        <f ca="1">AVERAGE(OFFSET($BH$3,0,0,'Données projet'!$E$11+1,1))-AVERAGE(OFFSET($H$3,0,0,'Données projet'!$E$11+1,1))</f>
        <v>332.21938212432008</v>
      </c>
      <c r="BJ33" s="59">
        <f t="shared" si="38"/>
        <v>237.47732529948181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115.98539999999998</v>
      </c>
      <c r="CA33" s="13">
        <f t="shared" si="39"/>
        <v>30.736813534656417</v>
      </c>
      <c r="CB33" s="20">
        <f t="shared" si="10"/>
        <v>255.54118857285985</v>
      </c>
      <c r="CC33" s="59">
        <f t="shared" si="11"/>
        <v>494.64861350590184</v>
      </c>
      <c r="CD33" s="59">
        <f ca="1">AVERAGE(OFFSET($CC$3,0,0,'Données projet'!$E$12+1,1))-AVERAGE(OFFSET($H$3,0,0,'Données projet'!$E$12+1,1))</f>
        <v>439.09551305860475</v>
      </c>
      <c r="CE33" s="59">
        <f t="shared" si="40"/>
        <v>311.31528017256846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121.88461538461537</v>
      </c>
      <c r="CR33" s="12">
        <f>VLOOKUP(A33,'Données projet'!$A$139:$I$159,9,0)</f>
        <v>4.0628205128205126</v>
      </c>
      <c r="CS33" s="12">
        <f t="array" ref="CS33">INDEX(CR:CR,MIN(IF(ISNUMBER(CR33:CR229),ROW(CR33:CR229),"")))</f>
        <v>4.0628205128205126</v>
      </c>
      <c r="CT33" s="12">
        <f>IF('Données projet'!$A$140&gt;35,CT32+CS33-DB32,IF(A33&lt;'Données projet'!$A$140,$CQ$205^A33,IF(A33='Données projet'!$A$140,'Données projet'!$B$140,CT32+CS33-DB32)))</f>
        <v>121.88461538461537</v>
      </c>
      <c r="CU33" s="17">
        <f>CT33*VLOOKUP('Données projet'!$B$13,Paramètres!$A$1:$I$89,3,0)*VLOOKUP('Données projet'!$B$13,Paramètres!$A$1:$I$89,5,0)</f>
        <v>117.88679999999999</v>
      </c>
      <c r="CV33" s="13">
        <f t="shared" si="41"/>
        <v>31.181621612658997</v>
      </c>
      <c r="CW33" s="20">
        <f t="shared" si="13"/>
        <v>259.62750097538111</v>
      </c>
      <c r="CX33" s="59">
        <f t="shared" si="14"/>
        <v>498.73492590842307</v>
      </c>
      <c r="CY33" s="59">
        <f ca="1">AVERAGE(OFFSET($CX$3,0,0,'Données projet'!$E$13+1,1))-AVERAGE(OFFSET($H$3,0,0,'Données projet'!$E$13+1,1))</f>
        <v>445.01146841309549</v>
      </c>
      <c r="CZ33" s="59">
        <f t="shared" si="42"/>
        <v>315.40159257508969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331.86923076923074</v>
      </c>
      <c r="DM33" s="12">
        <f>VLOOKUP(A33,'Données projet'!$A$165:$I$185,9,0)</f>
        <v>22.828205128205127</v>
      </c>
      <c r="DN33" s="12">
        <f t="array" ref="DN33">INDEX(DM:DM,MIN(IF(ISNUMBER(DM33:DM229),ROW(DM33:DM229),"")))</f>
        <v>22.828205128205127</v>
      </c>
      <c r="DO33" s="12">
        <f>IF('Données projet'!$A$166&gt;35,DO32+DN33-DW32,IF(A33&lt;'Données projet'!$A$166,$DL$205^A33,IF(A33='Données projet'!$A$166,'Données projet'!$B$166,DO32+DN33-DW32)))</f>
        <v>331.86923076923063</v>
      </c>
      <c r="DP33" s="17">
        <f>DO33*VLOOKUP('Données projet'!$B$14,Paramètres!$A$1:$I$89,3,0)*VLOOKUP('Données projet'!$B$14,Paramètres!$A$1:$I$89,5,0)</f>
        <v>185.5148999999999</v>
      </c>
      <c r="DQ33" s="13">
        <f t="shared" si="43"/>
        <v>46.546986497298995</v>
      </c>
      <c r="DR33" s="20">
        <f t="shared" si="16"/>
        <v>404.17445231612891</v>
      </c>
      <c r="DS33" s="59">
        <f t="shared" si="17"/>
        <v>643.28187724917086</v>
      </c>
      <c r="DT33" s="59">
        <f ca="1">AVERAGE(OFFSET($DS$3,0,0,'Données projet'!$E$14+1,1))-AVERAGE(OFFSET($H$3,0,0,'Données projet'!$E$14+1,1))</f>
        <v>349.00268383833668</v>
      </c>
      <c r="DU33" s="59">
        <f t="shared" si="44"/>
        <v>459.94854391583749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65.669230769230765</v>
      </c>
      <c r="DX33" s="16">
        <f>IF(ISNA(VLOOKUP(A33,'Données projet'!$A$165:$I$185,5,0)),0%,VLOOKUP(A33,'Données projet'!$A$165:$I$185,5,0)*VLOOKUP('Données projet'!$B$14,Paramètres!$A$1:$I$89,7,0))</f>
        <v>0.38500000000000001</v>
      </c>
      <c r="DY33" s="16">
        <f>IF(ISNA(VLOOKUP(A33,'Données projet'!$A$165:$I$185,6,0)),0%,VLOOKUP(A33,'Données projet'!$A$165:$I$185,6,0)*VLOOKUP('Données projet'!$B$14,Paramètres!$A$1:$I$89,7,0))</f>
        <v>9.240000000000001E-2</v>
      </c>
      <c r="DZ33" s="16">
        <f>IF(ISNA(VLOOKUP(A33,'Données projet'!$A$165:$I$185,7,0)),0%,VLOOKUP(A33,'Données projet'!$A$165:$I$185,7,0))</f>
        <v>0.13200000000000001</v>
      </c>
      <c r="EA33" s="21">
        <f>EXP(-LN(2)/35)*EA32+(1-EXP(-LN(2)/35))/(LN(2)/35)*DW33*DX33*VLOOKUP('Données projet'!$B$14,Paramètres!$A$1:$I$89,3,0)*0.475*44/12</f>
        <v>29.563483054643072</v>
      </c>
      <c r="EB33" s="21">
        <f>EXP(-LN(2)/25)*EB32+(1-EXP(-LN(2)/25))/(LN(2)/25)*Calculateur!DW33*Calculateur!DY33*VLOOKUP('Données projet'!$B$14,Paramètres!$A$1:$I$89,3,0)*0.475*44/12</f>
        <v>18.248368581460394</v>
      </c>
      <c r="EC33" s="21">
        <f>EXP(-LN(2)/2)*EC32+(1-EXP(-LN(2)/2))/(LN(2)/2)*DW33*DZ33*VLOOKUP('Données projet'!$B$14,Paramètres!$A$1:$I$89,3,0)*0.475*44/12</f>
        <v>6.233345651406407</v>
      </c>
      <c r="ED33" s="22">
        <f t="shared" si="18"/>
        <v>54.045197287509879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11.5</v>
      </c>
      <c r="EJ33" s="12">
        <f>IF('Données projet'!$A$192&gt;35,EJ32+EI33-ER32,IF(A33&lt;'Données projet'!$A$192,$EG$205^A33,IF(A33='Données projet'!$A$192,'Données projet'!$B$192,EJ32+EI33-ER32)))</f>
        <v>143.49999999999994</v>
      </c>
      <c r="EK33" s="17">
        <f>EJ33*VLOOKUP('Données projet'!$B$15,Paramètres!$A$1:$I$89,3,0)*VLOOKUP('Données projet'!$B$15,Paramètres!$A$1:$I$89,5,0)</f>
        <v>111.92999999999996</v>
      </c>
      <c r="EL33" s="13">
        <f t="shared" si="45"/>
        <v>29.785246291563833</v>
      </c>
      <c r="EM33" s="20">
        <f t="shared" si="19"/>
        <v>246.82072062447358</v>
      </c>
      <c r="EN33" s="59">
        <f t="shared" si="20"/>
        <v>485.92814555751556</v>
      </c>
      <c r="EO33" s="59">
        <f ca="1">AVERAGE(OFFSET($EN$3,0,0,'Données projet'!$E$15+1,1))-AVERAGE(OFFSET($H$3,0,0,'Données projet'!$E$15+1,1))</f>
        <v>308.82719216177946</v>
      </c>
      <c r="EP33" s="59">
        <f t="shared" si="46"/>
        <v>302.59481222418219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7.8389525787365306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7.8389525787365306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498.99626389131151</v>
      </c>
      <c r="S34" s="59">
        <f ca="1">AVERAGE(OFFSET($R$3,0,0,'Données projet'!$E$9+1,1))-AVERAGE(OFFSET($H$3,0,0,'Données projet'!$E$9+1,1))</f>
        <v>421.33534980160005</v>
      </c>
      <c r="T34" s="59">
        <f t="shared" si="34"/>
        <v>299.0473530693472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8.0564102564102633</v>
      </c>
      <c r="AI34" s="13">
        <f>IF('Données projet'!$A$62&gt;35,AI33+AH34-AQ33,IF(A34&lt;'Données projet'!$A$62,$AF$205^A34,IF(A34='Données projet'!$A$62,'Données projet'!$B$62,AI33+AH34-AQ33)))</f>
        <v>129.94102564102565</v>
      </c>
      <c r="AJ34" s="13">
        <f>AI34*VLOOKUP('Données projet'!$B$10,Paramètres!$A$1:$I$89,3,0)*VLOOKUP('Données projet'!$B$10,Paramètres!$A$1:$I$89,5,0)</f>
        <v>131.76020000000003</v>
      </c>
      <c r="AK34" s="13">
        <f t="shared" si="35"/>
        <v>34.402770960054035</v>
      </c>
      <c r="AL34" s="20">
        <f t="shared" si="4"/>
        <v>289.40050775542744</v>
      </c>
      <c r="AM34" s="59">
        <f t="shared" si="5"/>
        <v>529.44863096824497</v>
      </c>
      <c r="AN34" s="59">
        <f ca="1">AVERAGE(OFFSET($AM$3,0,0,'Données projet'!$E$10+1,1))-AVERAGE(OFFSET($H$3,0,0,'Données projet'!$E$10+1,1))</f>
        <v>462.74754756814662</v>
      </c>
      <c r="AO34" s="59">
        <f t="shared" si="36"/>
        <v>327.65191293226667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8.0564102564102633</v>
      </c>
      <c r="BD34" s="12">
        <f>IF('Données projet'!$A$88&gt;35,BD33+BC34-BL33,IF(A34&lt;'Données projet'!$A$88,$BA$205^A34,IF(A34='Données projet'!$A$88,'Données projet'!$B$88,BD33+BC34-BL33)))</f>
        <v>129.94102564102565</v>
      </c>
      <c r="BE34" s="13">
        <f>BD34*VLOOKUP('Données projet'!$B$11,Paramètres!$A$1:$I$89,3,0)*VLOOKUP('Données projet'!$B$11,Paramètres!$A$1:$I$89,5,0)</f>
        <v>87.164439999999999</v>
      </c>
      <c r="BF34" s="13">
        <f t="shared" si="37"/>
        <v>23.880087265375693</v>
      </c>
      <c r="BG34" s="20">
        <f t="shared" si="7"/>
        <v>193.40255165386267</v>
      </c>
      <c r="BH34" s="59">
        <f t="shared" si="8"/>
        <v>433.45067486668023</v>
      </c>
      <c r="BI34" s="59">
        <f ca="1">AVERAGE(OFFSET($BH$3,0,0,'Données projet'!$E$11+1,1))-AVERAGE(OFFSET($H$3,0,0,'Données projet'!$E$11+1,1))</f>
        <v>332.21938212432008</v>
      </c>
      <c r="BJ34" s="59">
        <f t="shared" si="38"/>
        <v>237.47732529948181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8.0564102564102633</v>
      </c>
      <c r="BY34" s="12">
        <f>IF('Données projet'!$A$114&gt;35,BY33+BX34-CG33,IF(A34&lt;'Données projet'!$A$114,$BV$205^A34,IF(A34='Données projet'!$A$114,'Données projet'!$B$114,BY33+BX34-CG33)))</f>
        <v>129.94102564102565</v>
      </c>
      <c r="BZ34" s="13">
        <f>BY34*VLOOKUP('Données projet'!$B$12,Paramètres!$A$1:$I$89,3,0)*VLOOKUP('Données projet'!$B$12,Paramètres!$A$1:$I$89,5,0)</f>
        <v>123.65188000000001</v>
      </c>
      <c r="CA34" s="13">
        <f t="shared" si="39"/>
        <v>32.525248576671892</v>
      </c>
      <c r="CB34" s="20">
        <f t="shared" si="10"/>
        <v>272.00849893770356</v>
      </c>
      <c r="CC34" s="59">
        <f t="shared" si="11"/>
        <v>512.05662215052109</v>
      </c>
      <c r="CD34" s="59">
        <f ca="1">AVERAGE(OFFSET($CC$3,0,0,'Données projet'!$E$12+1,1))-AVERAGE(OFFSET($H$3,0,0,'Données projet'!$E$12+1,1))</f>
        <v>439.09551305860475</v>
      </c>
      <c r="CE34" s="59">
        <f t="shared" si="40"/>
        <v>311.31528017256846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8.0564102564102633</v>
      </c>
      <c r="CT34" s="12">
        <f>IF('Données projet'!$A$140&gt;35,CT33+CS34-DB33,IF(A34&lt;'Données projet'!$A$140,$CQ$205^A34,IF(A34='Données projet'!$A$140,'Données projet'!$B$140,CT33+CS34-DB33)))</f>
        <v>129.94102564102565</v>
      </c>
      <c r="CU34" s="17">
        <f>CT34*VLOOKUP('Données projet'!$B$13,Paramètres!$A$1:$I$89,3,0)*VLOOKUP('Données projet'!$B$13,Paramètres!$A$1:$I$89,5,0)</f>
        <v>125.67896</v>
      </c>
      <c r="CV34" s="13">
        <f t="shared" si="41"/>
        <v>32.995938008731372</v>
      </c>
      <c r="CW34" s="20">
        <f t="shared" si="13"/>
        <v>276.35878069854044</v>
      </c>
      <c r="CX34" s="59">
        <f t="shared" si="14"/>
        <v>516.40690391135797</v>
      </c>
      <c r="CY34" s="59">
        <f ca="1">AVERAGE(OFFSET($CX$3,0,0,'Données projet'!$E$13+1,1))-AVERAGE(OFFSET($H$3,0,0,'Données projet'!$E$13+1,1))</f>
        <v>445.01146841309549</v>
      </c>
      <c r="CZ34" s="59">
        <f t="shared" si="42"/>
        <v>315.40159257508969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22.884615384615397</v>
      </c>
      <c r="DO34" s="12">
        <f>IF('Données projet'!$A$166&gt;35,DO33+DN34-DW33,IF(A34&lt;'Données projet'!$A$166,$DL$205^A34,IF(A34='Données projet'!$A$166,'Données projet'!$B$166,DO33+DN34-DW33)))</f>
        <v>289.08461538461529</v>
      </c>
      <c r="DP34" s="17">
        <f>DO34*VLOOKUP('Données projet'!$B$14,Paramètres!$A$1:$I$89,3,0)*VLOOKUP('Données projet'!$B$14,Paramètres!$A$1:$I$89,5,0)</f>
        <v>161.59829999999994</v>
      </c>
      <c r="DQ34" s="13">
        <f t="shared" si="43"/>
        <v>41.202807619439731</v>
      </c>
      <c r="DR34" s="20">
        <f t="shared" si="16"/>
        <v>353.21192910385736</v>
      </c>
      <c r="DS34" s="59">
        <f t="shared" si="17"/>
        <v>593.26005231667489</v>
      </c>
      <c r="DT34" s="59">
        <f ca="1">AVERAGE(OFFSET($DS$3,0,0,'Données projet'!$E$14+1,1))-AVERAGE(OFFSET($H$3,0,0,'Données projet'!$E$14+1,1))</f>
        <v>349.00268383833668</v>
      </c>
      <c r="DU34" s="59">
        <f t="shared" si="44"/>
        <v>459.94854391583749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28.983761183885679</v>
      </c>
      <c r="EB34" s="21">
        <f>EXP(-LN(2)/25)*EB33+(1-EXP(-LN(2)/25))/(LN(2)/25)*Calculateur!DW34*Calculateur!DY34*VLOOKUP('Données projet'!$B$14,Paramètres!$A$1:$I$89,3,0)*0.475*44/12</f>
        <v>17.749365982960363</v>
      </c>
      <c r="EC34" s="21">
        <f>EXP(-LN(2)/2)*EC33+(1-EXP(-LN(2)/2))/(LN(2)/2)*DW34*DZ34*VLOOKUP('Données projet'!$B$14,Paramètres!$A$1:$I$89,3,0)*0.475*44/12</f>
        <v>4.4076409795891482</v>
      </c>
      <c r="ED34" s="22">
        <f t="shared" si="18"/>
        <v>51.140768146435192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155</v>
      </c>
      <c r="EH34" s="12">
        <f>VLOOKUP(A34,'Données projet'!$A$191:$I$211,9,0)</f>
        <v>11.5</v>
      </c>
      <c r="EI34" s="12">
        <f t="array" ref="EI34">INDEX(EH:EH,MIN(IF(ISNUMBER(EH34:EH230),ROW(EH34:EH230),"")))</f>
        <v>11.5</v>
      </c>
      <c r="EJ34" s="12">
        <f>IF('Données projet'!$A$192&gt;35,EJ33+EI34-ER33,IF(A34&lt;'Données projet'!$A$192,$EG$205^A34,IF(A34='Données projet'!$A$192,'Données projet'!$B$192,EJ33+EI34-ER33)))</f>
        <v>154.99999999999994</v>
      </c>
      <c r="EK34" s="17">
        <f>EJ34*VLOOKUP('Données projet'!$B$15,Paramètres!$A$1:$I$89,3,0)*VLOOKUP('Données projet'!$B$15,Paramètres!$A$1:$I$89,5,0)</f>
        <v>120.89999999999996</v>
      </c>
      <c r="EL34" s="13">
        <f t="shared" si="45"/>
        <v>31.884818143351602</v>
      </c>
      <c r="EM34" s="20">
        <f t="shared" si="19"/>
        <v>266.10022493300397</v>
      </c>
      <c r="EN34" s="59">
        <f t="shared" si="20"/>
        <v>506.1483481458215</v>
      </c>
      <c r="EO34" s="59">
        <f ca="1">AVERAGE(OFFSET($EN$3,0,0,'Données projet'!$E$15+1,1))-AVERAGE(OFFSET($H$3,0,0,'Données projet'!$E$15+1,1))</f>
        <v>308.82719216177946</v>
      </c>
      <c r="EP34" s="59">
        <f t="shared" si="46"/>
        <v>302.59481222418219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35</v>
      </c>
      <c r="ES34" s="16">
        <f>IF(ISNA(VLOOKUP(A34,'Données projet'!$A$191:$I$211,5,0)),0%,VLOOKUP(A34,'Données projet'!$A$191:$I$211,5,0)*VLOOKUP('Données projet'!$B$15,Paramètres!$A$1:$I$89,7,0))</f>
        <v>0.129</v>
      </c>
      <c r="ET34" s="16">
        <f>IF(ISNA(VLOOKUP(A34,'Données projet'!$A$191:$I$211,6,0)),0%,VLOOKUP(A34,'Données projet'!$A$191:$I$211,6,0)*VLOOKUP('Données projet'!$B$15,Paramètres!$A$1:$I$89,7,0))</f>
        <v>0.17200000000000001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3.8931350356011905</v>
      </c>
      <c r="EW34" s="21">
        <f>EXP(-LN(2)/25)*EW33+(1-EXP(-LN(2)/25))/(LN(2)/25)*Calculateur!ER34*Calculateur!ET34*VLOOKUP('Données projet'!$B$15,Paramètres!$A$1:$I$89,3,0)*0.475*44/12</f>
        <v>12.795004380992092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16.68813941659328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515.57408548787305</v>
      </c>
      <c r="S35" s="59">
        <f ca="1">AVERAGE(OFFSET($R$3,0,0,'Données projet'!$E$9+1,1))-AVERAGE(OFFSET($H$3,0,0,'Données projet'!$E$9+1,1))</f>
        <v>421.33534980160005</v>
      </c>
      <c r="T35" s="59">
        <f t="shared" si="34"/>
        <v>299.0473530693472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8.0564102564102633</v>
      </c>
      <c r="AI35" s="13">
        <f>IF('Données projet'!$A$62&gt;35,AI34+AH35-AQ34,IF(A35&lt;'Données projet'!$A$62,$AF$205^A35,IF(A35='Données projet'!$A$62,'Données projet'!$B$62,AI34+AH35-AQ34)))</f>
        <v>137.99743589743591</v>
      </c>
      <c r="AJ35" s="13">
        <f>AI35*VLOOKUP('Données projet'!$B$10,Paramètres!$A$1:$I$89,3,0)*VLOOKUP('Données projet'!$B$10,Paramètres!$A$1:$I$89,5,0)</f>
        <v>139.92940000000002</v>
      </c>
      <c r="AK35" s="13">
        <f t="shared" si="35"/>
        <v>36.280831551634627</v>
      </c>
      <c r="AL35" s="20">
        <f t="shared" si="4"/>
        <v>306.89948661909699</v>
      </c>
      <c r="AM35" s="59">
        <f t="shared" si="5"/>
        <v>547.87198909962228</v>
      </c>
      <c r="AN35" s="59">
        <f ca="1">AVERAGE(OFFSET($AM$3,0,0,'Données projet'!$E$10+1,1))-AVERAGE(OFFSET($H$3,0,0,'Données projet'!$E$10+1,1))</f>
        <v>462.74754756814662</v>
      </c>
      <c r="AO35" s="59">
        <f t="shared" si="36"/>
        <v>327.65191293226667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8.0564102564102633</v>
      </c>
      <c r="BD35" s="12">
        <f>IF('Données projet'!$A$88&gt;35,BD34+BC35-BL34,IF(A35&lt;'Données projet'!$A$88,$BA$205^A35,IF(A35='Données projet'!$A$88,'Données projet'!$B$88,BD34+BC35-BL34)))</f>
        <v>137.99743589743591</v>
      </c>
      <c r="BE35" s="13">
        <f>BD35*VLOOKUP('Données projet'!$B$11,Paramètres!$A$1:$I$89,3,0)*VLOOKUP('Données projet'!$B$11,Paramètres!$A$1:$I$89,5,0)</f>
        <v>92.568680000000001</v>
      </c>
      <c r="BF35" s="13">
        <f t="shared" si="37"/>
        <v>25.183710478421006</v>
      </c>
      <c r="BG35" s="20">
        <f t="shared" si="7"/>
        <v>205.08541341658324</v>
      </c>
      <c r="BH35" s="59">
        <f t="shared" si="8"/>
        <v>446.05791589710856</v>
      </c>
      <c r="BI35" s="59">
        <f ca="1">AVERAGE(OFFSET($BH$3,0,0,'Données projet'!$E$11+1,1))-AVERAGE(OFFSET($H$3,0,0,'Données projet'!$E$11+1,1))</f>
        <v>332.21938212432008</v>
      </c>
      <c r="BJ35" s="59">
        <f t="shared" si="38"/>
        <v>237.47732529948181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8.0564102564102633</v>
      </c>
      <c r="BY35" s="12">
        <f>IF('Données projet'!$A$114&gt;35,BY34+BX35-CG34,IF(A35&lt;'Données projet'!$A$114,$BV$205^A35,IF(A35='Données projet'!$A$114,'Données projet'!$B$114,BY34+BX35-CG34)))</f>
        <v>137.99743589743591</v>
      </c>
      <c r="BZ35" s="13">
        <f>BY35*VLOOKUP('Données projet'!$B$12,Paramètres!$A$1:$I$89,3,0)*VLOOKUP('Données projet'!$B$12,Paramètres!$A$1:$I$89,5,0)</f>
        <v>131.31836000000001</v>
      </c>
      <c r="CA35" s="13">
        <f t="shared" si="39"/>
        <v>34.300814494142202</v>
      </c>
      <c r="CB35" s="20">
        <f t="shared" si="10"/>
        <v>288.45339557729767</v>
      </c>
      <c r="CC35" s="59">
        <f t="shared" si="11"/>
        <v>529.42589805782302</v>
      </c>
      <c r="CD35" s="59">
        <f ca="1">AVERAGE(OFFSET($CC$3,0,0,'Données projet'!$E$12+1,1))-AVERAGE(OFFSET($H$3,0,0,'Données projet'!$E$12+1,1))</f>
        <v>439.09551305860475</v>
      </c>
      <c r="CE35" s="59">
        <f t="shared" si="40"/>
        <v>311.31528017256846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8.0564102564102633</v>
      </c>
      <c r="CT35" s="12">
        <f>IF('Données projet'!$A$140&gt;35,CT34+CS35-DB34,IF(A35&lt;'Données projet'!$A$140,$CQ$205^A35,IF(A35='Données projet'!$A$140,'Données projet'!$B$140,CT34+CS35-DB34)))</f>
        <v>137.99743589743591</v>
      </c>
      <c r="CU35" s="17">
        <f>CT35*VLOOKUP('Données projet'!$B$13,Paramètres!$A$1:$I$89,3,0)*VLOOKUP('Données projet'!$B$13,Paramètres!$A$1:$I$89,5,0)</f>
        <v>133.47112000000001</v>
      </c>
      <c r="CV35" s="13">
        <f t="shared" si="41"/>
        <v>34.797199044605101</v>
      </c>
      <c r="CW35" s="20">
        <f t="shared" si="13"/>
        <v>293.0673223360206</v>
      </c>
      <c r="CX35" s="59">
        <f t="shared" si="14"/>
        <v>534.03982481654589</v>
      </c>
      <c r="CY35" s="59">
        <f ca="1">AVERAGE(OFFSET($CX$3,0,0,'Données projet'!$E$13+1,1))-AVERAGE(OFFSET($H$3,0,0,'Données projet'!$E$13+1,1))</f>
        <v>445.01146841309549</v>
      </c>
      <c r="CZ35" s="59">
        <f t="shared" si="42"/>
        <v>315.40159257508969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22.884615384615397</v>
      </c>
      <c r="DO35" s="12">
        <f>IF('Données projet'!$A$166&gt;35,DO34+DN35-DW34,IF(A35&lt;'Données projet'!$A$166,$DL$205^A35,IF(A35='Données projet'!$A$166,'Données projet'!$B$166,DO34+DN35-DW34)))</f>
        <v>311.96923076923071</v>
      </c>
      <c r="DP35" s="17">
        <f>DO35*VLOOKUP('Données projet'!$B$14,Paramètres!$A$1:$I$89,3,0)*VLOOKUP('Données projet'!$B$14,Paramètres!$A$1:$I$89,5,0)</f>
        <v>174.39079999999996</v>
      </c>
      <c r="DQ35" s="13">
        <f t="shared" si="43"/>
        <v>44.071952499783528</v>
      </c>
      <c r="DR35" s="20">
        <f t="shared" si="16"/>
        <v>380.48929393712291</v>
      </c>
      <c r="DS35" s="59">
        <f t="shared" si="17"/>
        <v>621.4617964176482</v>
      </c>
      <c r="DT35" s="59">
        <f ca="1">AVERAGE(OFFSET($DS$3,0,0,'Données projet'!$E$14+1,1))-AVERAGE(OFFSET($H$3,0,0,'Données projet'!$E$14+1,1))</f>
        <v>349.00268383833668</v>
      </c>
      <c r="DU35" s="59">
        <f t="shared" si="44"/>
        <v>459.94854391583749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28.415407305418412</v>
      </c>
      <c r="EB35" s="21">
        <f>EXP(-LN(2)/25)*EB34+(1-EXP(-LN(2)/25))/(LN(2)/25)*Calculateur!DW35*Calculateur!DY35*VLOOKUP('Données projet'!$B$14,Paramètres!$A$1:$I$89,3,0)*0.475*44/12</f>
        <v>17.264008636757723</v>
      </c>
      <c r="EC35" s="21">
        <f>EXP(-LN(2)/2)*EC34+(1-EXP(-LN(2)/2))/(LN(2)/2)*DW35*DZ35*VLOOKUP('Données projet'!$B$14,Paramètres!$A$1:$I$89,3,0)*0.475*44/12</f>
        <v>3.1166728257032039</v>
      </c>
      <c r="ED35" s="22">
        <f t="shared" si="18"/>
        <v>48.79608876787934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11.333333333333334</v>
      </c>
      <c r="EJ35" s="12">
        <f>IF('Données projet'!$A$192&gt;35,EJ34+EI35-ER34,IF(A35&lt;'Données projet'!$A$192,$EG$205^A35,IF(A35='Données projet'!$A$192,'Données projet'!$B$192,EJ34+EI35-ER34)))</f>
        <v>131.33333333333329</v>
      </c>
      <c r="EK35" s="17">
        <f>EJ35*VLOOKUP('Données projet'!$B$15,Paramètres!$A$1:$I$89,3,0)*VLOOKUP('Données projet'!$B$15,Paramètres!$A$1:$I$89,5,0)</f>
        <v>102.43999999999997</v>
      </c>
      <c r="EL35" s="13">
        <f t="shared" si="45"/>
        <v>27.542475814398081</v>
      </c>
      <c r="EM35" s="20">
        <f t="shared" si="19"/>
        <v>226.38614537674326</v>
      </c>
      <c r="EN35" s="59">
        <f t="shared" si="20"/>
        <v>467.35864785726858</v>
      </c>
      <c r="EO35" s="59">
        <f ca="1">AVERAGE(OFFSET($EN$3,0,0,'Données projet'!$E$15+1,1))-AVERAGE(OFFSET($H$3,0,0,'Données projet'!$E$15+1,1))</f>
        <v>308.82719216177946</v>
      </c>
      <c r="EP35" s="59">
        <f t="shared" si="46"/>
        <v>302.59481222418219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3.8167930321309527</v>
      </c>
      <c r="EW35" s="21">
        <f>EXP(-LN(2)/25)*EW34+(1-EXP(-LN(2)/25))/(LN(2)/25)*Calculateur!ER35*Calculateur!ET35*VLOOKUP('Données projet'!$B$15,Paramètres!$A$1:$I$89,3,0)*0.475*44/12</f>
        <v>12.445124313333826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16.261917345464781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532.11582836197886</v>
      </c>
      <c r="S36" s="59">
        <f ca="1">AVERAGE(OFFSET($R$3,0,0,'Données projet'!$E$9+1,1))-AVERAGE(OFFSET($H$3,0,0,'Données projet'!$E$9+1,1))</f>
        <v>421.33534980160005</v>
      </c>
      <c r="T36" s="59">
        <f t="shared" si="34"/>
        <v>299.0473530693472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8.0564102564102633</v>
      </c>
      <c r="AI36" s="13">
        <f>IF('Données projet'!$A$62&gt;35,AI35+AH36-AQ35,IF(A36&lt;'Données projet'!$A$62,$AF$205^A36,IF(A36='Données projet'!$A$62,'Données projet'!$B$62,AI35+AH36-AQ35)))</f>
        <v>146.05384615384617</v>
      </c>
      <c r="AJ36" s="13">
        <f>AI36*VLOOKUP('Données projet'!$B$10,Paramètres!$A$1:$I$89,3,0)*VLOOKUP('Données projet'!$B$10,Paramètres!$A$1:$I$89,5,0)</f>
        <v>148.09860000000003</v>
      </c>
      <c r="AK36" s="13">
        <f t="shared" si="35"/>
        <v>38.146165355224731</v>
      </c>
      <c r="AL36" s="20">
        <f t="shared" si="4"/>
        <v>324.37629966034979</v>
      </c>
      <c r="AM36" s="59">
        <f t="shared" si="5"/>
        <v>566.25714549489055</v>
      </c>
      <c r="AN36" s="59">
        <f ca="1">AVERAGE(OFFSET($AM$3,0,0,'Données projet'!$E$10+1,1))-AVERAGE(OFFSET($H$3,0,0,'Données projet'!$E$10+1,1))</f>
        <v>462.74754756814662</v>
      </c>
      <c r="AO36" s="59">
        <f t="shared" si="36"/>
        <v>327.65191293226667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8.0564102564102633</v>
      </c>
      <c r="BD36" s="12">
        <f>IF('Données projet'!$A$88&gt;35,BD35+BC36-BL35,IF(A36&lt;'Données projet'!$A$88,$BA$205^A36,IF(A36='Données projet'!$A$88,'Données projet'!$B$88,BD35+BC36-BL35)))</f>
        <v>146.05384615384617</v>
      </c>
      <c r="BE36" s="13">
        <f>BD36*VLOOKUP('Données projet'!$B$11,Paramètres!$A$1:$I$89,3,0)*VLOOKUP('Données projet'!$B$11,Paramètres!$A$1:$I$89,5,0)</f>
        <v>97.972920000000002</v>
      </c>
      <c r="BF36" s="13">
        <f t="shared" si="37"/>
        <v>26.478499612136673</v>
      </c>
      <c r="BG36" s="20">
        <f t="shared" si="7"/>
        <v>216.7528891578047</v>
      </c>
      <c r="BH36" s="59">
        <f t="shared" si="8"/>
        <v>458.63373499234547</v>
      </c>
      <c r="BI36" s="59">
        <f ca="1">AVERAGE(OFFSET($BH$3,0,0,'Données projet'!$E$11+1,1))-AVERAGE(OFFSET($H$3,0,0,'Données projet'!$E$11+1,1))</f>
        <v>332.21938212432008</v>
      </c>
      <c r="BJ36" s="59">
        <f t="shared" si="38"/>
        <v>237.47732529948181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8.0564102564102633</v>
      </c>
      <c r="BY36" s="12">
        <f>IF('Données projet'!$A$114&gt;35,BY35+BX36-CG35,IF(A36&lt;'Données projet'!$A$114,$BV$205^A36,IF(A36='Données projet'!$A$114,'Données projet'!$B$114,BY35+BX36-CG35)))</f>
        <v>146.05384615384617</v>
      </c>
      <c r="BZ36" s="13">
        <f>BY36*VLOOKUP('Données projet'!$B$12,Paramètres!$A$1:$I$89,3,0)*VLOOKUP('Données projet'!$B$12,Paramètres!$A$1:$I$89,5,0)</f>
        <v>138.98483999999999</v>
      </c>
      <c r="CA36" s="13">
        <f t="shared" si="39"/>
        <v>36.064348184805787</v>
      </c>
      <c r="CB36" s="20">
        <f t="shared" si="10"/>
        <v>304.87733608853677</v>
      </c>
      <c r="CC36" s="59">
        <f t="shared" si="11"/>
        <v>546.75818192307747</v>
      </c>
      <c r="CD36" s="59">
        <f ca="1">AVERAGE(OFFSET($CC$3,0,0,'Données projet'!$E$12+1,1))-AVERAGE(OFFSET($H$3,0,0,'Données projet'!$E$12+1,1))</f>
        <v>439.09551305860475</v>
      </c>
      <c r="CE36" s="59">
        <f t="shared" si="40"/>
        <v>311.31528017256846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8.0564102564102633</v>
      </c>
      <c r="CT36" s="12">
        <f>IF('Données projet'!$A$140&gt;35,CT35+CS36-DB35,IF(A36&lt;'Données projet'!$A$140,$CQ$205^A36,IF(A36='Données projet'!$A$140,'Données projet'!$B$140,CT35+CS36-DB35)))</f>
        <v>146.05384615384617</v>
      </c>
      <c r="CU36" s="17">
        <f>CT36*VLOOKUP('Données projet'!$B$13,Paramètres!$A$1:$I$89,3,0)*VLOOKUP('Données projet'!$B$13,Paramètres!$A$1:$I$89,5,0)</f>
        <v>141.26328000000001</v>
      </c>
      <c r="CV36" s="13">
        <f t="shared" si="41"/>
        <v>36.586253729191895</v>
      </c>
      <c r="CW36" s="20">
        <f t="shared" si="13"/>
        <v>309.75460457834254</v>
      </c>
      <c r="CX36" s="59">
        <f t="shared" si="14"/>
        <v>551.6354504128833</v>
      </c>
      <c r="CY36" s="59">
        <f ca="1">AVERAGE(OFFSET($CX$3,0,0,'Données projet'!$E$13+1,1))-AVERAGE(OFFSET($H$3,0,0,'Données projet'!$E$13+1,1))</f>
        <v>445.01146841309549</v>
      </c>
      <c r="CZ36" s="59">
        <f t="shared" si="42"/>
        <v>315.40159257508969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22.884615384615397</v>
      </c>
      <c r="DO36" s="12">
        <f>IF('Données projet'!$A$166&gt;35,DO35+DN36-DW35,IF(A36&lt;'Données projet'!$A$166,$DL$205^A36,IF(A36='Données projet'!$A$166,'Données projet'!$B$166,DO35+DN36-DW35)))</f>
        <v>334.85384615384612</v>
      </c>
      <c r="DP36" s="17">
        <f>DO36*VLOOKUP('Données projet'!$B$14,Paramètres!$A$1:$I$89,3,0)*VLOOKUP('Données projet'!$B$14,Paramètres!$A$1:$I$89,5,0)</f>
        <v>187.18329999999997</v>
      </c>
      <c r="DQ36" s="13">
        <f t="shared" si="43"/>
        <v>46.91668019244311</v>
      </c>
      <c r="DR36" s="20">
        <f t="shared" si="16"/>
        <v>407.72413216850504</v>
      </c>
      <c r="DS36" s="59">
        <f t="shared" si="17"/>
        <v>649.60497800304574</v>
      </c>
      <c r="DT36" s="59">
        <f ca="1">AVERAGE(OFFSET($DS$3,0,0,'Données projet'!$E$14+1,1))-AVERAGE(OFFSET($H$3,0,0,'Données projet'!$E$14+1,1))</f>
        <v>349.00268383833668</v>
      </c>
      <c r="DU36" s="59">
        <f t="shared" si="44"/>
        <v>459.94854391583749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27.858198499846253</v>
      </c>
      <c r="EB36" s="21">
        <f>EXP(-LN(2)/25)*EB35+(1-EXP(-LN(2)/25))/(LN(2)/25)*Calculateur!DW36*Calculateur!DY36*VLOOKUP('Données projet'!$B$14,Paramètres!$A$1:$I$89,3,0)*0.475*44/12</f>
        <v>16.791923412710826</v>
      </c>
      <c r="EC36" s="21">
        <f>EXP(-LN(2)/2)*EC35+(1-EXP(-LN(2)/2))/(LN(2)/2)*DW36*DZ36*VLOOKUP('Données projet'!$B$14,Paramètres!$A$1:$I$89,3,0)*0.475*44/12</f>
        <v>2.2038204897945741</v>
      </c>
      <c r="ED36" s="22">
        <f t="shared" si="18"/>
        <v>46.853942402351656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11.333333333333334</v>
      </c>
      <c r="EJ36" s="12">
        <f>IF('Données projet'!$A$192&gt;35,EJ35+EI36-ER35,IF(A36&lt;'Données projet'!$A$192,$EG$205^A36,IF(A36='Données projet'!$A$192,'Données projet'!$B$192,EJ35+EI36-ER35)))</f>
        <v>142.66666666666663</v>
      </c>
      <c r="EK36" s="17">
        <f>EJ36*VLOOKUP('Données projet'!$B$15,Paramètres!$A$1:$I$89,3,0)*VLOOKUP('Données projet'!$B$15,Paramètres!$A$1:$I$89,5,0)</f>
        <v>111.27999999999997</v>
      </c>
      <c r="EL36" s="13">
        <f t="shared" si="45"/>
        <v>29.63235919562165</v>
      </c>
      <c r="EM36" s="20">
        <f t="shared" si="19"/>
        <v>245.42235893237435</v>
      </c>
      <c r="EN36" s="59">
        <f t="shared" si="20"/>
        <v>487.30320476691509</v>
      </c>
      <c r="EO36" s="59">
        <f ca="1">AVERAGE(OFFSET($EN$3,0,0,'Données projet'!$E$15+1,1))-AVERAGE(OFFSET($H$3,0,0,'Données projet'!$E$15+1,1))</f>
        <v>308.82719216177946</v>
      </c>
      <c r="EP36" s="59">
        <f t="shared" si="46"/>
        <v>302.59481222418219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3.7419480487847419</v>
      </c>
      <c r="EW36" s="21">
        <f>EXP(-LN(2)/25)*EW35+(1-EXP(-LN(2)/25))/(LN(2)/25)*Calculateur!ER36*Calculateur!ET36*VLOOKUP('Données projet'!$B$15,Paramètres!$A$1:$I$89,3,0)*0.475*44/12</f>
        <v>12.104811734525068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15.84675978330981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548.62300229052448</v>
      </c>
      <c r="S37" s="59">
        <f ca="1">AVERAGE(OFFSET($R$3,0,0,'Données projet'!$E$9+1,1))-AVERAGE(OFFSET($H$3,0,0,'Données projet'!$E$9+1,1))</f>
        <v>421.33534980160005</v>
      </c>
      <c r="T37" s="59">
        <f t="shared" si="34"/>
        <v>299.0473530693472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8.0564102564102633</v>
      </c>
      <c r="AI37" s="13">
        <f>IF('Données projet'!$A$62&gt;35,AI36+AH37-AQ36,IF(A37&lt;'Données projet'!$A$62,$AF$205^A37,IF(A37='Données projet'!$A$62,'Données projet'!$B$62,AI36+AH37-AQ36)))</f>
        <v>154.11025641025643</v>
      </c>
      <c r="AJ37" s="13">
        <f>AI37*VLOOKUP('Données projet'!$B$10,Paramètres!$A$1:$I$89,3,0)*VLOOKUP('Données projet'!$B$10,Paramètres!$A$1:$I$89,5,0)</f>
        <v>156.26780000000002</v>
      </c>
      <c r="AK37" s="13">
        <f t="shared" si="35"/>
        <v>39.999554405940785</v>
      </c>
      <c r="AL37" s="20">
        <f t="shared" si="4"/>
        <v>341.83230892368027</v>
      </c>
      <c r="AM37" s="59">
        <f t="shared" si="5"/>
        <v>584.6057403857958</v>
      </c>
      <c r="AN37" s="59">
        <f ca="1">AVERAGE(OFFSET($AM$3,0,0,'Données projet'!$E$10+1,1))-AVERAGE(OFFSET($H$3,0,0,'Données projet'!$E$10+1,1))</f>
        <v>462.74754756814662</v>
      </c>
      <c r="AO37" s="59">
        <f t="shared" si="36"/>
        <v>327.65191293226667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8.0564102564102633</v>
      </c>
      <c r="BD37" s="12">
        <f>IF('Données projet'!$A$88&gt;35,BD36+BC37-BL36,IF(A37&lt;'Données projet'!$A$88,$BA$205^A37,IF(A37='Données projet'!$A$88,'Données projet'!$B$88,BD36+BC37-BL36)))</f>
        <v>154.11025641025643</v>
      </c>
      <c r="BE37" s="13">
        <f>BD37*VLOOKUP('Données projet'!$B$11,Paramètres!$A$1:$I$89,3,0)*VLOOKUP('Données projet'!$B$11,Paramètres!$A$1:$I$89,5,0)</f>
        <v>103.37716</v>
      </c>
      <c r="BF37" s="13">
        <f t="shared" si="37"/>
        <v>27.764997502646178</v>
      </c>
      <c r="BG37" s="20">
        <f t="shared" si="7"/>
        <v>228.40592431710874</v>
      </c>
      <c r="BH37" s="59">
        <f t="shared" si="8"/>
        <v>471.17935577922435</v>
      </c>
      <c r="BI37" s="59">
        <f ca="1">AVERAGE(OFFSET($BH$3,0,0,'Données projet'!$E$11+1,1))-AVERAGE(OFFSET($H$3,0,0,'Données projet'!$E$11+1,1))</f>
        <v>332.21938212432008</v>
      </c>
      <c r="BJ37" s="59">
        <f t="shared" si="38"/>
        <v>237.47732529948181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8.0564102564102633</v>
      </c>
      <c r="BY37" s="12">
        <f>IF('Données projet'!$A$114&gt;35,BY36+BX37-CG36,IF(A37&lt;'Données projet'!$A$114,$BV$205^A37,IF(A37='Données projet'!$A$114,'Données projet'!$B$114,BY36+BX37-CG36)))</f>
        <v>154.11025641025643</v>
      </c>
      <c r="BZ37" s="13">
        <f>BY37*VLOOKUP('Données projet'!$B$12,Paramètres!$A$1:$I$89,3,0)*VLOOKUP('Données projet'!$B$12,Paramètres!$A$1:$I$89,5,0)</f>
        <v>146.65132000000003</v>
      </c>
      <c r="CA37" s="13">
        <f t="shared" si="39"/>
        <v>37.816589004413501</v>
      </c>
      <c r="CB37" s="20">
        <f t="shared" si="10"/>
        <v>321.28160818268685</v>
      </c>
      <c r="CC37" s="59">
        <f t="shared" si="11"/>
        <v>564.05503964480249</v>
      </c>
      <c r="CD37" s="59">
        <f ca="1">AVERAGE(OFFSET($CC$3,0,0,'Données projet'!$E$12+1,1))-AVERAGE(OFFSET($H$3,0,0,'Données projet'!$E$12+1,1))</f>
        <v>439.09551305860475</v>
      </c>
      <c r="CE37" s="59">
        <f t="shared" si="40"/>
        <v>311.31528017256846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8.0564102564102633</v>
      </c>
      <c r="CT37" s="12">
        <f>IF('Données projet'!$A$140&gt;35,CT36+CS37-DB36,IF(A37&lt;'Données projet'!$A$140,$CQ$205^A37,IF(A37='Données projet'!$A$140,'Données projet'!$B$140,CT36+CS37-DB36)))</f>
        <v>154.11025641025643</v>
      </c>
      <c r="CU37" s="17">
        <f>CT37*VLOOKUP('Données projet'!$B$13,Paramètres!$A$1:$I$89,3,0)*VLOOKUP('Données projet'!$B$13,Paramètres!$A$1:$I$89,5,0)</f>
        <v>149.05544000000003</v>
      </c>
      <c r="CV37" s="13">
        <f t="shared" si="41"/>
        <v>38.363852117836124</v>
      </c>
      <c r="CW37" s="20">
        <f t="shared" si="13"/>
        <v>326.42193377189795</v>
      </c>
      <c r="CX37" s="59">
        <f t="shared" si="14"/>
        <v>569.19536523401348</v>
      </c>
      <c r="CY37" s="59">
        <f ca="1">AVERAGE(OFFSET($CX$3,0,0,'Données projet'!$E$13+1,1))-AVERAGE(OFFSET($H$3,0,0,'Données projet'!$E$13+1,1))</f>
        <v>445.01146841309549</v>
      </c>
      <c r="CZ37" s="59">
        <f t="shared" si="42"/>
        <v>315.40159257508969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22.884615384615397</v>
      </c>
      <c r="DO37" s="12">
        <f>IF('Données projet'!$A$166&gt;35,DO36+DN37-DW36,IF(A37&lt;'Données projet'!$A$166,$DL$205^A37,IF(A37='Données projet'!$A$166,'Données projet'!$B$166,DO36+DN37-DW36)))</f>
        <v>357.73846153846154</v>
      </c>
      <c r="DP37" s="17">
        <f>DO37*VLOOKUP('Données projet'!$B$14,Paramètres!$A$1:$I$89,3,0)*VLOOKUP('Données projet'!$B$14,Paramètres!$A$1:$I$89,5,0)</f>
        <v>199.97580000000002</v>
      </c>
      <c r="DQ37" s="13">
        <f t="shared" si="43"/>
        <v>49.738849260389202</v>
      </c>
      <c r="DR37" s="20">
        <f t="shared" si="16"/>
        <v>434.91968079517784</v>
      </c>
      <c r="DS37" s="59">
        <f t="shared" si="17"/>
        <v>677.69311225729348</v>
      </c>
      <c r="DT37" s="59">
        <f ca="1">AVERAGE(OFFSET($DS$3,0,0,'Données projet'!$E$14+1,1))-AVERAGE(OFFSET($H$3,0,0,'Données projet'!$E$14+1,1))</f>
        <v>349.00268383833668</v>
      </c>
      <c r="DU37" s="59">
        <f t="shared" si="44"/>
        <v>459.94854391583749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27.31191621908755</v>
      </c>
      <c r="EB37" s="21">
        <f>EXP(-LN(2)/25)*EB36+(1-EXP(-LN(2)/25))/(LN(2)/25)*Calculateur!DW37*Calculateur!DY37*VLOOKUP('Données projet'!$B$14,Paramètres!$A$1:$I$89,3,0)*0.475*44/12</f>
        <v>16.332747383941374</v>
      </c>
      <c r="EC37" s="21">
        <f>EXP(-LN(2)/2)*EC36+(1-EXP(-LN(2)/2))/(LN(2)/2)*DW37*DZ37*VLOOKUP('Données projet'!$B$14,Paramètres!$A$1:$I$89,3,0)*0.475*44/12</f>
        <v>1.558336412851602</v>
      </c>
      <c r="ED37" s="22">
        <f t="shared" si="18"/>
        <v>45.203000015880527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11.333333333333334</v>
      </c>
      <c r="EJ37" s="12">
        <f>IF('Données projet'!$A$192&gt;35,EJ36+EI37-ER36,IF(A37&lt;'Données projet'!$A$192,$EG$205^A37,IF(A37='Données projet'!$A$192,'Données projet'!$B$192,EJ36+EI37-ER36)))</f>
        <v>153.99999999999997</v>
      </c>
      <c r="EK37" s="17">
        <f>EJ37*VLOOKUP('Données projet'!$B$15,Paramètres!$A$1:$I$89,3,0)*VLOOKUP('Données projet'!$B$15,Paramètres!$A$1:$I$89,5,0)</f>
        <v>120.11999999999998</v>
      </c>
      <c r="EL37" s="13">
        <f t="shared" si="45"/>
        <v>31.702985695201871</v>
      </c>
      <c r="EM37" s="20">
        <f t="shared" si="19"/>
        <v>264.42503341914323</v>
      </c>
      <c r="EN37" s="59">
        <f t="shared" si="20"/>
        <v>507.19846488125881</v>
      </c>
      <c r="EO37" s="59">
        <f ca="1">AVERAGE(OFFSET($EN$3,0,0,'Données projet'!$E$15+1,1))-AVERAGE(OFFSET($H$3,0,0,'Données projet'!$E$15+1,1))</f>
        <v>308.82719216177946</v>
      </c>
      <c r="EP37" s="59">
        <f t="shared" si="46"/>
        <v>302.59481222418219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3.6685707299110182</v>
      </c>
      <c r="EW37" s="21">
        <f>EXP(-LN(2)/25)*EW36+(1-EXP(-LN(2)/25))/(LN(2)/25)*Calculateur!ER37*Calculateur!ET37*VLOOKUP('Données projet'!$B$15,Paramètres!$A$1:$I$89,3,0)*0.475*44/12</f>
        <v>11.773805021080097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15.442375750991115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565.09697618418363</v>
      </c>
      <c r="S38" s="59">
        <f ca="1">AVERAGE(OFFSET($R$3,0,0,'Données projet'!$E$9+1,1))-AVERAGE(OFFSET($H$3,0,0,'Données projet'!$E$9+1,1))</f>
        <v>421.33534980160005</v>
      </c>
      <c r="T38" s="59">
        <f t="shared" si="34"/>
        <v>299.0473530693472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162.16666666666669</v>
      </c>
      <c r="AG38" s="12">
        <f>VLOOKUP(A38,'Données projet'!$A$61:$I$81,9,0)</f>
        <v>8.0564102564102633</v>
      </c>
      <c r="AH38" s="12">
        <f t="array" ref="AH38">INDEX(AG:AG,MIN(IF(ISNUMBER(AG38:AG234),ROW(AG38:AG234),"")))</f>
        <v>8.0564102564102633</v>
      </c>
      <c r="AI38" s="13">
        <f>IF('Données projet'!$A$62&gt;35,AI37+AH38-AQ37,IF(A38&lt;'Données projet'!$A$62,$AF$205^A38,IF(A38='Données projet'!$A$62,'Données projet'!$B$62,AI37+AH38-AQ37)))</f>
        <v>162.16666666666669</v>
      </c>
      <c r="AJ38" s="13">
        <f>AI38*VLOOKUP('Données projet'!$B$10,Paramètres!$A$1:$I$89,3,0)*VLOOKUP('Données projet'!$B$10,Paramètres!$A$1:$I$89,5,0)</f>
        <v>164.43700000000001</v>
      </c>
      <c r="AK38" s="13">
        <f t="shared" si="35"/>
        <v>41.841694355997333</v>
      </c>
      <c r="AL38" s="20">
        <f t="shared" si="4"/>
        <v>359.26872600336202</v>
      </c>
      <c r="AM38" s="59">
        <f t="shared" si="5"/>
        <v>602.91925872793649</v>
      </c>
      <c r="AN38" s="59">
        <f ca="1">AVERAGE(OFFSET($AM$3,0,0,'Données projet'!$E$10+1,1))-AVERAGE(OFFSET($H$3,0,0,'Données projet'!$E$10+1,1))</f>
        <v>462.74754756814662</v>
      </c>
      <c r="AO38" s="59">
        <f t="shared" si="36"/>
        <v>327.65191293226667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60.602564102564102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162.16666666666669</v>
      </c>
      <c r="BB38" s="12">
        <f>VLOOKUP(A38,'Données projet'!$A$87:$I$107,9,0)</f>
        <v>8.0564102564102633</v>
      </c>
      <c r="BC38" s="12">
        <f t="array" ref="BC38">INDEX(BB:BB,MIN(IF(ISNUMBER(BB38:BB234),ROW(BB38:BB234),"")))</f>
        <v>8.0564102564102633</v>
      </c>
      <c r="BD38" s="12">
        <f>IF('Données projet'!$A$88&gt;35,BD37+BC38-BL37,IF(A38&lt;'Données projet'!$A$88,$BA$205^A38,IF(A38='Données projet'!$A$88,'Données projet'!$B$88,BD37+BC38-BL37)))</f>
        <v>162.16666666666669</v>
      </c>
      <c r="BE38" s="13">
        <f>BD38*VLOOKUP('Données projet'!$B$11,Paramètres!$A$1:$I$89,3,0)*VLOOKUP('Données projet'!$B$11,Paramètres!$A$1:$I$89,5,0)</f>
        <v>108.7814</v>
      </c>
      <c r="BF38" s="13">
        <f t="shared" si="37"/>
        <v>29.043687024878693</v>
      </c>
      <c r="BG38" s="20">
        <f t="shared" si="7"/>
        <v>240.04535990166377</v>
      </c>
      <c r="BH38" s="59">
        <f t="shared" si="8"/>
        <v>483.69589262623828</v>
      </c>
      <c r="BI38" s="59">
        <f ca="1">AVERAGE(OFFSET($BH$3,0,0,'Données projet'!$E$11+1,1))-AVERAGE(OFFSET($H$3,0,0,'Données projet'!$E$11+1,1))</f>
        <v>332.21938212432008</v>
      </c>
      <c r="BJ38" s="59">
        <f t="shared" si="38"/>
        <v>237.47732529948181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60.602564102564102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162.16666666666669</v>
      </c>
      <c r="BW38" s="12">
        <f>VLOOKUP(A38,'Données projet'!$A$113:$I$133,9,0)</f>
        <v>8.0564102564102633</v>
      </c>
      <c r="BX38" s="12">
        <f t="array" ref="BX38">INDEX(BW:BW,MIN(IF(ISNUMBER(BW38:BW234),ROW(BW38:BW234),"")))</f>
        <v>8.0564102564102633</v>
      </c>
      <c r="BY38" s="12">
        <f>IF('Données projet'!$A$114&gt;35,BY37+BX38-CG37,IF(A38&lt;'Données projet'!$A$114,$BV$205^A38,IF(A38='Données projet'!$A$114,'Données projet'!$B$114,BY37+BX38-CG37)))</f>
        <v>162.16666666666669</v>
      </c>
      <c r="BZ38" s="13">
        <f>BY38*VLOOKUP('Données projet'!$B$12,Paramètres!$A$1:$I$89,3,0)*VLOOKUP('Données projet'!$B$12,Paramètres!$A$1:$I$89,5,0)</f>
        <v>154.31780000000003</v>
      </c>
      <c r="CA38" s="13">
        <f t="shared" si="39"/>
        <v>39.558194640139106</v>
      </c>
      <c r="CB38" s="20">
        <f t="shared" si="10"/>
        <v>337.66735733157566</v>
      </c>
      <c r="CC38" s="59">
        <f t="shared" si="11"/>
        <v>581.31789005615019</v>
      </c>
      <c r="CD38" s="59">
        <f ca="1">AVERAGE(OFFSET($CC$3,0,0,'Données projet'!$E$12+1,1))-AVERAGE(OFFSET($H$3,0,0,'Données projet'!$E$12+1,1))</f>
        <v>439.09551305860475</v>
      </c>
      <c r="CE38" s="59">
        <f t="shared" si="40"/>
        <v>311.31528017256846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60.602564102564102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162.16666666666669</v>
      </c>
      <c r="CR38" s="12">
        <f>VLOOKUP(A38,'Données projet'!$A$139:$I$159,9,0)</f>
        <v>8.0564102564102633</v>
      </c>
      <c r="CS38" s="12">
        <f t="array" ref="CS38">INDEX(CR:CR,MIN(IF(ISNUMBER(CR38:CR234),ROW(CR38:CR234),"")))</f>
        <v>8.0564102564102633</v>
      </c>
      <c r="CT38" s="12">
        <f>IF('Données projet'!$A$140&gt;35,CT37+CS38-DB37,IF(A38&lt;'Données projet'!$A$140,$CQ$205^A38,IF(A38='Données projet'!$A$140,'Données projet'!$B$140,CT37+CS38-DB37)))</f>
        <v>162.16666666666669</v>
      </c>
      <c r="CU38" s="17">
        <f>CT38*VLOOKUP('Données projet'!$B$13,Paramètres!$A$1:$I$89,3,0)*VLOOKUP('Données projet'!$B$13,Paramètres!$A$1:$I$89,5,0)</f>
        <v>156.84760000000003</v>
      </c>
      <c r="CV38" s="13">
        <f t="shared" si="41"/>
        <v>40.13066141543748</v>
      </c>
      <c r="CW38" s="20">
        <f t="shared" si="13"/>
        <v>343.07047196522035</v>
      </c>
      <c r="CX38" s="59">
        <f t="shared" si="14"/>
        <v>586.72100468979488</v>
      </c>
      <c r="CY38" s="59">
        <f ca="1">AVERAGE(OFFSET($CX$3,0,0,'Données projet'!$E$13+1,1))-AVERAGE(OFFSET($H$3,0,0,'Données projet'!$E$13+1,1))</f>
        <v>445.01146841309549</v>
      </c>
      <c r="CZ38" s="59">
        <f t="shared" si="42"/>
        <v>315.40159257508969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60.602564102564102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22.884615384615397</v>
      </c>
      <c r="DO38" s="12">
        <f>IF('Données projet'!$A$166&gt;35,DO37+DN38-DW37,IF(A38&lt;'Données projet'!$A$166,$DL$205^A38,IF(A38='Données projet'!$A$166,'Données projet'!$B$166,DO37+DN38-DW37)))</f>
        <v>380.62307692307695</v>
      </c>
      <c r="DP38" s="17">
        <f>DO38*VLOOKUP('Données projet'!$B$14,Paramètres!$A$1:$I$89,3,0)*VLOOKUP('Données projet'!$B$14,Paramètres!$A$1:$I$89,5,0)</f>
        <v>212.76830000000001</v>
      </c>
      <c r="DQ38" s="13">
        <f t="shared" si="43"/>
        <v>52.540067037520508</v>
      </c>
      <c r="DR38" s="20">
        <f t="shared" si="16"/>
        <v>462.07873925701483</v>
      </c>
      <c r="DS38" s="59">
        <f t="shared" si="17"/>
        <v>705.72927198158936</v>
      </c>
      <c r="DT38" s="59">
        <f ca="1">AVERAGE(OFFSET($DS$3,0,0,'Données projet'!$E$14+1,1))-AVERAGE(OFFSET($H$3,0,0,'Données projet'!$E$14+1,1))</f>
        <v>349.00268383833668</v>
      </c>
      <c r="DU38" s="59">
        <f t="shared" si="44"/>
        <v>459.94854391583749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26.776346200655233</v>
      </c>
      <c r="EB38" s="21">
        <f>EXP(-LN(2)/25)*EB37+(1-EXP(-LN(2)/25))/(LN(2)/25)*Calculateur!DW38*Calculateur!DY38*VLOOKUP('Données projet'!$B$14,Paramètres!$A$1:$I$89,3,0)*0.475*44/12</f>
        <v>15.886127547825641</v>
      </c>
      <c r="EC38" s="21">
        <f>EXP(-LN(2)/2)*EC37+(1-EXP(-LN(2)/2))/(LN(2)/2)*DW38*DZ38*VLOOKUP('Données projet'!$B$14,Paramètres!$A$1:$I$89,3,0)*0.475*44/12</f>
        <v>1.1019102448972871</v>
      </c>
      <c r="ED38" s="22">
        <f t="shared" si="18"/>
        <v>43.764383993378168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11.333333333333334</v>
      </c>
      <c r="EJ38" s="12">
        <f>IF('Données projet'!$A$192&gt;35,EJ37+EI38-ER37,IF(A38&lt;'Données projet'!$A$192,$EG$205^A38,IF(A38='Données projet'!$A$192,'Données projet'!$B$192,EJ37+EI38-ER37)))</f>
        <v>165.33333333333331</v>
      </c>
      <c r="EK38" s="17">
        <f>EJ38*VLOOKUP('Données projet'!$B$15,Paramètres!$A$1:$I$89,3,0)*VLOOKUP('Données projet'!$B$15,Paramètres!$A$1:$I$89,5,0)</f>
        <v>128.95999999999998</v>
      </c>
      <c r="EL38" s="13">
        <f t="shared" si="45"/>
        <v>33.755933643031135</v>
      </c>
      <c r="EM38" s="20">
        <f t="shared" si="19"/>
        <v>283.39691776161254</v>
      </c>
      <c r="EN38" s="59">
        <f t="shared" si="20"/>
        <v>527.04745048618702</v>
      </c>
      <c r="EO38" s="59">
        <f ca="1">AVERAGE(OFFSET($EN$3,0,0,'Données projet'!$E$15+1,1))-AVERAGE(OFFSET($H$3,0,0,'Données projet'!$E$15+1,1))</f>
        <v>308.82719216177946</v>
      </c>
      <c r="EP38" s="59">
        <f t="shared" si="46"/>
        <v>302.59481222418219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3.596632295504663</v>
      </c>
      <c r="EW38" s="21">
        <f>EXP(-LN(2)/25)*EW37+(1-EXP(-LN(2)/25))/(LN(2)/25)*Calculateur!ER38*Calculateur!ET38*VLOOKUP('Données projet'!$B$15,Paramètres!$A$1:$I$89,3,0)*0.475*44/12</f>
        <v>11.451849703621166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15.04848199912583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466.33358966354524</v>
      </c>
      <c r="S39" s="59">
        <f ca="1">AVERAGE(OFFSET($R$3,0,0,'Données projet'!$E$9+1,1))-AVERAGE(OFFSET($H$3,0,0,'Données projet'!$E$9+1,1))</f>
        <v>421.33534980160005</v>
      </c>
      <c r="T39" s="59">
        <f t="shared" si="34"/>
        <v>299.0473530693472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9.3141025641025621</v>
      </c>
      <c r="AI39" s="13">
        <f>IF('Données projet'!$A$62&gt;35,AI38+AH39-AQ38,IF(A39&lt;'Données projet'!$A$62,$AF$205^A39,IF(A39='Données projet'!$A$62,'Données projet'!$B$62,AI38+AH39-AQ38)))</f>
        <v>110.87820512820515</v>
      </c>
      <c r="AJ39" s="13">
        <f>AI39*VLOOKUP('Données projet'!$B$10,Paramètres!$A$1:$I$89,3,0)*VLOOKUP('Données projet'!$B$10,Paramètres!$A$1:$I$89,5,0)</f>
        <v>112.43050000000004</v>
      </c>
      <c r="AK39" s="13">
        <f t="shared" si="35"/>
        <v>29.902898919263393</v>
      </c>
      <c r="AL39" s="20">
        <f t="shared" si="4"/>
        <v>247.89733645105048</v>
      </c>
      <c r="AM39" s="59">
        <f t="shared" si="5"/>
        <v>492.4097546920849</v>
      </c>
      <c r="AN39" s="59">
        <f ca="1">AVERAGE(OFFSET($AM$3,0,0,'Données projet'!$E$10+1,1))-AVERAGE(OFFSET($H$3,0,0,'Données projet'!$E$10+1,1))</f>
        <v>462.74754756814662</v>
      </c>
      <c r="AO39" s="59">
        <f t="shared" si="36"/>
        <v>327.65191293226667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9.3141025641025621</v>
      </c>
      <c r="BD39" s="12">
        <f>IF('Données projet'!$A$88&gt;35,BD38+BC39-BL38,IF(A39&lt;'Données projet'!$A$88,$BA$205^A39,IF(A39='Données projet'!$A$88,'Données projet'!$B$88,BD38+BC39-BL38)))</f>
        <v>110.87820512820515</v>
      </c>
      <c r="BE39" s="13">
        <f>BD39*VLOOKUP('Données projet'!$B$11,Paramètres!$A$1:$I$89,3,0)*VLOOKUP('Données projet'!$B$11,Paramètres!$A$1:$I$89,5,0)</f>
        <v>74.377100000000013</v>
      </c>
      <c r="BF39" s="13">
        <f t="shared" si="37"/>
        <v>20.756579070588824</v>
      </c>
      <c r="BG39" s="20">
        <f t="shared" si="7"/>
        <v>165.69115771460889</v>
      </c>
      <c r="BH39" s="59">
        <f t="shared" si="8"/>
        <v>410.20357595564332</v>
      </c>
      <c r="BI39" s="59">
        <f ca="1">AVERAGE(OFFSET($BH$3,0,0,'Données projet'!$E$11+1,1))-AVERAGE(OFFSET($H$3,0,0,'Données projet'!$E$11+1,1))</f>
        <v>332.21938212432008</v>
      </c>
      <c r="BJ39" s="59">
        <f t="shared" si="38"/>
        <v>237.47732529948181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9.3141025641025621</v>
      </c>
      <c r="BY39" s="12">
        <f>IF('Données projet'!$A$114&gt;35,BY38+BX39-CG38,IF(A39&lt;'Données projet'!$A$114,$BV$205^A39,IF(A39='Données projet'!$A$114,'Données projet'!$B$114,BY38+BX39-CG38)))</f>
        <v>110.87820512820515</v>
      </c>
      <c r="BZ39" s="13">
        <f>BY39*VLOOKUP('Données projet'!$B$12,Paramètres!$A$1:$I$89,3,0)*VLOOKUP('Données projet'!$B$12,Paramètres!$A$1:$I$89,5,0)</f>
        <v>105.51170000000003</v>
      </c>
      <c r="CA39" s="13">
        <f t="shared" si="39"/>
        <v>28.2709558960075</v>
      </c>
      <c r="CB39" s="20">
        <f t="shared" si="10"/>
        <v>233.00479235221312</v>
      </c>
      <c r="CC39" s="59">
        <f t="shared" si="11"/>
        <v>477.51721059324757</v>
      </c>
      <c r="CD39" s="59">
        <f ca="1">AVERAGE(OFFSET($CC$3,0,0,'Données projet'!$E$12+1,1))-AVERAGE(OFFSET($H$3,0,0,'Données projet'!$E$12+1,1))</f>
        <v>439.09551305860475</v>
      </c>
      <c r="CE39" s="59">
        <f t="shared" si="40"/>
        <v>311.31528017256846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9.3141025641025621</v>
      </c>
      <c r="CT39" s="12">
        <f>IF('Données projet'!$A$140&gt;35,CT38+CS39-DB38,IF(A39&lt;'Données projet'!$A$140,$CQ$205^A39,IF(A39='Données projet'!$A$140,'Données projet'!$B$140,CT38+CS39-DB38)))</f>
        <v>110.87820512820515</v>
      </c>
      <c r="CU39" s="17">
        <f>CT39*VLOOKUP('Données projet'!$B$13,Paramètres!$A$1:$I$89,3,0)*VLOOKUP('Données projet'!$B$13,Paramètres!$A$1:$I$89,5,0)</f>
        <v>107.24140000000003</v>
      </c>
      <c r="CV39" s="13">
        <f t="shared" si="41"/>
        <v>28.680079292654327</v>
      </c>
      <c r="CW39" s="20">
        <f t="shared" si="13"/>
        <v>236.72990976803965</v>
      </c>
      <c r="CX39" s="59">
        <f t="shared" si="14"/>
        <v>481.24232800907407</v>
      </c>
      <c r="CY39" s="59">
        <f ca="1">AVERAGE(OFFSET($CX$3,0,0,'Données projet'!$E$13+1,1))-AVERAGE(OFFSET($H$3,0,0,'Données projet'!$E$13+1,1))</f>
        <v>445.01146841309549</v>
      </c>
      <c r="CZ39" s="59">
        <f t="shared" si="42"/>
        <v>315.40159257508969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>
        <f>VLOOKUP(A39,'Données projet'!$A$165:$I$185,2,0)</f>
        <v>403.50769230769237</v>
      </c>
      <c r="DM39" s="12">
        <f>VLOOKUP(A39,'Données projet'!$A$165:$I$185,9,0)</f>
        <v>22.884615384615397</v>
      </c>
      <c r="DN39" s="12">
        <f t="array" ref="DN39">INDEX(DM:DM,MIN(IF(ISNUMBER(DM39:DM235),ROW(DM39:DM235),"")))</f>
        <v>22.884615384615397</v>
      </c>
      <c r="DO39" s="12">
        <f>IF('Données projet'!$A$166&gt;35,DO38+DN39-DW38,IF(A39&lt;'Données projet'!$A$166,$DL$205^A39,IF(A39='Données projet'!$A$166,'Données projet'!$B$166,DO38+DN39-DW38)))</f>
        <v>403.50769230769237</v>
      </c>
      <c r="DP39" s="17">
        <f>DO39*VLOOKUP('Données projet'!$B$14,Paramètres!$A$1:$I$89,3,0)*VLOOKUP('Données projet'!$B$14,Paramètres!$A$1:$I$89,5,0)</f>
        <v>225.56080000000003</v>
      </c>
      <c r="DQ39" s="13">
        <f t="shared" si="43"/>
        <v>55.321736658663667</v>
      </c>
      <c r="DR39" s="20">
        <f t="shared" si="16"/>
        <v>489.20375134717256</v>
      </c>
      <c r="DS39" s="59">
        <f t="shared" si="17"/>
        <v>733.71616958820698</v>
      </c>
      <c r="DT39" s="59">
        <f ca="1">AVERAGE(OFFSET($DS$3,0,0,'Données projet'!$E$14+1,1))-AVERAGE(OFFSET($H$3,0,0,'Données projet'!$E$14+1,1))</f>
        <v>349.00268383833668</v>
      </c>
      <c r="DU39" s="59">
        <f t="shared" si="44"/>
        <v>459.94854391583749</v>
      </c>
      <c r="DV39" s="15">
        <f>IF(ISNA(VLOOKUP(A39,'Données projet'!$A$165:$I$185,3,0)),0,VLOOKUP(A39,'Données projet'!$A$165:$I$185,3,0))</f>
        <v>4</v>
      </c>
      <c r="DW39" s="15">
        <f>IF(ISNA(VLOOKUP(A39,'Données projet'!$A$165:$I$185,4,0)),0,VLOOKUP(A39,'Données projet'!$A$165:$I$185,4,0))</f>
        <v>69.3</v>
      </c>
      <c r="DX39" s="16">
        <f>IF(ISNA(VLOOKUP(A39,'Données projet'!$A$165:$I$185,5,0)),0%,VLOOKUP(A39,'Données projet'!$A$165:$I$185,5,0)*VLOOKUP('Données projet'!$B$14,Paramètres!$A$1:$I$89,7,0))</f>
        <v>0.38500000000000001</v>
      </c>
      <c r="DY39" s="16">
        <f>IF(ISNA(VLOOKUP(A39,'Données projet'!$A$165:$I$185,6,0)),0%,VLOOKUP(A39,'Données projet'!$A$165:$I$185,6,0)*VLOOKUP('Données projet'!$B$14,Paramètres!$A$1:$I$89,7,0))</f>
        <v>9.240000000000001E-2</v>
      </c>
      <c r="DZ39" s="16">
        <f>IF(ISNA(VLOOKUP(A39,'Données projet'!$A$165:$I$185,7,0)),0%,VLOOKUP(A39,'Données projet'!$A$165:$I$185,7,0))</f>
        <v>0.13200000000000001</v>
      </c>
      <c r="EA39" s="21">
        <f>EXP(-LN(2)/35)*EA38+(1-EXP(-LN(2)/35))/(LN(2)/35)*DW39*DX39*VLOOKUP('Données projet'!$B$14,Paramètres!$A$1:$I$89,3,0)*0.475*44/12</f>
        <v>46.036190634544177</v>
      </c>
      <c r="EB39" s="21">
        <f>EXP(-LN(2)/25)*EB38+(1-EXP(-LN(2)/25))/(LN(2)/25)*Calculateur!DW39*Calculateur!DY39*VLOOKUP('Données projet'!$B$14,Paramètres!$A$1:$I$89,3,0)*0.475*44/12</f>
        <v>20.181403317675393</v>
      </c>
      <c r="EC39" s="21">
        <f>EXP(-LN(2)/2)*EC38+(1-EXP(-LN(2)/2))/(LN(2)/2)*DW39*DZ39*VLOOKUP('Données projet'!$B$14,Paramètres!$A$1:$I$89,3,0)*0.475*44/12</f>
        <v>6.5688475705786837</v>
      </c>
      <c r="ED39" s="22">
        <f t="shared" si="18"/>
        <v>72.786441522798256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11.333333333333334</v>
      </c>
      <c r="EJ39" s="12">
        <f>IF('Données projet'!$A$192&gt;35,EJ38+EI39-ER38,IF(A39&lt;'Données projet'!$A$192,$EG$205^A39,IF(A39='Données projet'!$A$192,'Données projet'!$B$192,EJ38+EI39-ER38)))</f>
        <v>176.66666666666666</v>
      </c>
      <c r="EK39" s="17">
        <f>EJ39*VLOOKUP('Données projet'!$B$15,Paramètres!$A$1:$I$89,3,0)*VLOOKUP('Données projet'!$B$15,Paramètres!$A$1:$I$89,5,0)</f>
        <v>137.80000000000001</v>
      </c>
      <c r="EL39" s="13">
        <f t="shared" si="45"/>
        <v>35.792552736298617</v>
      </c>
      <c r="EM39" s="20">
        <f t="shared" si="19"/>
        <v>302.34036268238674</v>
      </c>
      <c r="EN39" s="59">
        <f t="shared" si="20"/>
        <v>546.85278092342116</v>
      </c>
      <c r="EO39" s="59">
        <f ca="1">AVERAGE(OFFSET($EN$3,0,0,'Données projet'!$E$15+1,1))-AVERAGE(OFFSET($H$3,0,0,'Données projet'!$E$15+1,1))</f>
        <v>308.82719216177946</v>
      </c>
      <c r="EP39" s="59">
        <f t="shared" si="46"/>
        <v>302.59481222418219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3.526104529918904</v>
      </c>
      <c r="EW39" s="21">
        <f>EXP(-LN(2)/25)*EW38+(1-EXP(-LN(2)/25))/(LN(2)/25)*Calculateur!ER39*Calculateur!ET39*VLOOKUP('Données projet'!$B$15,Paramètres!$A$1:$I$89,3,0)*0.475*44/12</f>
        <v>11.138698271249043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14.664802801167946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485.33712160558315</v>
      </c>
      <c r="S40" s="59">
        <f ca="1">AVERAGE(OFFSET($R$3,0,0,'Données projet'!$E$9+1,1))-AVERAGE(OFFSET($H$3,0,0,'Données projet'!$E$9+1,1))</f>
        <v>421.33534980160005</v>
      </c>
      <c r="T40" s="59">
        <f t="shared" si="34"/>
        <v>299.0473530693472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9.3141025641025621</v>
      </c>
      <c r="AI40" s="13">
        <f>IF('Données projet'!$A$62&gt;35,AI39+AH40-AQ39,IF(A40&lt;'Données projet'!$A$62,$AF$205^A40,IF(A40='Données projet'!$A$62,'Données projet'!$B$62,AI39+AH40-AQ39)))</f>
        <v>120.19230769230771</v>
      </c>
      <c r="AJ40" s="13">
        <f>AI40*VLOOKUP('Données projet'!$B$10,Paramètres!$A$1:$I$89,3,0)*VLOOKUP('Données projet'!$B$10,Paramètres!$A$1:$I$89,5,0)</f>
        <v>121.87500000000003</v>
      </c>
      <c r="AK40" s="13">
        <f t="shared" si="35"/>
        <v>32.111916865075052</v>
      </c>
      <c r="AL40" s="20">
        <f t="shared" si="4"/>
        <v>268.19388020667242</v>
      </c>
      <c r="AM40" s="59">
        <f t="shared" si="5"/>
        <v>513.55323217734349</v>
      </c>
      <c r="AN40" s="59">
        <f ca="1">AVERAGE(OFFSET($AM$3,0,0,'Données projet'!$E$10+1,1))-AVERAGE(OFFSET($H$3,0,0,'Données projet'!$E$10+1,1))</f>
        <v>462.74754756814662</v>
      </c>
      <c r="AO40" s="59">
        <f t="shared" si="36"/>
        <v>327.65191293226667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9.3141025641025621</v>
      </c>
      <c r="BD40" s="12">
        <f>IF('Données projet'!$A$88&gt;35,BD39+BC40-BL39,IF(A40&lt;'Données projet'!$A$88,$BA$205^A40,IF(A40='Données projet'!$A$88,'Données projet'!$B$88,BD39+BC40-BL39)))</f>
        <v>120.19230769230771</v>
      </c>
      <c r="BE40" s="13">
        <f>BD40*VLOOKUP('Données projet'!$B$11,Paramètres!$A$1:$I$89,3,0)*VLOOKUP('Données projet'!$B$11,Paramètres!$A$1:$I$89,5,0)</f>
        <v>80.625000000000014</v>
      </c>
      <c r="BF40" s="13">
        <f t="shared" si="37"/>
        <v>22.289930595616124</v>
      </c>
      <c r="BG40" s="20">
        <f t="shared" si="7"/>
        <v>179.24350412069813</v>
      </c>
      <c r="BH40" s="59">
        <f t="shared" si="8"/>
        <v>424.60285609136923</v>
      </c>
      <c r="BI40" s="59">
        <f ca="1">AVERAGE(OFFSET($BH$3,0,0,'Données projet'!$E$11+1,1))-AVERAGE(OFFSET($H$3,0,0,'Données projet'!$E$11+1,1))</f>
        <v>332.21938212432008</v>
      </c>
      <c r="BJ40" s="59">
        <f t="shared" si="38"/>
        <v>237.47732529948181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9.3141025641025621</v>
      </c>
      <c r="BY40" s="12">
        <f>IF('Données projet'!$A$114&gt;35,BY39+BX40-CG39,IF(A40&lt;'Données projet'!$A$114,$BV$205^A40,IF(A40='Données projet'!$A$114,'Données projet'!$B$114,BY39+BX40-CG39)))</f>
        <v>120.19230769230771</v>
      </c>
      <c r="BZ40" s="13">
        <f>BY40*VLOOKUP('Données projet'!$B$12,Paramètres!$A$1:$I$89,3,0)*VLOOKUP('Données projet'!$B$12,Paramètres!$A$1:$I$89,5,0)</f>
        <v>114.375</v>
      </c>
      <c r="CA40" s="13">
        <f t="shared" si="39"/>
        <v>30.359417255160196</v>
      </c>
      <c r="CB40" s="20">
        <f t="shared" si="10"/>
        <v>252.07911005273732</v>
      </c>
      <c r="CC40" s="59">
        <f t="shared" si="11"/>
        <v>497.43846202340842</v>
      </c>
      <c r="CD40" s="59">
        <f ca="1">AVERAGE(OFFSET($CC$3,0,0,'Données projet'!$E$12+1,1))-AVERAGE(OFFSET($H$3,0,0,'Données projet'!$E$12+1,1))</f>
        <v>439.09551305860475</v>
      </c>
      <c r="CE40" s="59">
        <f t="shared" si="40"/>
        <v>311.31528017256846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9.3141025641025621</v>
      </c>
      <c r="CT40" s="12">
        <f>IF('Données projet'!$A$140&gt;35,CT39+CS40-DB39,IF(A40&lt;'Données projet'!$A$140,$CQ$205^A40,IF(A40='Données projet'!$A$140,'Données projet'!$B$140,CT39+CS40-DB39)))</f>
        <v>120.19230769230771</v>
      </c>
      <c r="CU40" s="17">
        <f>CT40*VLOOKUP('Données projet'!$B$13,Paramètres!$A$1:$I$89,3,0)*VLOOKUP('Données projet'!$B$13,Paramètres!$A$1:$I$89,5,0)</f>
        <v>116.25000000000001</v>
      </c>
      <c r="CV40" s="13">
        <f t="shared" si="41"/>
        <v>30.798763839454629</v>
      </c>
      <c r="CW40" s="20">
        <f t="shared" si="13"/>
        <v>256.10993035371683</v>
      </c>
      <c r="CX40" s="59">
        <f t="shared" si="14"/>
        <v>501.4692823243879</v>
      </c>
      <c r="CY40" s="59">
        <f ca="1">AVERAGE(OFFSET($CX$3,0,0,'Données projet'!$E$13+1,1))-AVERAGE(OFFSET($H$3,0,0,'Données projet'!$E$13+1,1))</f>
        <v>445.01146841309549</v>
      </c>
      <c r="CZ40" s="59">
        <f t="shared" si="42"/>
        <v>315.40159257508969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22.419230769230751</v>
      </c>
      <c r="DO40" s="12">
        <f>IF('Données projet'!$A$166&gt;35,DO39+DN40-DW39,IF(A40&lt;'Données projet'!$A$166,$DL$205^A40,IF(A40='Données projet'!$A$166,'Données projet'!$B$166,DO39+DN40-DW39)))</f>
        <v>356.62692307692311</v>
      </c>
      <c r="DP40" s="17">
        <f>DO40*VLOOKUP('Données projet'!$B$14,Paramètres!$A$1:$I$89,3,0)*VLOOKUP('Données projet'!$B$14,Paramètres!$A$1:$I$89,5,0)</f>
        <v>199.35445000000001</v>
      </c>
      <c r="DQ40" s="13">
        <f t="shared" si="43"/>
        <v>49.60226869073324</v>
      </c>
      <c r="DR40" s="20">
        <f t="shared" si="16"/>
        <v>433.59961838636042</v>
      </c>
      <c r="DS40" s="59">
        <f t="shared" si="17"/>
        <v>678.95897035703149</v>
      </c>
      <c r="DT40" s="59">
        <f ca="1">AVERAGE(OFFSET($DS$3,0,0,'Données projet'!$E$14+1,1))-AVERAGE(OFFSET($H$3,0,0,'Données projet'!$E$14+1,1))</f>
        <v>349.00268383833668</v>
      </c>
      <c r="DU40" s="59">
        <f t="shared" si="44"/>
        <v>459.94854391583749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45.133449015504453</v>
      </c>
      <c r="EB40" s="21">
        <f>EXP(-LN(2)/25)*EB39+(1-EXP(-LN(2)/25))/(LN(2)/25)*Calculateur!DW40*Calculateur!DY40*VLOOKUP('Données projet'!$B$14,Paramètres!$A$1:$I$89,3,0)*0.475*44/12</f>
        <v>19.629541782659683</v>
      </c>
      <c r="EC40" s="21">
        <f>EXP(-LN(2)/2)*EC39+(1-EXP(-LN(2)/2))/(LN(2)/2)*DW40*DZ40*VLOOKUP('Données projet'!$B$14,Paramètres!$A$1:$I$89,3,0)*0.475*44/12</f>
        <v>4.6448766617369657</v>
      </c>
      <c r="ED40" s="22">
        <f t="shared" si="18"/>
        <v>69.407867459901098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188</v>
      </c>
      <c r="EH40" s="12">
        <f>VLOOKUP(A40,'Données projet'!$A$191:$I$211,9,0)</f>
        <v>11.333333333333334</v>
      </c>
      <c r="EI40" s="12">
        <f t="array" ref="EI40">INDEX(EH:EH,MIN(IF(ISNUMBER(EH40:EH236),ROW(EH40:EH236),"")))</f>
        <v>11.333333333333334</v>
      </c>
      <c r="EJ40" s="12">
        <f>IF('Données projet'!$A$192&gt;35,EJ39+EI40-ER39,IF(A40&lt;'Données projet'!$A$192,$EG$205^A40,IF(A40='Données projet'!$A$192,'Données projet'!$B$192,EJ39+EI40-ER39)))</f>
        <v>188</v>
      </c>
      <c r="EK40" s="17">
        <f>EJ40*VLOOKUP('Données projet'!$B$15,Paramètres!$A$1:$I$89,3,0)*VLOOKUP('Données projet'!$B$15,Paramètres!$A$1:$I$89,5,0)</f>
        <v>146.64000000000001</v>
      </c>
      <c r="EL40" s="13">
        <f t="shared" si="45"/>
        <v>37.814009712703054</v>
      </c>
      <c r="EM40" s="20">
        <f t="shared" si="19"/>
        <v>321.25740024962448</v>
      </c>
      <c r="EN40" s="59">
        <f t="shared" si="20"/>
        <v>566.61675222029555</v>
      </c>
      <c r="EO40" s="59">
        <f ca="1">AVERAGE(OFFSET($EN$3,0,0,'Données projet'!$E$15+1,1))-AVERAGE(OFFSET($H$3,0,0,'Données projet'!$E$15+1,1))</f>
        <v>308.82719216177946</v>
      </c>
      <c r="EP40" s="59">
        <f t="shared" si="46"/>
        <v>302.59481222418219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36</v>
      </c>
      <c r="ES40" s="16">
        <f>IF(ISNA(VLOOKUP(A40,'Données projet'!$A$191:$I$211,5,0)),0%,VLOOKUP(A40,'Données projet'!$A$191:$I$211,5,0)*VLOOKUP('Données projet'!$B$15,Paramètres!$A$1:$I$89,7,0))</f>
        <v>0.129</v>
      </c>
      <c r="ET40" s="16">
        <f>IF(ISNA(VLOOKUP(A40,'Données projet'!$A$191:$I$211,6,0)),0%,VLOOKUP(A40,'Données projet'!$A$191:$I$211,6,0)*VLOOKUP('Données projet'!$B$15,Paramètres!$A$1:$I$89,7,0))</f>
        <v>0.17200000000000001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7.4613272359883887</v>
      </c>
      <c r="EW40" s="21">
        <f>EXP(-LN(2)/25)*EW39+(1-EXP(-LN(2)/25))/(LN(2)/25)*Calculateur!ER40*Calculateur!ET40*VLOOKUP('Données projet'!$B$15,Paramètres!$A$1:$I$89,3,0)*0.475*44/12</f>
        <v>16.152244307524015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23.613571543512403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504.29468897905349</v>
      </c>
      <c r="S41" s="59">
        <f ca="1">AVERAGE(OFFSET($R$3,0,0,'Données projet'!$E$9+1,1))-AVERAGE(OFFSET($H$3,0,0,'Données projet'!$E$9+1,1))</f>
        <v>421.33534980160005</v>
      </c>
      <c r="T41" s="59">
        <f t="shared" si="34"/>
        <v>299.0473530693472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9.3141025641025621</v>
      </c>
      <c r="AI41" s="13">
        <f>IF('Données projet'!$A$62&gt;35,AI40+AH41-AQ40,IF(A41&lt;'Données projet'!$A$62,$AF$205^A41,IF(A41='Données projet'!$A$62,'Données projet'!$B$62,AI40+AH41-AQ40)))</f>
        <v>129.50641025641028</v>
      </c>
      <c r="AJ41" s="13">
        <f>AI41*VLOOKUP('Données projet'!$B$10,Paramètres!$A$1:$I$89,3,0)*VLOOKUP('Données projet'!$B$10,Paramètres!$A$1:$I$89,5,0)</f>
        <v>131.31950000000003</v>
      </c>
      <c r="AK41" s="13">
        <f t="shared" si="35"/>
        <v>34.301077605333901</v>
      </c>
      <c r="AL41" s="20">
        <f t="shared" si="4"/>
        <v>288.45583932928992</v>
      </c>
      <c r="AM41" s="59">
        <f t="shared" si="5"/>
        <v>534.64743262284867</v>
      </c>
      <c r="AN41" s="59">
        <f ca="1">AVERAGE(OFFSET($AM$3,0,0,'Données projet'!$E$10+1,1))-AVERAGE(OFFSET($H$3,0,0,'Données projet'!$E$10+1,1))</f>
        <v>462.74754756814662</v>
      </c>
      <c r="AO41" s="59">
        <f t="shared" si="36"/>
        <v>327.65191293226667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9.3141025641025621</v>
      </c>
      <c r="BD41" s="12">
        <f>IF('Données projet'!$A$88&gt;35,BD40+BC41-BL40,IF(A41&lt;'Données projet'!$A$88,$BA$205^A41,IF(A41='Données projet'!$A$88,'Données projet'!$B$88,BD40+BC41-BL40)))</f>
        <v>129.50641025641028</v>
      </c>
      <c r="BE41" s="13">
        <f>BD41*VLOOKUP('Données projet'!$B$11,Paramètres!$A$1:$I$89,3,0)*VLOOKUP('Données projet'!$B$11,Paramètres!$A$1:$I$89,5,0)</f>
        <v>86.872900000000016</v>
      </c>
      <c r="BF41" s="13">
        <f t="shared" si="37"/>
        <v>23.809498585532278</v>
      </c>
      <c r="BG41" s="20">
        <f t="shared" si="7"/>
        <v>192.77184420313543</v>
      </c>
      <c r="BH41" s="59">
        <f t="shared" si="8"/>
        <v>438.96343749669416</v>
      </c>
      <c r="BI41" s="59">
        <f ca="1">AVERAGE(OFFSET($BH$3,0,0,'Données projet'!$E$11+1,1))-AVERAGE(OFFSET($H$3,0,0,'Données projet'!$E$11+1,1))</f>
        <v>332.21938212432008</v>
      </c>
      <c r="BJ41" s="59">
        <f t="shared" si="38"/>
        <v>237.47732529948181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9.3141025641025621</v>
      </c>
      <c r="BY41" s="12">
        <f>IF('Données projet'!$A$114&gt;35,BY40+BX41-CG40,IF(A41&lt;'Données projet'!$A$114,$BV$205^A41,IF(A41='Données projet'!$A$114,'Données projet'!$B$114,BY40+BX41-CG40)))</f>
        <v>129.50641025641028</v>
      </c>
      <c r="BZ41" s="13">
        <f>BY41*VLOOKUP('Données projet'!$B$12,Paramètres!$A$1:$I$89,3,0)*VLOOKUP('Données projet'!$B$12,Paramètres!$A$1:$I$89,5,0)</f>
        <v>123.23830000000002</v>
      </c>
      <c r="CA41" s="13">
        <f t="shared" si="39"/>
        <v>32.429105110649651</v>
      </c>
      <c r="CB41" s="20">
        <f t="shared" si="10"/>
        <v>271.12073056771482</v>
      </c>
      <c r="CC41" s="59">
        <f t="shared" si="11"/>
        <v>517.31232386127351</v>
      </c>
      <c r="CD41" s="59">
        <f ca="1">AVERAGE(OFFSET($CC$3,0,0,'Données projet'!$E$12+1,1))-AVERAGE(OFFSET($H$3,0,0,'Données projet'!$E$12+1,1))</f>
        <v>439.09551305860475</v>
      </c>
      <c r="CE41" s="59">
        <f t="shared" si="40"/>
        <v>311.31528017256846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9.3141025641025621</v>
      </c>
      <c r="CT41" s="12">
        <f>IF('Données projet'!$A$140&gt;35,CT40+CS41-DB40,IF(A41&lt;'Données projet'!$A$140,$CQ$205^A41,IF(A41='Données projet'!$A$140,'Données projet'!$B$140,CT40+CS41-DB40)))</f>
        <v>129.50641025641028</v>
      </c>
      <c r="CU41" s="17">
        <f>CT41*VLOOKUP('Données projet'!$B$13,Paramètres!$A$1:$I$89,3,0)*VLOOKUP('Données projet'!$B$13,Paramètres!$A$1:$I$89,5,0)</f>
        <v>125.25860000000002</v>
      </c>
      <c r="CV41" s="13">
        <f t="shared" si="41"/>
        <v>32.898403201661836</v>
      </c>
      <c r="CW41" s="20">
        <f t="shared" si="13"/>
        <v>275.45678057622769</v>
      </c>
      <c r="CX41" s="59">
        <f t="shared" si="14"/>
        <v>521.64837386978638</v>
      </c>
      <c r="CY41" s="59">
        <f ca="1">AVERAGE(OFFSET($CX$3,0,0,'Données projet'!$E$13+1,1))-AVERAGE(OFFSET($H$3,0,0,'Données projet'!$E$13+1,1))</f>
        <v>445.01146841309549</v>
      </c>
      <c r="CZ41" s="59">
        <f t="shared" si="42"/>
        <v>315.40159257508969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22.419230769230751</v>
      </c>
      <c r="DO41" s="12">
        <f>IF('Données projet'!$A$166&gt;35,DO40+DN41-DW40,IF(A41&lt;'Données projet'!$A$166,$DL$205^A41,IF(A41='Données projet'!$A$166,'Données projet'!$B$166,DO40+DN41-DW40)))</f>
        <v>379.04615384615386</v>
      </c>
      <c r="DP41" s="17">
        <f>DO41*VLOOKUP('Données projet'!$B$14,Paramètres!$A$1:$I$89,3,0)*VLOOKUP('Données projet'!$B$14,Paramètres!$A$1:$I$89,5,0)</f>
        <v>211.88679999999999</v>
      </c>
      <c r="DQ41" s="13">
        <f t="shared" si="43"/>
        <v>52.347684082939317</v>
      </c>
      <c r="DR41" s="20">
        <f t="shared" si="16"/>
        <v>460.20839311111928</v>
      </c>
      <c r="DS41" s="59">
        <f t="shared" si="17"/>
        <v>706.39998640467797</v>
      </c>
      <c r="DT41" s="59">
        <f ca="1">AVERAGE(OFFSET($DS$3,0,0,'Données projet'!$E$14+1,1))-AVERAGE(OFFSET($H$3,0,0,'Données projet'!$E$14+1,1))</f>
        <v>349.00268383833668</v>
      </c>
      <c r="DU41" s="59">
        <f t="shared" si="44"/>
        <v>459.94854391583749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44.248409608996077</v>
      </c>
      <c r="EB41" s="21">
        <f>EXP(-LN(2)/25)*EB40+(1-EXP(-LN(2)/25))/(LN(2)/25)*Calculateur!DW41*Calculateur!DY41*VLOOKUP('Données projet'!$B$14,Paramètres!$A$1:$I$89,3,0)*0.475*44/12</f>
        <v>19.092770930340116</v>
      </c>
      <c r="EC41" s="21">
        <f>EXP(-LN(2)/2)*EC40+(1-EXP(-LN(2)/2))/(LN(2)/2)*DW41*DZ41*VLOOKUP('Données projet'!$B$14,Paramètres!$A$1:$I$89,3,0)*0.475*44/12</f>
        <v>3.2844237852893423</v>
      </c>
      <c r="ED41" s="22">
        <f t="shared" si="18"/>
        <v>66.625604324625542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11.142857142857142</v>
      </c>
      <c r="EJ41" s="12">
        <f>IF('Données projet'!$A$192&gt;35,EJ40+EI41-ER40,IF(A41&lt;'Données projet'!$A$192,$EG$205^A41,IF(A41='Données projet'!$A$192,'Données projet'!$B$192,EJ40+EI41-ER40)))</f>
        <v>163.14285714285714</v>
      </c>
      <c r="EK41" s="17">
        <f>EJ41*VLOOKUP('Données projet'!$B$15,Paramètres!$A$1:$I$89,3,0)*VLOOKUP('Données projet'!$B$15,Paramètres!$A$1:$I$89,5,0)</f>
        <v>127.25142857142858</v>
      </c>
      <c r="EL41" s="13">
        <f t="shared" si="45"/>
        <v>33.360457439554281</v>
      </c>
      <c r="EM41" s="20">
        <f t="shared" si="19"/>
        <v>279.73236813579513</v>
      </c>
      <c r="EN41" s="59">
        <f t="shared" si="20"/>
        <v>525.92396142935388</v>
      </c>
      <c r="EO41" s="59">
        <f ca="1">AVERAGE(OFFSET($EN$3,0,0,'Données projet'!$E$15+1,1))-AVERAGE(OFFSET($H$3,0,0,'Données projet'!$E$15+1,1))</f>
        <v>308.82719216177946</v>
      </c>
      <c r="EP41" s="59">
        <f t="shared" si="46"/>
        <v>302.59481222418219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7.3150151598509003</v>
      </c>
      <c r="EW41" s="21">
        <f>EXP(-LN(2)/25)*EW40+(1-EXP(-LN(2)/25))/(LN(2)/25)*Calculateur!ER41*Calculateur!ET41*VLOOKUP('Données projet'!$B$15,Paramètres!$A$1:$I$89,3,0)*0.475*44/12</f>
        <v>15.710560337525159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23.02557549737606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523.20905154727018</v>
      </c>
      <c r="S42" s="59">
        <f ca="1">AVERAGE(OFFSET($R$3,0,0,'Données projet'!$E$9+1,1))-AVERAGE(OFFSET($H$3,0,0,'Données projet'!$E$9+1,1))</f>
        <v>421.33534980160005</v>
      </c>
      <c r="T42" s="59">
        <f t="shared" si="34"/>
        <v>299.0473530693472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9.3141025641025621</v>
      </c>
      <c r="AI42" s="13">
        <f>IF('Données projet'!$A$62&gt;35,AI41+AH42-AQ41,IF(A42&lt;'Données projet'!$A$62,$AF$205^A42,IF(A42='Données projet'!$A$62,'Données projet'!$B$62,AI41+AH42-AQ41)))</f>
        <v>138.82051282051285</v>
      </c>
      <c r="AJ42" s="13">
        <f>AI42*VLOOKUP('Données projet'!$B$10,Paramètres!$A$1:$I$89,3,0)*VLOOKUP('Données projet'!$B$10,Paramètres!$A$1:$I$89,5,0)</f>
        <v>140.76400000000004</v>
      </c>
      <c r="AK42" s="13">
        <f t="shared" si="35"/>
        <v>36.471971691246594</v>
      </c>
      <c r="AL42" s="20">
        <f t="shared" si="4"/>
        <v>308.68598402892115</v>
      </c>
      <c r="AM42" s="59">
        <f t="shared" si="5"/>
        <v>555.6953811190283</v>
      </c>
      <c r="AN42" s="59">
        <f ca="1">AVERAGE(OFFSET($AM$3,0,0,'Données projet'!$E$10+1,1))-AVERAGE(OFFSET($H$3,0,0,'Données projet'!$E$10+1,1))</f>
        <v>462.74754756814662</v>
      </c>
      <c r="AO42" s="59">
        <f t="shared" si="36"/>
        <v>327.65191293226667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9.3141025641025621</v>
      </c>
      <c r="BD42" s="12">
        <f>IF('Données projet'!$A$88&gt;35,BD41+BC42-BL41,IF(A42&lt;'Données projet'!$A$88,$BA$205^A42,IF(A42='Données projet'!$A$88,'Données projet'!$B$88,BD41+BC42-BL41)))</f>
        <v>138.82051282051285</v>
      </c>
      <c r="BE42" s="13">
        <f>BD42*VLOOKUP('Données projet'!$B$11,Paramètres!$A$1:$I$89,3,0)*VLOOKUP('Données projet'!$B$11,Paramètres!$A$1:$I$89,5,0)</f>
        <v>93.120800000000017</v>
      </c>
      <c r="BF42" s="13">
        <f t="shared" si="37"/>
        <v>25.316387093893336</v>
      </c>
      <c r="BG42" s="20">
        <f t="shared" si="7"/>
        <v>206.27810085519761</v>
      </c>
      <c r="BH42" s="59">
        <f t="shared" si="8"/>
        <v>453.28749794530472</v>
      </c>
      <c r="BI42" s="59">
        <f ca="1">AVERAGE(OFFSET($BH$3,0,0,'Données projet'!$E$11+1,1))-AVERAGE(OFFSET($H$3,0,0,'Données projet'!$E$11+1,1))</f>
        <v>332.21938212432008</v>
      </c>
      <c r="BJ42" s="59">
        <f t="shared" si="38"/>
        <v>237.47732529948181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9.3141025641025621</v>
      </c>
      <c r="BY42" s="12">
        <f>IF('Données projet'!$A$114&gt;35,BY41+BX42-CG41,IF(A42&lt;'Données projet'!$A$114,$BV$205^A42,IF(A42='Données projet'!$A$114,'Données projet'!$B$114,BY41+BX42-CG41)))</f>
        <v>138.82051282051285</v>
      </c>
      <c r="BZ42" s="13">
        <f>BY42*VLOOKUP('Données projet'!$B$12,Paramètres!$A$1:$I$89,3,0)*VLOOKUP('Données projet'!$B$12,Paramètres!$A$1:$I$89,5,0)</f>
        <v>132.10160000000002</v>
      </c>
      <c r="CA42" s="13">
        <f t="shared" si="39"/>
        <v>34.481523209759253</v>
      </c>
      <c r="CB42" s="20">
        <f t="shared" si="10"/>
        <v>290.13227292366406</v>
      </c>
      <c r="CC42" s="59">
        <f t="shared" si="11"/>
        <v>537.1416700137712</v>
      </c>
      <c r="CD42" s="59">
        <f ca="1">AVERAGE(OFFSET($CC$3,0,0,'Données projet'!$E$12+1,1))-AVERAGE(OFFSET($H$3,0,0,'Données projet'!$E$12+1,1))</f>
        <v>439.09551305860475</v>
      </c>
      <c r="CE42" s="59">
        <f t="shared" si="40"/>
        <v>311.31528017256846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9.3141025641025621</v>
      </c>
      <c r="CT42" s="12">
        <f>IF('Données projet'!$A$140&gt;35,CT41+CS42-DB41,IF(A42&lt;'Données projet'!$A$140,$CQ$205^A42,IF(A42='Données projet'!$A$140,'Données projet'!$B$140,CT41+CS42-DB41)))</f>
        <v>138.82051282051285</v>
      </c>
      <c r="CU42" s="17">
        <f>CT42*VLOOKUP('Données projet'!$B$13,Paramètres!$A$1:$I$89,3,0)*VLOOKUP('Données projet'!$B$13,Paramètres!$A$1:$I$89,5,0)</f>
        <v>134.26720000000003</v>
      </c>
      <c r="CV42" s="13">
        <f t="shared" si="41"/>
        <v>34.980522888051922</v>
      </c>
      <c r="CW42" s="20">
        <f t="shared" si="13"/>
        <v>294.77311736335713</v>
      </c>
      <c r="CX42" s="59">
        <f t="shared" si="14"/>
        <v>541.78251445346427</v>
      </c>
      <c r="CY42" s="59">
        <f ca="1">AVERAGE(OFFSET($CX$3,0,0,'Données projet'!$E$13+1,1))-AVERAGE(OFFSET($H$3,0,0,'Données projet'!$E$13+1,1))</f>
        <v>445.01146841309549</v>
      </c>
      <c r="CZ42" s="59">
        <f t="shared" si="42"/>
        <v>315.40159257508969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22.419230769230751</v>
      </c>
      <c r="DO42" s="12">
        <f>IF('Données projet'!$A$166&gt;35,DO41+DN42-DW41,IF(A42&lt;'Données projet'!$A$166,$DL$205^A42,IF(A42='Données projet'!$A$166,'Données projet'!$B$166,DO41+DN42-DW41)))</f>
        <v>401.46538461538461</v>
      </c>
      <c r="DP42" s="17">
        <f>DO42*VLOOKUP('Données projet'!$B$14,Paramètres!$A$1:$I$89,3,0)*VLOOKUP('Données projet'!$B$14,Paramètres!$A$1:$I$89,5,0)</f>
        <v>224.41915</v>
      </c>
      <c r="DQ42" s="13">
        <f t="shared" si="43"/>
        <v>55.074251579267461</v>
      </c>
      <c r="DR42" s="20">
        <f t="shared" si="16"/>
        <v>486.78434108389075</v>
      </c>
      <c r="DS42" s="59">
        <f t="shared" si="17"/>
        <v>733.79373817399789</v>
      </c>
      <c r="DT42" s="59">
        <f ca="1">AVERAGE(OFFSET($DS$3,0,0,'Données projet'!$E$14+1,1))-AVERAGE(OFFSET($H$3,0,0,'Données projet'!$E$14+1,1))</f>
        <v>349.00268383833668</v>
      </c>
      <c r="DU42" s="59">
        <f t="shared" si="44"/>
        <v>459.94854391583749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43.380725285428596</v>
      </c>
      <c r="EB42" s="21">
        <f>EXP(-LN(2)/25)*EB41+(1-EXP(-LN(2)/25))/(LN(2)/25)*Calculateur!DW42*Calculateur!DY42*VLOOKUP('Données projet'!$B$14,Paramètres!$A$1:$I$89,3,0)*0.475*44/12</f>
        <v>18.570678105204781</v>
      </c>
      <c r="EC42" s="21">
        <f>EXP(-LN(2)/2)*EC41+(1-EXP(-LN(2)/2))/(LN(2)/2)*DW42*DZ42*VLOOKUP('Données projet'!$B$14,Paramètres!$A$1:$I$89,3,0)*0.475*44/12</f>
        <v>2.3224383308684833</v>
      </c>
      <c r="ED42" s="22">
        <f t="shared" si="18"/>
        <v>64.273841721501853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11.142857142857142</v>
      </c>
      <c r="EJ42" s="12">
        <f>IF('Données projet'!$A$192&gt;35,EJ41+EI42-ER41,IF(A42&lt;'Données projet'!$A$192,$EG$205^A42,IF(A42='Données projet'!$A$192,'Données projet'!$B$192,EJ41+EI42-ER41)))</f>
        <v>174.28571428571428</v>
      </c>
      <c r="EK42" s="17">
        <f>EJ42*VLOOKUP('Données projet'!$B$15,Paramètres!$A$1:$I$89,3,0)*VLOOKUP('Données projet'!$B$15,Paramètres!$A$1:$I$89,5,0)</f>
        <v>135.94285714285715</v>
      </c>
      <c r="EL42" s="13">
        <f t="shared" si="45"/>
        <v>35.365986273808367</v>
      </c>
      <c r="EM42" s="20">
        <f t="shared" si="19"/>
        <v>298.36290228402578</v>
      </c>
      <c r="EN42" s="59">
        <f t="shared" si="20"/>
        <v>545.37229937413292</v>
      </c>
      <c r="EO42" s="59">
        <f ca="1">AVERAGE(OFFSET($EN$3,0,0,'Données projet'!$E$15+1,1))-AVERAGE(OFFSET($H$3,0,0,'Données projet'!$E$15+1,1))</f>
        <v>308.82719216177946</v>
      </c>
      <c r="EP42" s="59">
        <f t="shared" si="46"/>
        <v>302.59481222418219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7.1715721742849139</v>
      </c>
      <c r="EW42" s="21">
        <f>EXP(-LN(2)/25)*EW41+(1-EXP(-LN(2)/25))/(LN(2)/25)*Calculateur!ER42*Calculateur!ET42*VLOOKUP('Données projet'!$B$15,Paramètres!$A$1:$I$89,3,0)*0.475*44/12</f>
        <v>15.280954238913072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22.452526413197987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542.08260950523436</v>
      </c>
      <c r="S43" s="59">
        <f ca="1">AVERAGE(OFFSET($R$3,0,0,'Données projet'!$E$9+1,1))-AVERAGE(OFFSET($H$3,0,0,'Données projet'!$E$9+1,1))</f>
        <v>421.33534980160005</v>
      </c>
      <c r="T43" s="59">
        <f t="shared" si="34"/>
        <v>299.0473530693472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9.3141025641025621</v>
      </c>
      <c r="AI43" s="13">
        <f>IF('Données projet'!$A$62&gt;35,AI42+AH43-AQ42,IF(A43&lt;'Données projet'!$A$62,$AF$205^A43,IF(A43='Données projet'!$A$62,'Données projet'!$B$62,AI42+AH43-AQ42)))</f>
        <v>148.13461538461542</v>
      </c>
      <c r="AJ43" s="13">
        <f>AI43*VLOOKUP('Données projet'!$B$10,Paramètres!$A$1:$I$89,3,0)*VLOOKUP('Données projet'!$B$10,Paramètres!$A$1:$I$89,5,0)</f>
        <v>150.20850000000004</v>
      </c>
      <c r="AK43" s="13">
        <f t="shared" si="35"/>
        <v>38.625964162869636</v>
      </c>
      <c r="AL43" s="20">
        <f t="shared" si="4"/>
        <v>328.88669175033129</v>
      </c>
      <c r="AM43" s="59">
        <f t="shared" si="5"/>
        <v>576.69970556945214</v>
      </c>
      <c r="AN43" s="59">
        <f ca="1">AVERAGE(OFFSET($AM$3,0,0,'Données projet'!$E$10+1,1))-AVERAGE(OFFSET($H$3,0,0,'Données projet'!$E$10+1,1))</f>
        <v>462.74754756814662</v>
      </c>
      <c r="AO43" s="59">
        <f t="shared" si="36"/>
        <v>327.65191293226667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9.3141025641025621</v>
      </c>
      <c r="BD43" s="12">
        <f>IF('Données projet'!$A$88&gt;35,BD42+BC43-BL42,IF(A43&lt;'Données projet'!$A$88,$BA$205^A43,IF(A43='Données projet'!$A$88,'Données projet'!$B$88,BD42+BC43-BL42)))</f>
        <v>148.13461538461542</v>
      </c>
      <c r="BE43" s="13">
        <f>BD43*VLOOKUP('Données projet'!$B$11,Paramètres!$A$1:$I$89,3,0)*VLOOKUP('Données projet'!$B$11,Paramètres!$A$1:$I$89,5,0)</f>
        <v>99.368700000000032</v>
      </c>
      <c r="BF43" s="13">
        <f t="shared" si="37"/>
        <v>26.811543639598511</v>
      </c>
      <c r="BG43" s="20">
        <f t="shared" si="7"/>
        <v>219.76392433896743</v>
      </c>
      <c r="BH43" s="59">
        <f t="shared" si="8"/>
        <v>467.57693815808824</v>
      </c>
      <c r="BI43" s="59">
        <f ca="1">AVERAGE(OFFSET($BH$3,0,0,'Données projet'!$E$11+1,1))-AVERAGE(OFFSET($H$3,0,0,'Données projet'!$E$11+1,1))</f>
        <v>332.21938212432008</v>
      </c>
      <c r="BJ43" s="59">
        <f t="shared" si="38"/>
        <v>237.47732529948181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9.3141025641025621</v>
      </c>
      <c r="BY43" s="12">
        <f>IF('Données projet'!$A$114&gt;35,BY42+BX43-CG42,IF(A43&lt;'Données projet'!$A$114,$BV$205^A43,IF(A43='Données projet'!$A$114,'Données projet'!$B$114,BY42+BX43-CG42)))</f>
        <v>148.13461538461542</v>
      </c>
      <c r="BZ43" s="13">
        <f>BY43*VLOOKUP('Données projet'!$B$12,Paramètres!$A$1:$I$89,3,0)*VLOOKUP('Données projet'!$B$12,Paramètres!$A$1:$I$89,5,0)</f>
        <v>140.96490000000003</v>
      </c>
      <c r="CA43" s="13">
        <f t="shared" si="39"/>
        <v>36.51796209583523</v>
      </c>
      <c r="CB43" s="20">
        <f t="shared" si="10"/>
        <v>309.115984816913</v>
      </c>
      <c r="CC43" s="59">
        <f t="shared" si="11"/>
        <v>556.92899863603384</v>
      </c>
      <c r="CD43" s="59">
        <f ca="1">AVERAGE(OFFSET($CC$3,0,0,'Données projet'!$E$12+1,1))-AVERAGE(OFFSET($H$3,0,0,'Données projet'!$E$12+1,1))</f>
        <v>439.09551305860475</v>
      </c>
      <c r="CE43" s="59">
        <f t="shared" si="40"/>
        <v>311.31528017256846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9.3141025641025621</v>
      </c>
      <c r="CT43" s="12">
        <f>IF('Données projet'!$A$140&gt;35,CT42+CS43-DB42,IF(A43&lt;'Données projet'!$A$140,$CQ$205^A43,IF(A43='Données projet'!$A$140,'Données projet'!$B$140,CT42+CS43-DB42)))</f>
        <v>148.13461538461542</v>
      </c>
      <c r="CU43" s="17">
        <f>CT43*VLOOKUP('Données projet'!$B$13,Paramètres!$A$1:$I$89,3,0)*VLOOKUP('Données projet'!$B$13,Paramètres!$A$1:$I$89,5,0)</f>
        <v>143.27580000000003</v>
      </c>
      <c r="CV43" s="13">
        <f t="shared" si="41"/>
        <v>37.046432118080858</v>
      </c>
      <c r="CW43" s="20">
        <f t="shared" si="13"/>
        <v>314.06122093899086</v>
      </c>
      <c r="CX43" s="59">
        <f t="shared" si="14"/>
        <v>561.8742347581117</v>
      </c>
      <c r="CY43" s="59">
        <f ca="1">AVERAGE(OFFSET($CX$3,0,0,'Données projet'!$E$13+1,1))-AVERAGE(OFFSET($H$3,0,0,'Données projet'!$E$13+1,1))</f>
        <v>445.01146841309549</v>
      </c>
      <c r="CZ43" s="59">
        <f t="shared" si="42"/>
        <v>315.40159257508969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22.419230769230751</v>
      </c>
      <c r="DO43" s="12">
        <f>IF('Données projet'!$A$166&gt;35,DO42+DN43-DW42,IF(A43&lt;'Données projet'!$A$166,$DL$205^A43,IF(A43='Données projet'!$A$166,'Données projet'!$B$166,DO42+DN43-DW42)))</f>
        <v>423.88461538461536</v>
      </c>
      <c r="DP43" s="17">
        <f>DO43*VLOOKUP('Données projet'!$B$14,Paramètres!$A$1:$I$89,3,0)*VLOOKUP('Données projet'!$B$14,Paramètres!$A$1:$I$89,5,0)</f>
        <v>236.95150000000001</v>
      </c>
      <c r="DQ43" s="13">
        <f t="shared" si="43"/>
        <v>57.783143668102753</v>
      </c>
      <c r="DR43" s="20">
        <f t="shared" si="16"/>
        <v>513.32950438861235</v>
      </c>
      <c r="DS43" s="59">
        <f t="shared" si="17"/>
        <v>761.14251820773313</v>
      </c>
      <c r="DT43" s="59">
        <f ca="1">AVERAGE(OFFSET($DS$3,0,0,'Données projet'!$E$14+1,1))-AVERAGE(OFFSET($H$3,0,0,'Données projet'!$E$14+1,1))</f>
        <v>349.00268383833668</v>
      </c>
      <c r="DU43" s="59">
        <f t="shared" si="44"/>
        <v>459.94854391583749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42.530055722211095</v>
      </c>
      <c r="EB43" s="21">
        <f>EXP(-LN(2)/25)*EB42+(1-EXP(-LN(2)/25))/(LN(2)/25)*Calculateur!DW43*Calculateur!DY43*VLOOKUP('Données projet'!$B$14,Paramètres!$A$1:$I$89,3,0)*0.475*44/12</f>
        <v>18.062861935828437</v>
      </c>
      <c r="EC43" s="21">
        <f>EXP(-LN(2)/2)*EC42+(1-EXP(-LN(2)/2))/(LN(2)/2)*DW43*DZ43*VLOOKUP('Données projet'!$B$14,Paramètres!$A$1:$I$89,3,0)*0.475*44/12</f>
        <v>1.6422118926446714</v>
      </c>
      <c r="ED43" s="22">
        <f t="shared" si="18"/>
        <v>62.235129550684206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11.142857142857142</v>
      </c>
      <c r="EJ43" s="12">
        <f>IF('Données projet'!$A$192&gt;35,EJ42+EI43-ER42,IF(A43&lt;'Données projet'!$A$192,$EG$205^A43,IF(A43='Données projet'!$A$192,'Données projet'!$B$192,EJ42+EI43-ER42)))</f>
        <v>185.42857142857142</v>
      </c>
      <c r="EK43" s="17">
        <f>EJ43*VLOOKUP('Données projet'!$B$15,Paramètres!$A$1:$I$89,3,0)*VLOOKUP('Données projet'!$B$15,Paramètres!$A$1:$I$89,5,0)</f>
        <v>144.63428571428571</v>
      </c>
      <c r="EL43" s="13">
        <f t="shared" si="45"/>
        <v>37.356634728420524</v>
      </c>
      <c r="EM43" s="20">
        <f t="shared" si="19"/>
        <v>316.96751977104668</v>
      </c>
      <c r="EN43" s="59">
        <f t="shared" si="20"/>
        <v>564.78053359016747</v>
      </c>
      <c r="EO43" s="59">
        <f ca="1">AVERAGE(OFFSET($EN$3,0,0,'Données projet'!$E$15+1,1))-AVERAGE(OFFSET($H$3,0,0,'Données projet'!$E$15+1,1))</f>
        <v>308.82719216177946</v>
      </c>
      <c r="EP43" s="59">
        <f t="shared" si="46"/>
        <v>302.59481222418219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7.0309420181742937</v>
      </c>
      <c r="EW43" s="21">
        <f>EXP(-LN(2)/25)*EW42+(1-EXP(-LN(2)/25))/(LN(2)/25)*Calculateur!ER43*Calculateur!ET43*VLOOKUP('Données projet'!$B$15,Paramètres!$A$1:$I$89,3,0)*0.475*44/12</f>
        <v>14.863095741659535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21.894037759833829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560.91747308932804</v>
      </c>
      <c r="S44" s="59">
        <f ca="1">AVERAGE(OFFSET($R$3,0,0,'Données projet'!$E$9+1,1))-AVERAGE(OFFSET($H$3,0,0,'Données projet'!$E$9+1,1))</f>
        <v>421.33534980160005</v>
      </c>
      <c r="T44" s="59">
        <f t="shared" si="34"/>
        <v>299.0473530693472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157.44871794871796</v>
      </c>
      <c r="AG44" s="12">
        <f>VLOOKUP(A44,'Données projet'!$A$61:$I$81,9,0)</f>
        <v>9.3141025641025621</v>
      </c>
      <c r="AH44" s="12">
        <f t="array" ref="AH44">INDEX(AG:AG,MIN(IF(ISNUMBER(AG44:AG240),ROW(AG44:AG240),"")))</f>
        <v>9.3141025641025621</v>
      </c>
      <c r="AI44" s="13">
        <f>IF('Données projet'!$A$62&gt;35,AI43+AH44-AQ43,IF(A44&lt;'Données projet'!$A$62,$AF$205^A44,IF(A44='Données projet'!$A$62,'Données projet'!$B$62,AI43+AH44-AQ43)))</f>
        <v>157.44871794871798</v>
      </c>
      <c r="AJ44" s="13">
        <f>AI44*VLOOKUP('Données projet'!$B$10,Paramètres!$A$1:$I$89,3,0)*VLOOKUP('Données projet'!$B$10,Paramètres!$A$1:$I$89,5,0)</f>
        <v>159.65300000000005</v>
      </c>
      <c r="AK44" s="13">
        <f t="shared" si="35"/>
        <v>40.764238701185349</v>
      </c>
      <c r="AL44" s="20">
        <f t="shared" si="4"/>
        <v>349.06002407123123</v>
      </c>
      <c r="AM44" s="59">
        <f t="shared" si="5"/>
        <v>597.66271366573517</v>
      </c>
      <c r="AN44" s="59">
        <f ca="1">AVERAGE(OFFSET($AM$3,0,0,'Données projet'!$E$10+1,1))-AVERAGE(OFFSET($H$3,0,0,'Données projet'!$E$10+1,1))</f>
        <v>462.74754756814662</v>
      </c>
      <c r="AO44" s="59">
        <f t="shared" si="36"/>
        <v>327.65191293226667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38.512820512820511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157.44871794871796</v>
      </c>
      <c r="BB44" s="12">
        <f>VLOOKUP(A44,'Données projet'!$A$87:$I$107,9,0)</f>
        <v>9.3141025641025621</v>
      </c>
      <c r="BC44" s="12">
        <f t="array" ref="BC44">INDEX(BB:BB,MIN(IF(ISNUMBER(BB44:BB240),ROW(BB44:BB240),"")))</f>
        <v>9.3141025641025621</v>
      </c>
      <c r="BD44" s="12">
        <f>IF('Données projet'!$A$88&gt;35,BD43+BC44-BL43,IF(A44&lt;'Données projet'!$A$88,$BA$205^A44,IF(A44='Données projet'!$A$88,'Données projet'!$B$88,BD43+BC44-BL43)))</f>
        <v>157.44871794871798</v>
      </c>
      <c r="BE44" s="13">
        <f>BD44*VLOOKUP('Données projet'!$B$11,Paramètres!$A$1:$I$89,3,0)*VLOOKUP('Données projet'!$B$11,Paramètres!$A$1:$I$89,5,0)</f>
        <v>105.61660000000002</v>
      </c>
      <c r="BF44" s="13">
        <f t="shared" si="37"/>
        <v>28.295789854288593</v>
      </c>
      <c r="BG44" s="20">
        <f t="shared" si="7"/>
        <v>233.23074566288599</v>
      </c>
      <c r="BH44" s="59">
        <f t="shared" si="8"/>
        <v>481.83343525738997</v>
      </c>
      <c r="BI44" s="59">
        <f ca="1">AVERAGE(OFFSET($BH$3,0,0,'Données projet'!$E$11+1,1))-AVERAGE(OFFSET($H$3,0,0,'Données projet'!$E$11+1,1))</f>
        <v>332.21938212432008</v>
      </c>
      <c r="BJ44" s="59">
        <f t="shared" si="38"/>
        <v>237.47732529948181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38.512820512820511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157.44871794871796</v>
      </c>
      <c r="BW44" s="12">
        <f>VLOOKUP(A44,'Données projet'!$A$113:$I$133,9,0)</f>
        <v>9.3141025641025621</v>
      </c>
      <c r="BX44" s="12">
        <f t="array" ref="BX44">INDEX(BW:BW,MIN(IF(ISNUMBER(BW44:BW240),ROW(BW44:BW240),"")))</f>
        <v>9.3141025641025621</v>
      </c>
      <c r="BY44" s="12">
        <f>IF('Données projet'!$A$114&gt;35,BY43+BX44-CG43,IF(A44&lt;'Données projet'!$A$114,$BV$205^A44,IF(A44='Données projet'!$A$114,'Données projet'!$B$114,BY43+BX44-CG43)))</f>
        <v>157.44871794871798</v>
      </c>
      <c r="BZ44" s="13">
        <f>BY44*VLOOKUP('Données projet'!$B$12,Paramètres!$A$1:$I$89,3,0)*VLOOKUP('Données projet'!$B$12,Paramètres!$A$1:$I$89,5,0)</f>
        <v>149.82820000000004</v>
      </c>
      <c r="CA44" s="13">
        <f t="shared" si="39"/>
        <v>38.539540850774493</v>
      </c>
      <c r="CB44" s="20">
        <f t="shared" si="10"/>
        <v>328.07381531509895</v>
      </c>
      <c r="CC44" s="59">
        <f t="shared" si="11"/>
        <v>576.67650490960295</v>
      </c>
      <c r="CD44" s="59">
        <f ca="1">AVERAGE(OFFSET($CC$3,0,0,'Données projet'!$E$12+1,1))-AVERAGE(OFFSET($H$3,0,0,'Données projet'!$E$12+1,1))</f>
        <v>439.09551305860475</v>
      </c>
      <c r="CE44" s="59">
        <f t="shared" si="40"/>
        <v>311.31528017256846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38.512820512820511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157.44871794871796</v>
      </c>
      <c r="CR44" s="12">
        <f>VLOOKUP(A44,'Données projet'!$A$139:$I$159,9,0)</f>
        <v>9.3141025641025621</v>
      </c>
      <c r="CS44" s="12">
        <f t="array" ref="CS44">INDEX(CR:CR,MIN(IF(ISNUMBER(CR44:CR240),ROW(CR44:CR240),"")))</f>
        <v>9.3141025641025621</v>
      </c>
      <c r="CT44" s="12">
        <f>IF('Données projet'!$A$140&gt;35,CT43+CS44-DB43,IF(A44&lt;'Données projet'!$A$140,$CQ$205^A44,IF(A44='Données projet'!$A$140,'Données projet'!$B$140,CT43+CS44-DB43)))</f>
        <v>157.44871794871798</v>
      </c>
      <c r="CU44" s="17">
        <f>CT44*VLOOKUP('Données projet'!$B$13,Paramètres!$A$1:$I$89,3,0)*VLOOKUP('Données projet'!$B$13,Paramètres!$A$1:$I$89,5,0)</f>
        <v>152.28440000000003</v>
      </c>
      <c r="CV44" s="13">
        <f t="shared" si="41"/>
        <v>39.097266168449572</v>
      </c>
      <c r="CW44" s="20">
        <f t="shared" si="13"/>
        <v>333.32306857671642</v>
      </c>
      <c r="CX44" s="59">
        <f t="shared" si="14"/>
        <v>581.92575817122042</v>
      </c>
      <c r="CY44" s="59">
        <f ca="1">AVERAGE(OFFSET($CX$3,0,0,'Données projet'!$E$13+1,1))-AVERAGE(OFFSET($H$3,0,0,'Données projet'!$E$13+1,1))</f>
        <v>445.01146841309549</v>
      </c>
      <c r="CZ44" s="59">
        <f t="shared" si="42"/>
        <v>315.40159257508969</v>
      </c>
      <c r="DA44" s="15">
        <f>IF(ISNA(VLOOKUP(A44,'Données projet'!$A$139:$I$159,3,0)),0,VLOOKUP(A44,'Données projet'!$A$139:$I$159,3,0))</f>
        <v>2</v>
      </c>
      <c r="DB44" s="15">
        <f>IF(ISNA(VLOOKUP(A44,'Données projet'!$A$139:$I$159,4,0)),0,VLOOKUP(A44,'Données projet'!$A$139:$I$159,4,0))</f>
        <v>38.512820512820511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22.419230769230751</v>
      </c>
      <c r="DO44" s="12">
        <f>IF('Données projet'!$A$166&gt;35,DO43+DN44-DW43,IF(A44&lt;'Données projet'!$A$166,$DL$205^A44,IF(A44='Données projet'!$A$166,'Données projet'!$B$166,DO43+DN44-DW43)))</f>
        <v>446.30384615384611</v>
      </c>
      <c r="DP44" s="17">
        <f>DO44*VLOOKUP('Données projet'!$B$14,Paramètres!$A$1:$I$89,3,0)*VLOOKUP('Données projet'!$B$14,Paramètres!$A$1:$I$89,5,0)</f>
        <v>249.48384999999996</v>
      </c>
      <c r="DQ44" s="13">
        <f t="shared" si="43"/>
        <v>60.475401807280001</v>
      </c>
      <c r="DR44" s="20">
        <f t="shared" si="16"/>
        <v>539.8456968976792</v>
      </c>
      <c r="DS44" s="59">
        <f t="shared" si="17"/>
        <v>788.4483864921832</v>
      </c>
      <c r="DT44" s="59">
        <f ca="1">AVERAGE(OFFSET($DS$3,0,0,'Données projet'!$E$14+1,1))-AVERAGE(OFFSET($H$3,0,0,'Données projet'!$E$14+1,1))</f>
        <v>349.00268383833668</v>
      </c>
      <c r="DU44" s="59">
        <f t="shared" si="44"/>
        <v>459.94854391583749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41.696067270271087</v>
      </c>
      <c r="EB44" s="21">
        <f>EXP(-LN(2)/25)*EB43+(1-EXP(-LN(2)/25))/(LN(2)/25)*Calculateur!DW44*Calculateur!DY44*VLOOKUP('Données projet'!$B$14,Paramètres!$A$1:$I$89,3,0)*0.475*44/12</f>
        <v>17.568932026308584</v>
      </c>
      <c r="EC44" s="21">
        <f>EXP(-LN(2)/2)*EC43+(1-EXP(-LN(2)/2))/(LN(2)/2)*DW44*DZ44*VLOOKUP('Données projet'!$B$14,Paramètres!$A$1:$I$89,3,0)*0.475*44/12</f>
        <v>1.1612191654342419</v>
      </c>
      <c r="ED44" s="22">
        <f t="shared" si="18"/>
        <v>60.426218462013914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11.142857142857142</v>
      </c>
      <c r="EJ44" s="12">
        <f>IF('Données projet'!$A$192&gt;35,EJ43+EI44-ER43,IF(A44&lt;'Données projet'!$A$192,$EG$205^A44,IF(A44='Données projet'!$A$192,'Données projet'!$B$192,EJ43+EI44-ER43)))</f>
        <v>196.57142857142856</v>
      </c>
      <c r="EK44" s="17">
        <f>EJ44*VLOOKUP('Données projet'!$B$15,Paramètres!$A$1:$I$89,3,0)*VLOOKUP('Données projet'!$B$15,Paramètres!$A$1:$I$89,5,0)</f>
        <v>153.32571428571427</v>
      </c>
      <c r="EL44" s="13">
        <f t="shared" si="45"/>
        <v>39.33339883761419</v>
      </c>
      <c r="EM44" s="20">
        <f t="shared" si="19"/>
        <v>335.54795535646372</v>
      </c>
      <c r="EN44" s="59">
        <f t="shared" si="20"/>
        <v>584.15064495096772</v>
      </c>
      <c r="EO44" s="59">
        <f ca="1">AVERAGE(OFFSET($EN$3,0,0,'Données projet'!$E$15+1,1))-AVERAGE(OFFSET($H$3,0,0,'Données projet'!$E$15+1,1))</f>
        <v>308.82719216177946</v>
      </c>
      <c r="EP44" s="59">
        <f t="shared" si="46"/>
        <v>302.59481222418219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6.8930695336490775</v>
      </c>
      <c r="EW44" s="21">
        <f>EXP(-LN(2)/25)*EW43+(1-EXP(-LN(2)/25))/(LN(2)/25)*Calculateur!ER44*Calculateur!ET44*VLOOKUP('Données projet'!$B$15,Paramètres!$A$1:$I$89,3,0)*0.475*44/12</f>
        <v>14.45666360698762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21.349733140636697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505.09905979188449</v>
      </c>
      <c r="S45" s="59">
        <f ca="1">AVERAGE(OFFSET($R$3,0,0,'Données projet'!$E$9+1,1))-AVERAGE(OFFSET($H$3,0,0,'Données projet'!$E$9+1,1))</f>
        <v>421.33534980160005</v>
      </c>
      <c r="T45" s="59">
        <f t="shared" si="34"/>
        <v>299.0473530693472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9.3452380952380913</v>
      </c>
      <c r="AI45" s="13">
        <f>IF('Données projet'!$A$62&gt;35,AI44+AH45-AQ44,IF(A45&lt;'Données projet'!$A$62,$AF$205^A45,IF(A45='Données projet'!$A$62,'Données projet'!$B$62,AI44+AH45-AQ44)))</f>
        <v>128.28113553113559</v>
      </c>
      <c r="AJ45" s="13">
        <f>AI45*VLOOKUP('Données projet'!$B$10,Paramètres!$A$1:$I$89,3,0)*VLOOKUP('Données projet'!$B$10,Paramètres!$A$1:$I$89,5,0)</f>
        <v>130.07707142857151</v>
      </c>
      <c r="AK45" s="13">
        <f t="shared" si="35"/>
        <v>34.014167662270417</v>
      </c>
      <c r="AL45" s="20">
        <f t="shared" si="4"/>
        <v>285.79224141654964</v>
      </c>
      <c r="AM45" s="59">
        <f t="shared" si="5"/>
        <v>535.17090767718435</v>
      </c>
      <c r="AN45" s="59">
        <f ca="1">AVERAGE(OFFSET($AM$3,0,0,'Données projet'!$E$10+1,1))-AVERAGE(OFFSET($H$3,0,0,'Données projet'!$E$10+1,1))</f>
        <v>462.74754756814662</v>
      </c>
      <c r="AO45" s="59">
        <f t="shared" si="36"/>
        <v>327.65191293226667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9.3452380952380913</v>
      </c>
      <c r="BD45" s="12">
        <f>IF('Données projet'!$A$88&gt;35,BD44+BC45-BL44,IF(A45&lt;'Données projet'!$A$88,$BA$205^A45,IF(A45='Données projet'!$A$88,'Données projet'!$B$88,BD44+BC45-BL44)))</f>
        <v>128.28113553113559</v>
      </c>
      <c r="BE45" s="13">
        <f>BD45*VLOOKUP('Données projet'!$B$11,Paramètres!$A$1:$I$89,3,0)*VLOOKUP('Données projet'!$B$11,Paramètres!$A$1:$I$89,5,0)</f>
        <v>86.050985714285758</v>
      </c>
      <c r="BF45" s="13">
        <f t="shared" si="37"/>
        <v>23.610345020675105</v>
      </c>
      <c r="BG45" s="20">
        <f t="shared" si="7"/>
        <v>190.99348436339017</v>
      </c>
      <c r="BH45" s="59">
        <f t="shared" si="8"/>
        <v>440.37215062402493</v>
      </c>
      <c r="BI45" s="59">
        <f ca="1">AVERAGE(OFFSET($BH$3,0,0,'Données projet'!$E$11+1,1))-AVERAGE(OFFSET($H$3,0,0,'Données projet'!$E$11+1,1))</f>
        <v>332.21938212432008</v>
      </c>
      <c r="BJ45" s="59">
        <f t="shared" si="38"/>
        <v>237.47732529948181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9.3452380952380913</v>
      </c>
      <c r="BY45" s="12">
        <f>IF('Données projet'!$A$114&gt;35,BY44+BX45-CG44,IF(A45&lt;'Données projet'!$A$114,$BV$205^A45,IF(A45='Données projet'!$A$114,'Données projet'!$B$114,BY44+BX45-CG44)))</f>
        <v>128.28113553113559</v>
      </c>
      <c r="BZ45" s="13">
        <f>BY45*VLOOKUP('Données projet'!$B$12,Paramètres!$A$1:$I$89,3,0)*VLOOKUP('Données projet'!$B$12,Paramètres!$A$1:$I$89,5,0)</f>
        <v>122.07232857142864</v>
      </c>
      <c r="CA45" s="13">
        <f t="shared" si="39"/>
        <v>32.157853203990967</v>
      </c>
      <c r="CB45" s="20">
        <f t="shared" si="10"/>
        <v>268.61756659218918</v>
      </c>
      <c r="CC45" s="59">
        <f t="shared" si="11"/>
        <v>517.99623285282394</v>
      </c>
      <c r="CD45" s="59">
        <f ca="1">AVERAGE(OFFSET($CC$3,0,0,'Données projet'!$E$12+1,1))-AVERAGE(OFFSET($H$3,0,0,'Données projet'!$E$12+1,1))</f>
        <v>439.09551305860475</v>
      </c>
      <c r="CE45" s="59">
        <f t="shared" si="40"/>
        <v>311.31528017256846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9.3452380952380913</v>
      </c>
      <c r="CT45" s="12">
        <f>IF('Données projet'!$A$140&gt;35,CT44+CS45-DB44,IF(A45&lt;'Données projet'!$A$140,$CQ$205^A45,IF(A45='Données projet'!$A$140,'Données projet'!$B$140,CT44+CS45-DB44)))</f>
        <v>128.28113553113559</v>
      </c>
      <c r="CU45" s="17">
        <f>CT45*VLOOKUP('Données projet'!$B$13,Paramètres!$A$1:$I$89,3,0)*VLOOKUP('Données projet'!$B$13,Paramètres!$A$1:$I$89,5,0)</f>
        <v>124.07351428571435</v>
      </c>
      <c r="CV45" s="13">
        <f t="shared" si="41"/>
        <v>32.623225870556688</v>
      </c>
      <c r="CW45" s="20">
        <f t="shared" si="13"/>
        <v>272.91348910550539</v>
      </c>
      <c r="CX45" s="59">
        <f t="shared" si="14"/>
        <v>522.29215536614015</v>
      </c>
      <c r="CY45" s="59">
        <f ca="1">AVERAGE(OFFSET($CX$3,0,0,'Données projet'!$E$13+1,1))-AVERAGE(OFFSET($H$3,0,0,'Données projet'!$E$13+1,1))</f>
        <v>445.01146841309549</v>
      </c>
      <c r="CZ45" s="59">
        <f t="shared" si="42"/>
        <v>315.40159257508969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468.72307692307686</v>
      </c>
      <c r="DM45" s="12">
        <f>VLOOKUP(A45,'Données projet'!$A$165:$I$185,9,0)</f>
        <v>22.419230769230751</v>
      </c>
      <c r="DN45" s="12">
        <f t="array" ref="DN45">INDEX(DM:DM,MIN(IF(ISNUMBER(DM45:DM241),ROW(DM45:DM241),"")))</f>
        <v>22.419230769230751</v>
      </c>
      <c r="DO45" s="12">
        <f>IF('Données projet'!$A$166&gt;35,DO44+DN45-DW44,IF(A45&lt;'Données projet'!$A$166,$DL$205^A45,IF(A45='Données projet'!$A$166,'Données projet'!$B$166,DO44+DN45-DW44)))</f>
        <v>468.72307692307686</v>
      </c>
      <c r="DP45" s="17">
        <f>DO45*VLOOKUP('Données projet'!$B$14,Paramètres!$A$1:$I$89,3,0)*VLOOKUP('Données projet'!$B$14,Paramètres!$A$1:$I$89,5,0)</f>
        <v>262.01619999999997</v>
      </c>
      <c r="DQ45" s="13">
        <f t="shared" si="43"/>
        <v>63.151956912854622</v>
      </c>
      <c r="DR45" s="20">
        <f t="shared" si="16"/>
        <v>566.33453995655509</v>
      </c>
      <c r="DS45" s="59">
        <f t="shared" si="17"/>
        <v>815.71320621718985</v>
      </c>
      <c r="DT45" s="59">
        <f ca="1">AVERAGE(OFFSET($DS$3,0,0,'Données projet'!$E$14+1,1))-AVERAGE(OFFSET($H$3,0,0,'Données projet'!$E$14+1,1))</f>
        <v>349.00268383833668</v>
      </c>
      <c r="DU45" s="59">
        <f t="shared" si="44"/>
        <v>459.94854391583749</v>
      </c>
      <c r="DV45" s="15">
        <f>IF(ISNA(VLOOKUP(A45,'Données projet'!$A$165:$I$185,3,0)),0,VLOOKUP(A45,'Données projet'!$A$165:$I$185,3,0))</f>
        <v>5</v>
      </c>
      <c r="DW45" s="15">
        <f>IF(ISNA(VLOOKUP(A45,'Données projet'!$A$165:$I$185,4,0)),0,VLOOKUP(A45,'Données projet'!$A$165:$I$185,4,0))</f>
        <v>73.392307692307682</v>
      </c>
      <c r="DX45" s="16">
        <f>IF(ISNA(VLOOKUP(A45,'Données projet'!$A$165:$I$185,5,0)),0%,VLOOKUP(A45,'Données projet'!$A$165:$I$185,5,0)*VLOOKUP('Données projet'!$B$14,Paramètres!$A$1:$I$89,7,0))</f>
        <v>0.38500000000000001</v>
      </c>
      <c r="DY45" s="16">
        <f>IF(ISNA(VLOOKUP(A45,'Données projet'!$A$165:$I$185,6,0)),0%,VLOOKUP(A45,'Données projet'!$A$165:$I$185,6,0)*VLOOKUP('Données projet'!$B$14,Paramètres!$A$1:$I$89,7,0))</f>
        <v>9.240000000000001E-2</v>
      </c>
      <c r="DZ45" s="16">
        <f>IF(ISNA(VLOOKUP(A45,'Données projet'!$A$165:$I$185,7,0)),0%,VLOOKUP(A45,'Données projet'!$A$165:$I$185,7,0))</f>
        <v>0.13200000000000001</v>
      </c>
      <c r="EA45" s="21">
        <f>EXP(-LN(2)/35)*EA44+(1-EXP(-LN(2)/35))/(LN(2)/35)*DW45*DX45*VLOOKUP('Données projet'!$B$14,Paramètres!$A$1:$I$89,3,0)*0.475*44/12</f>
        <v>61.831684880697594</v>
      </c>
      <c r="EB45" s="21">
        <f>EXP(-LN(2)/25)*EB44+(1-EXP(-LN(2)/25))/(LN(2)/25)*Calculateur!DW45*Calculateur!DY45*VLOOKUP('Données projet'!$B$14,Paramètres!$A$1:$I$89,3,0)*0.475*44/12</f>
        <v>22.097488925021114</v>
      </c>
      <c r="EC45" s="21">
        <f>EXP(-LN(2)/2)*EC44+(1-EXP(-LN(2)/2))/(LN(2)/2)*DW45*DZ45*VLOOKUP('Données projet'!$B$14,Paramètres!$A$1:$I$89,3,0)*0.475*44/12</f>
        <v>6.9526777981796624</v>
      </c>
      <c r="ED45" s="22">
        <f t="shared" si="18"/>
        <v>90.881851603898369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11.142857142857142</v>
      </c>
      <c r="EJ45" s="12">
        <f>IF('Données projet'!$A$192&gt;35,EJ44+EI45-ER44,IF(A45&lt;'Données projet'!$A$192,$EG$205^A45,IF(A45='Données projet'!$A$192,'Données projet'!$B$192,EJ44+EI45-ER44)))</f>
        <v>207.71428571428569</v>
      </c>
      <c r="EK45" s="17">
        <f>EJ45*VLOOKUP('Données projet'!$B$15,Paramètres!$A$1:$I$89,3,0)*VLOOKUP('Données projet'!$B$15,Paramètres!$A$1:$I$89,5,0)</f>
        <v>162.01714285714286</v>
      </c>
      <c r="EL45" s="13">
        <f t="shared" si="45"/>
        <v>41.297155335096676</v>
      </c>
      <c r="EM45" s="20">
        <f t="shared" si="19"/>
        <v>354.10573601815054</v>
      </c>
      <c r="EN45" s="59">
        <f t="shared" si="20"/>
        <v>603.4844022787853</v>
      </c>
      <c r="EO45" s="59">
        <f ca="1">AVERAGE(OFFSET($EN$3,0,0,'Données projet'!$E$15+1,1))-AVERAGE(OFFSET($H$3,0,0,'Données projet'!$E$15+1,1))</f>
        <v>308.82719216177946</v>
      </c>
      <c r="EP45" s="59">
        <f t="shared" si="46"/>
        <v>302.59481222418219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6.7579006444514889</v>
      </c>
      <c r="EW45" s="21">
        <f>EXP(-LN(2)/25)*EW44+(1-EXP(-LN(2)/25))/(LN(2)/25)*Calculateur!ER45*Calculateur!ET45*VLOOKUP('Données projet'!$B$15,Paramètres!$A$1:$I$89,3,0)*0.475*44/12</f>
        <v>14.061345380411646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20.819246024863133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524.02224831178296</v>
      </c>
      <c r="S46" s="59">
        <f ca="1">AVERAGE(OFFSET($R$3,0,0,'Données projet'!$E$9+1,1))-AVERAGE(OFFSET($H$3,0,0,'Données projet'!$E$9+1,1))</f>
        <v>421.33534980160005</v>
      </c>
      <c r="T46" s="59">
        <f t="shared" si="34"/>
        <v>299.0473530693472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9.3452380952380913</v>
      </c>
      <c r="AI46" s="13">
        <f>IF('Données projet'!$A$62&gt;35,AI45+AH46-AQ45,IF(A46&lt;'Données projet'!$A$62,$AF$205^A46,IF(A46='Données projet'!$A$62,'Données projet'!$B$62,AI45+AH46-AQ45)))</f>
        <v>137.62637362637369</v>
      </c>
      <c r="AJ46" s="13">
        <f>AI46*VLOOKUP('Données projet'!$B$10,Paramètres!$A$1:$I$89,3,0)*VLOOKUP('Données projet'!$B$10,Paramètres!$A$1:$I$89,5,0)</f>
        <v>139.55314285714292</v>
      </c>
      <c r="AK46" s="13">
        <f t="shared" si="35"/>
        <v>36.19461775941739</v>
      </c>
      <c r="AL46" s="20">
        <f t="shared" si="4"/>
        <v>306.09401640717584</v>
      </c>
      <c r="AM46" s="59">
        <f t="shared" si="5"/>
        <v>556.23519787360783</v>
      </c>
      <c r="AN46" s="59">
        <f ca="1">AVERAGE(OFFSET($AM$3,0,0,'Données projet'!$E$10+1,1))-AVERAGE(OFFSET($H$3,0,0,'Données projet'!$E$10+1,1))</f>
        <v>462.74754756814662</v>
      </c>
      <c r="AO46" s="59">
        <f t="shared" si="36"/>
        <v>327.65191293226667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9.3452380952380913</v>
      </c>
      <c r="BD46" s="12">
        <f>IF('Données projet'!$A$88&gt;35,BD45+BC46-BL45,IF(A46&lt;'Données projet'!$A$88,$BA$205^A46,IF(A46='Données projet'!$A$88,'Données projet'!$B$88,BD45+BC46-BL45)))</f>
        <v>137.62637362637369</v>
      </c>
      <c r="BE46" s="13">
        <f>BD46*VLOOKUP('Données projet'!$B$11,Paramètres!$A$1:$I$89,3,0)*VLOOKUP('Données projet'!$B$11,Paramètres!$A$1:$I$89,5,0)</f>
        <v>92.319771428571471</v>
      </c>
      <c r="BF46" s="13">
        <f t="shared" si="37"/>
        <v>25.123866668629734</v>
      </c>
      <c r="BG46" s="20">
        <f t="shared" si="7"/>
        <v>204.54766968595877</v>
      </c>
      <c r="BH46" s="59">
        <f t="shared" si="8"/>
        <v>454.68885115239084</v>
      </c>
      <c r="BI46" s="59">
        <f ca="1">AVERAGE(OFFSET($BH$3,0,0,'Données projet'!$E$11+1,1))-AVERAGE(OFFSET($H$3,0,0,'Données projet'!$E$11+1,1))</f>
        <v>332.21938212432008</v>
      </c>
      <c r="BJ46" s="59">
        <f t="shared" si="38"/>
        <v>237.47732529948181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9.3452380952380913</v>
      </c>
      <c r="BY46" s="12">
        <f>IF('Données projet'!$A$114&gt;35,BY45+BX46-CG45,IF(A46&lt;'Données projet'!$A$114,$BV$205^A46,IF(A46='Données projet'!$A$114,'Données projet'!$B$114,BY45+BX46-CG45)))</f>
        <v>137.62637362637369</v>
      </c>
      <c r="BZ46" s="13">
        <f>BY46*VLOOKUP('Données projet'!$B$12,Paramètres!$A$1:$I$89,3,0)*VLOOKUP('Données projet'!$B$12,Paramètres!$A$1:$I$89,5,0)</f>
        <v>130.96525714285721</v>
      </c>
      <c r="CA46" s="13">
        <f t="shared" si="39"/>
        <v>34.219305797477681</v>
      </c>
      <c r="CB46" s="20">
        <f t="shared" si="10"/>
        <v>287.69644712108328</v>
      </c>
      <c r="CC46" s="59">
        <f t="shared" si="11"/>
        <v>537.83762858751538</v>
      </c>
      <c r="CD46" s="59">
        <f ca="1">AVERAGE(OFFSET($CC$3,0,0,'Données projet'!$E$12+1,1))-AVERAGE(OFFSET($H$3,0,0,'Données projet'!$E$12+1,1))</f>
        <v>439.09551305860475</v>
      </c>
      <c r="CE46" s="59">
        <f t="shared" si="40"/>
        <v>311.31528017256846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9.3452380952380913</v>
      </c>
      <c r="CT46" s="12">
        <f>IF('Données projet'!$A$140&gt;35,CT45+CS46-DB45,IF(A46&lt;'Données projet'!$A$140,$CQ$205^A46,IF(A46='Données projet'!$A$140,'Données projet'!$B$140,CT45+CS46-DB45)))</f>
        <v>137.62637362637369</v>
      </c>
      <c r="CU46" s="17">
        <f>CT46*VLOOKUP('Données projet'!$B$13,Paramètres!$A$1:$I$89,3,0)*VLOOKUP('Données projet'!$B$13,Paramètres!$A$1:$I$89,5,0)</f>
        <v>133.11222857142863</v>
      </c>
      <c r="CV46" s="13">
        <f t="shared" si="41"/>
        <v>34.714510794091808</v>
      </c>
      <c r="CW46" s="20">
        <f t="shared" si="13"/>
        <v>292.29823772828144</v>
      </c>
      <c r="CX46" s="59">
        <f t="shared" si="14"/>
        <v>542.43941919471354</v>
      </c>
      <c r="CY46" s="59">
        <f ca="1">AVERAGE(OFFSET($CX$3,0,0,'Données projet'!$E$13+1,1))-AVERAGE(OFFSET($H$3,0,0,'Données projet'!$E$13+1,1))</f>
        <v>445.01146841309549</v>
      </c>
      <c r="CZ46" s="59">
        <f t="shared" si="42"/>
        <v>315.40159257508969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21.625641025641034</v>
      </c>
      <c r="DO46" s="12">
        <f>IF('Données projet'!$A$166&gt;35,DO45+DN46-DW45,IF(A46&lt;'Données projet'!$A$166,$DL$205^A46,IF(A46='Données projet'!$A$166,'Données projet'!$B$166,DO45+DN46-DW45)))</f>
        <v>416.95641025641021</v>
      </c>
      <c r="DP46" s="17">
        <f>DO46*VLOOKUP('Données projet'!$B$14,Paramètres!$A$1:$I$89,3,0)*VLOOKUP('Données projet'!$B$14,Paramètres!$A$1:$I$89,5,0)</f>
        <v>233.0786333333333</v>
      </c>
      <c r="DQ46" s="13">
        <f t="shared" si="43"/>
        <v>56.947838023653489</v>
      </c>
      <c r="DR46" s="20">
        <f t="shared" si="16"/>
        <v>505.1294376134187</v>
      </c>
      <c r="DS46" s="59">
        <f t="shared" si="17"/>
        <v>755.2706190798508</v>
      </c>
      <c r="DT46" s="59">
        <f ca="1">AVERAGE(OFFSET($DS$3,0,0,'Données projet'!$E$14+1,1))-AVERAGE(OFFSET($H$3,0,0,'Données projet'!$E$14+1,1))</f>
        <v>349.00268383833668</v>
      </c>
      <c r="DU46" s="59">
        <f t="shared" si="44"/>
        <v>459.94854391583749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60.619203253790985</v>
      </c>
      <c r="EB46" s="21">
        <f>EXP(-LN(2)/25)*EB45+(1-EXP(-LN(2)/25))/(LN(2)/25)*Calculateur!DW46*Calculateur!DY46*VLOOKUP('Données projet'!$B$14,Paramètres!$A$1:$I$89,3,0)*0.475*44/12</f>
        <v>21.493231928309974</v>
      </c>
      <c r="EC46" s="21">
        <f>EXP(-LN(2)/2)*EC45+(1-EXP(-LN(2)/2))/(LN(2)/2)*DW46*DZ46*VLOOKUP('Données projet'!$B$14,Paramètres!$A$1:$I$89,3,0)*0.475*44/12</f>
        <v>4.9162856184979935</v>
      </c>
      <c r="ED46" s="22">
        <f t="shared" si="18"/>
        <v>87.028720800598961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11.142857142857142</v>
      </c>
      <c r="EJ46" s="12">
        <f>IF('Données projet'!$A$192&gt;35,EJ45+EI46-ER45,IF(A46&lt;'Données projet'!$A$192,$EG$205^A46,IF(A46='Données projet'!$A$192,'Données projet'!$B$192,EJ45+EI46-ER45)))</f>
        <v>218.85714285714283</v>
      </c>
      <c r="EK46" s="17">
        <f>EJ46*VLOOKUP('Données projet'!$B$15,Paramètres!$A$1:$I$89,3,0)*VLOOKUP('Données projet'!$B$15,Paramètres!$A$1:$I$89,5,0)</f>
        <v>170.70857142857142</v>
      </c>
      <c r="EL46" s="13">
        <f t="shared" si="45"/>
        <v>43.248681576985412</v>
      </c>
      <c r="EM46" s="20">
        <f t="shared" si="19"/>
        <v>372.64221565134477</v>
      </c>
      <c r="EN46" s="59">
        <f t="shared" si="20"/>
        <v>622.78339711777676</v>
      </c>
      <c r="EO46" s="59">
        <f ca="1">AVERAGE(OFFSET($EN$3,0,0,'Données projet'!$E$15+1,1))-AVERAGE(OFFSET($H$3,0,0,'Données projet'!$E$15+1,1))</f>
        <v>308.82719216177946</v>
      </c>
      <c r="EP46" s="59">
        <f t="shared" si="46"/>
        <v>302.59481222418219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6.6253823347261829</v>
      </c>
      <c r="EW46" s="21">
        <f>EXP(-LN(2)/25)*EW45+(1-EXP(-LN(2)/25))/(LN(2)/25)*Calculateur!ER46*Calculateur!ET46*VLOOKUP('Données projet'!$B$15,Paramètres!$A$1:$I$89,3,0)*0.475*44/12</f>
        <v>13.676837151530274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20.302219486256455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542.90515282614001</v>
      </c>
      <c r="S47" s="59">
        <f ca="1">AVERAGE(OFFSET($R$3,0,0,'Données projet'!$E$9+1,1))-AVERAGE(OFFSET($H$3,0,0,'Données projet'!$E$9+1,1))</f>
        <v>421.33534980160005</v>
      </c>
      <c r="T47" s="59">
        <f t="shared" si="34"/>
        <v>299.0473530693472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9.3452380952380913</v>
      </c>
      <c r="AI47" s="13">
        <f>IF('Données projet'!$A$62&gt;35,AI46+AH47-AQ46,IF(A47&lt;'Données projet'!$A$62,$AF$205^A47,IF(A47='Données projet'!$A$62,'Données projet'!$B$62,AI46+AH47-AQ46)))</f>
        <v>146.97161172161179</v>
      </c>
      <c r="AJ47" s="13">
        <f>AI47*VLOOKUP('Données projet'!$B$10,Paramètres!$A$1:$I$89,3,0)*VLOOKUP('Données projet'!$B$10,Paramètres!$A$1:$I$89,5,0)</f>
        <v>149.02921428571437</v>
      </c>
      <c r="AK47" s="13">
        <f t="shared" si="35"/>
        <v>38.357887785185099</v>
      </c>
      <c r="AL47" s="20">
        <f t="shared" si="4"/>
        <v>326.36586944014988</v>
      </c>
      <c r="AM47" s="59">
        <f t="shared" si="5"/>
        <v>577.25633817828725</v>
      </c>
      <c r="AN47" s="59">
        <f ca="1">AVERAGE(OFFSET($AM$3,0,0,'Données projet'!$E$10+1,1))-AVERAGE(OFFSET($H$3,0,0,'Données projet'!$E$10+1,1))</f>
        <v>462.74754756814662</v>
      </c>
      <c r="AO47" s="59">
        <f t="shared" si="36"/>
        <v>327.65191293226667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9.3452380952380913</v>
      </c>
      <c r="BD47" s="12">
        <f>IF('Données projet'!$A$88&gt;35,BD46+BC47-BL46,IF(A47&lt;'Données projet'!$A$88,$BA$205^A47,IF(A47='Données projet'!$A$88,'Données projet'!$B$88,BD46+BC47-BL46)))</f>
        <v>146.97161172161179</v>
      </c>
      <c r="BE47" s="13">
        <f>BD47*VLOOKUP('Données projet'!$B$11,Paramètres!$A$1:$I$89,3,0)*VLOOKUP('Données projet'!$B$11,Paramètres!$A$1:$I$89,5,0)</f>
        <v>98.588557142857198</v>
      </c>
      <c r="BF47" s="13">
        <f t="shared" si="37"/>
        <v>26.625463067765359</v>
      </c>
      <c r="BG47" s="20">
        <f t="shared" si="7"/>
        <v>218.08108520016762</v>
      </c>
      <c r="BH47" s="59">
        <f t="shared" si="8"/>
        <v>468.97155393830508</v>
      </c>
      <c r="BI47" s="59">
        <f ca="1">AVERAGE(OFFSET($BH$3,0,0,'Données projet'!$E$11+1,1))-AVERAGE(OFFSET($H$3,0,0,'Données projet'!$E$11+1,1))</f>
        <v>332.21938212432008</v>
      </c>
      <c r="BJ47" s="59">
        <f t="shared" si="38"/>
        <v>237.47732529948181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9.3452380952380913</v>
      </c>
      <c r="BY47" s="12">
        <f>IF('Données projet'!$A$114&gt;35,BY46+BX47-CG46,IF(A47&lt;'Données projet'!$A$114,$BV$205^A47,IF(A47='Données projet'!$A$114,'Données projet'!$B$114,BY46+BX47-CG46)))</f>
        <v>146.97161172161179</v>
      </c>
      <c r="BZ47" s="13">
        <f>BY47*VLOOKUP('Données projet'!$B$12,Paramètres!$A$1:$I$89,3,0)*VLOOKUP('Données projet'!$B$12,Paramètres!$A$1:$I$89,5,0)</f>
        <v>139.85818571428578</v>
      </c>
      <c r="CA47" s="13">
        <f t="shared" si="39"/>
        <v>36.264515917565241</v>
      </c>
      <c r="CB47" s="20">
        <f t="shared" si="10"/>
        <v>306.74703867547379</v>
      </c>
      <c r="CC47" s="59">
        <f t="shared" si="11"/>
        <v>557.63750741361127</v>
      </c>
      <c r="CD47" s="59">
        <f ca="1">AVERAGE(OFFSET($CC$3,0,0,'Données projet'!$E$12+1,1))-AVERAGE(OFFSET($H$3,0,0,'Données projet'!$E$12+1,1))</f>
        <v>439.09551305860475</v>
      </c>
      <c r="CE47" s="59">
        <f t="shared" si="40"/>
        <v>311.31528017256846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9.3452380952380913</v>
      </c>
      <c r="CT47" s="12">
        <f>IF('Données projet'!$A$140&gt;35,CT46+CS47-DB46,IF(A47&lt;'Données projet'!$A$140,$CQ$205^A47,IF(A47='Données projet'!$A$140,'Données projet'!$B$140,CT46+CS47-DB46)))</f>
        <v>146.97161172161179</v>
      </c>
      <c r="CU47" s="17">
        <f>CT47*VLOOKUP('Données projet'!$B$13,Paramètres!$A$1:$I$89,3,0)*VLOOKUP('Données projet'!$B$13,Paramètres!$A$1:$I$89,5,0)</f>
        <v>142.15094285714295</v>
      </c>
      <c r="CV47" s="13">
        <f t="shared" si="41"/>
        <v>36.78931819112556</v>
      </c>
      <c r="CW47" s="20">
        <f t="shared" si="13"/>
        <v>311.65428799240095</v>
      </c>
      <c r="CX47" s="59">
        <f t="shared" si="14"/>
        <v>562.54475673053844</v>
      </c>
      <c r="CY47" s="59">
        <f ca="1">AVERAGE(OFFSET($CX$3,0,0,'Données projet'!$E$13+1,1))-AVERAGE(OFFSET($H$3,0,0,'Données projet'!$E$13+1,1))</f>
        <v>445.01146841309549</v>
      </c>
      <c r="CZ47" s="59">
        <f t="shared" si="42"/>
        <v>315.40159257508969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21.625641025641034</v>
      </c>
      <c r="DO47" s="12">
        <f>IF('Données projet'!$A$166&gt;35,DO46+DN47-DW46,IF(A47&lt;'Données projet'!$A$166,$DL$205^A47,IF(A47='Données projet'!$A$166,'Données projet'!$B$166,DO46+DN47-DW46)))</f>
        <v>438.58205128205122</v>
      </c>
      <c r="DP47" s="17">
        <f>DO47*VLOOKUP('Données projet'!$B$14,Paramètres!$A$1:$I$89,3,0)*VLOOKUP('Données projet'!$B$14,Paramètres!$A$1:$I$89,5,0)</f>
        <v>245.16736666666665</v>
      </c>
      <c r="DQ47" s="13">
        <f t="shared" si="43"/>
        <v>59.549932468183236</v>
      </c>
      <c r="DR47" s="20">
        <f t="shared" si="16"/>
        <v>530.71596265986352</v>
      </c>
      <c r="DS47" s="59">
        <f t="shared" si="17"/>
        <v>781.60643139800095</v>
      </c>
      <c r="DT47" s="59">
        <f ca="1">AVERAGE(OFFSET($DS$3,0,0,'Données projet'!$E$14+1,1))-AVERAGE(OFFSET($H$3,0,0,'Données projet'!$E$14+1,1))</f>
        <v>349.00268383833668</v>
      </c>
      <c r="DU47" s="59">
        <f t="shared" si="44"/>
        <v>459.94854391583749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59.430497652047244</v>
      </c>
      <c r="EB47" s="21">
        <f>EXP(-LN(2)/25)*EB46+(1-EXP(-LN(2)/25))/(LN(2)/25)*Calculateur!DW47*Calculateur!DY47*VLOOKUP('Données projet'!$B$14,Paramètres!$A$1:$I$89,3,0)*0.475*44/12</f>
        <v>20.905498370950394</v>
      </c>
      <c r="EC47" s="21">
        <f>EXP(-LN(2)/2)*EC46+(1-EXP(-LN(2)/2))/(LN(2)/2)*DW47*DZ47*VLOOKUP('Données projet'!$B$14,Paramètres!$A$1:$I$89,3,0)*0.475*44/12</f>
        <v>3.4763388990898312</v>
      </c>
      <c r="ED47" s="22">
        <f t="shared" si="18"/>
        <v>83.812334922087459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230</v>
      </c>
      <c r="EH47" s="12">
        <f>VLOOKUP(A47,'Données projet'!$A$191:$I$211,9,0)</f>
        <v>11.142857142857142</v>
      </c>
      <c r="EI47" s="12">
        <f t="array" ref="EI47">INDEX(EH:EH,MIN(IF(ISNUMBER(EH47:EH243),ROW(EH47:EH243),"")))</f>
        <v>11.142857142857142</v>
      </c>
      <c r="EJ47" s="12">
        <f>IF('Données projet'!$A$192&gt;35,EJ46+EI47-ER46,IF(A47&lt;'Données projet'!$A$192,$EG$205^A47,IF(A47='Données projet'!$A$192,'Données projet'!$B$192,EJ46+EI47-ER46)))</f>
        <v>229.99999999999997</v>
      </c>
      <c r="EK47" s="17">
        <f>EJ47*VLOOKUP('Données projet'!$B$15,Paramètres!$A$1:$I$89,3,0)*VLOOKUP('Données projet'!$B$15,Paramètres!$A$1:$I$89,5,0)</f>
        <v>179.39999999999998</v>
      </c>
      <c r="EL47" s="13">
        <f t="shared" si="45"/>
        <v>45.188671291872232</v>
      </c>
      <c r="EM47" s="20">
        <f t="shared" si="19"/>
        <v>391.15860250001077</v>
      </c>
      <c r="EN47" s="59">
        <f t="shared" si="20"/>
        <v>642.04907123814814</v>
      </c>
      <c r="EO47" s="59">
        <f ca="1">AVERAGE(OFFSET($EN$3,0,0,'Données projet'!$E$15+1,1))-AVERAGE(OFFSET($H$3,0,0,'Données projet'!$E$15+1,1))</f>
        <v>308.82719216177946</v>
      </c>
      <c r="EP47" s="59">
        <f t="shared" si="46"/>
        <v>302.59481222418219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43</v>
      </c>
      <c r="ES47" s="16">
        <f>IF(ISNA(VLOOKUP(A47,'Données projet'!$A$191:$I$211,5,0)),0%,VLOOKUP(A47,'Données projet'!$A$191:$I$211,5,0)*VLOOKUP('Données projet'!$B$15,Paramètres!$A$1:$I$89,7,0))</f>
        <v>0.17200000000000001</v>
      </c>
      <c r="ET47" s="16">
        <f>IF(ISNA(VLOOKUP(A47,'Données projet'!$A$191:$I$211,6,0)),0%,VLOOKUP(A47,'Données projet'!$A$191:$I$211,6,0)*VLOOKUP('Données projet'!$B$15,Paramètres!$A$1:$I$89,7,0))</f>
        <v>0.17200000000000001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12.872788591306449</v>
      </c>
      <c r="EW47" s="21">
        <f>EXP(-LN(2)/25)*EW46+(1-EXP(-LN(2)/25))/(LN(2)/25)*Calculateur!ER47*Calculateur!ET47*VLOOKUP('Données projet'!$B$15,Paramètres!$A$1:$I$89,3,0)*0.475*44/12</f>
        <v>19.655059321199772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32.527847912506218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561.74991900371379</v>
      </c>
      <c r="S48" s="59">
        <f ca="1">AVERAGE(OFFSET($R$3,0,0,'Données projet'!$E$9+1,1))-AVERAGE(OFFSET($H$3,0,0,'Données projet'!$E$9+1,1))</f>
        <v>421.33534980160005</v>
      </c>
      <c r="T48" s="59">
        <f t="shared" si="34"/>
        <v>299.0473530693472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9.3452380952380913</v>
      </c>
      <c r="AI48" s="13">
        <f>IF('Données projet'!$A$62&gt;35,AI47+AH48-AQ47,IF(A48&lt;'Données projet'!$A$62,$AF$205^A48,IF(A48='Données projet'!$A$62,'Données projet'!$B$62,AI47+AH48-AQ47)))</f>
        <v>156.3168498168499</v>
      </c>
      <c r="AJ48" s="13">
        <f>AI48*VLOOKUP('Données projet'!$B$10,Paramètres!$A$1:$I$89,3,0)*VLOOKUP('Données projet'!$B$10,Paramètres!$A$1:$I$89,5,0)</f>
        <v>158.5052857142858</v>
      </c>
      <c r="AK48" s="13">
        <f t="shared" si="35"/>
        <v>40.505194484738432</v>
      </c>
      <c r="AL48" s="20">
        <f t="shared" si="4"/>
        <v>346.60991967996728</v>
      </c>
      <c r="AM48" s="59">
        <f t="shared" si="5"/>
        <v>598.23667723080143</v>
      </c>
      <c r="AN48" s="59">
        <f ca="1">AVERAGE(OFFSET($AM$3,0,0,'Données projet'!$E$10+1,1))-AVERAGE(OFFSET($H$3,0,0,'Données projet'!$E$10+1,1))</f>
        <v>462.74754756814662</v>
      </c>
      <c r="AO48" s="59">
        <f t="shared" si="36"/>
        <v>327.65191293226667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9.3452380952380913</v>
      </c>
      <c r="BD48" s="12">
        <f>IF('Données projet'!$A$88&gt;35,BD47+BC48-BL47,IF(A48&lt;'Données projet'!$A$88,$BA$205^A48,IF(A48='Données projet'!$A$88,'Données projet'!$B$88,BD47+BC48-BL47)))</f>
        <v>156.3168498168499</v>
      </c>
      <c r="BE48" s="13">
        <f>BD48*VLOOKUP('Données projet'!$B$11,Paramètres!$A$1:$I$89,3,0)*VLOOKUP('Données projet'!$B$11,Paramètres!$A$1:$I$89,5,0)</f>
        <v>104.85734285714292</v>
      </c>
      <c r="BF48" s="13">
        <f t="shared" si="37"/>
        <v>28.115978800652098</v>
      </c>
      <c r="BG48" s="20">
        <f t="shared" si="7"/>
        <v>231.59520188732631</v>
      </c>
      <c r="BH48" s="59">
        <f t="shared" si="8"/>
        <v>483.22195943816041</v>
      </c>
      <c r="BI48" s="59">
        <f ca="1">AVERAGE(OFFSET($BH$3,0,0,'Données projet'!$E$11+1,1))-AVERAGE(OFFSET($H$3,0,0,'Données projet'!$E$11+1,1))</f>
        <v>332.21938212432008</v>
      </c>
      <c r="BJ48" s="59">
        <f t="shared" si="38"/>
        <v>237.47732529948181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9.3452380952380913</v>
      </c>
      <c r="BY48" s="12">
        <f>IF('Données projet'!$A$114&gt;35,BY47+BX48-CG47,IF(A48&lt;'Données projet'!$A$114,$BV$205^A48,IF(A48='Données projet'!$A$114,'Données projet'!$B$114,BY47+BX48-CG47)))</f>
        <v>156.3168498168499</v>
      </c>
      <c r="BZ48" s="13">
        <f>BY48*VLOOKUP('Données projet'!$B$12,Paramètres!$A$1:$I$89,3,0)*VLOOKUP('Données projet'!$B$12,Paramètres!$A$1:$I$89,5,0)</f>
        <v>148.75111428571438</v>
      </c>
      <c r="CA48" s="13">
        <f t="shared" si="39"/>
        <v>38.294633905863954</v>
      </c>
      <c r="CB48" s="20">
        <f t="shared" si="10"/>
        <v>325.77134476699888</v>
      </c>
      <c r="CC48" s="59">
        <f t="shared" si="11"/>
        <v>577.39810231783304</v>
      </c>
      <c r="CD48" s="59">
        <f ca="1">AVERAGE(OFFSET($CC$3,0,0,'Données projet'!$E$12+1,1))-AVERAGE(OFFSET($H$3,0,0,'Données projet'!$E$12+1,1))</f>
        <v>439.09551305860475</v>
      </c>
      <c r="CE48" s="59">
        <f t="shared" si="40"/>
        <v>311.31528017256846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9.3452380952380913</v>
      </c>
      <c r="CT48" s="12">
        <f>IF('Données projet'!$A$140&gt;35,CT47+CS48-DB47,IF(A48&lt;'Données projet'!$A$140,$CQ$205^A48,IF(A48='Données projet'!$A$140,'Données projet'!$B$140,CT47+CS48-DB47)))</f>
        <v>156.3168498168499</v>
      </c>
      <c r="CU48" s="17">
        <f>CT48*VLOOKUP('Données projet'!$B$13,Paramètres!$A$1:$I$89,3,0)*VLOOKUP('Données projet'!$B$13,Paramètres!$A$1:$I$89,5,0)</f>
        <v>151.18965714285721</v>
      </c>
      <c r="CV48" s="13">
        <f t="shared" si="41"/>
        <v>38.848815050447264</v>
      </c>
      <c r="CW48" s="20">
        <f t="shared" si="13"/>
        <v>330.98367240333863</v>
      </c>
      <c r="CX48" s="59">
        <f t="shared" si="14"/>
        <v>582.61042995417279</v>
      </c>
      <c r="CY48" s="59">
        <f ca="1">AVERAGE(OFFSET($CX$3,0,0,'Données projet'!$E$13+1,1))-AVERAGE(OFFSET($H$3,0,0,'Données projet'!$E$13+1,1))</f>
        <v>445.01146841309549</v>
      </c>
      <c r="CZ48" s="59">
        <f t="shared" si="42"/>
        <v>315.40159257508969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21.625641025641034</v>
      </c>
      <c r="DO48" s="12">
        <f>IF('Données projet'!$A$166&gt;35,DO47+DN48-DW47,IF(A48&lt;'Données projet'!$A$166,$DL$205^A48,IF(A48='Données projet'!$A$166,'Données projet'!$B$166,DO47+DN48-DW47)))</f>
        <v>460.20769230769224</v>
      </c>
      <c r="DP48" s="17">
        <f>DO48*VLOOKUP('Données projet'!$B$14,Paramètres!$A$1:$I$89,3,0)*VLOOKUP('Données projet'!$B$14,Paramètres!$A$1:$I$89,5,0)</f>
        <v>257.25609999999995</v>
      </c>
      <c r="DQ48" s="13">
        <f t="shared" si="43"/>
        <v>62.137128695600659</v>
      </c>
      <c r="DR48" s="20">
        <f t="shared" si="16"/>
        <v>556.27653997817106</v>
      </c>
      <c r="DS48" s="59">
        <f t="shared" si="17"/>
        <v>807.90329752900516</v>
      </c>
      <c r="DT48" s="59">
        <f ca="1">AVERAGE(OFFSET($DS$3,0,0,'Données projet'!$E$14+1,1))-AVERAGE(OFFSET($H$3,0,0,'Données projet'!$E$14+1,1))</f>
        <v>349.00268383833668</v>
      </c>
      <c r="DU48" s="59">
        <f t="shared" si="44"/>
        <v>459.94854391583749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58.265101842114873</v>
      </c>
      <c r="EB48" s="21">
        <f>EXP(-LN(2)/25)*EB47+(1-EXP(-LN(2)/25))/(LN(2)/25)*Calculateur!DW48*Calculateur!DY48*VLOOKUP('Données projet'!$B$14,Paramètres!$A$1:$I$89,3,0)*0.475*44/12</f>
        <v>20.333836418624376</v>
      </c>
      <c r="EC48" s="21">
        <f>EXP(-LN(2)/2)*EC47+(1-EXP(-LN(2)/2))/(LN(2)/2)*DW48*DZ48*VLOOKUP('Données projet'!$B$14,Paramètres!$A$1:$I$89,3,0)*0.475*44/12</f>
        <v>2.4581428092489968</v>
      </c>
      <c r="ED48" s="22">
        <f t="shared" si="18"/>
        <v>81.057081069988243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10.375</v>
      </c>
      <c r="EJ48" s="12">
        <f>IF('Données projet'!$A$192&gt;35,EJ47+EI48-ER47,IF(A48&lt;'Données projet'!$A$192,$EG$205^A48,IF(A48='Données projet'!$A$192,'Données projet'!$B$192,EJ47+EI48-ER47)))</f>
        <v>197.37499999999997</v>
      </c>
      <c r="EK48" s="17">
        <f>EJ48*VLOOKUP('Données projet'!$B$15,Paramètres!$A$1:$I$89,3,0)*VLOOKUP('Données projet'!$B$15,Paramètres!$A$1:$I$89,5,0)</f>
        <v>153.95249999999999</v>
      </c>
      <c r="EL48" s="13">
        <f t="shared" si="45"/>
        <v>39.475441267837397</v>
      </c>
      <c r="EM48" s="20">
        <f t="shared" si="19"/>
        <v>336.88699770815009</v>
      </c>
      <c r="EN48" s="59">
        <f t="shared" si="20"/>
        <v>588.51375525898425</v>
      </c>
      <c r="EO48" s="59">
        <f ca="1">AVERAGE(OFFSET($EN$3,0,0,'Données projet'!$E$15+1,1))-AVERAGE(OFFSET($H$3,0,0,'Données projet'!$E$15+1,1))</f>
        <v>308.82719216177946</v>
      </c>
      <c r="EP48" s="59">
        <f t="shared" si="46"/>
        <v>302.59481222418219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12.620361058656687</v>
      </c>
      <c r="EW48" s="21">
        <f>EXP(-LN(2)/25)*EW47+(1-EXP(-LN(2)/25))/(LN(2)/25)*Calculateur!ER48*Calculateur!ET48*VLOOKUP('Données projet'!$B$15,Paramètres!$A$1:$I$89,3,0)*0.475*44/12</f>
        <v>19.117590690446917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31.737951749103605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580.55844647287711</v>
      </c>
      <c r="S49" s="59">
        <f ca="1">AVERAGE(OFFSET($R$3,0,0,'Données projet'!$E$9+1,1))-AVERAGE(OFFSET($H$3,0,0,'Données projet'!$E$9+1,1))</f>
        <v>421.33534980160005</v>
      </c>
      <c r="T49" s="59">
        <f t="shared" si="34"/>
        <v>299.0473530693472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9.3452380952380913</v>
      </c>
      <c r="AI49" s="13">
        <f>IF('Données projet'!$A$62&gt;35,AI48+AH49-AQ48,IF(A49&lt;'Données projet'!$A$62,$AF$205^A49,IF(A49='Données projet'!$A$62,'Données projet'!$B$62,AI48+AH49-AQ48)))</f>
        <v>165.662087912088</v>
      </c>
      <c r="AJ49" s="13">
        <f>AI49*VLOOKUP('Données projet'!$B$10,Paramètres!$A$1:$I$89,3,0)*VLOOKUP('Données projet'!$B$10,Paramètres!$A$1:$I$89,5,0)</f>
        <v>167.98135714285723</v>
      </c>
      <c r="AK49" s="13">
        <f t="shared" si="35"/>
        <v>42.637600900233188</v>
      </c>
      <c r="AL49" s="20">
        <f t="shared" si="4"/>
        <v>366.82801859171582</v>
      </c>
      <c r="AM49" s="59">
        <f t="shared" si="5"/>
        <v>619.17829199044149</v>
      </c>
      <c r="AN49" s="59">
        <f ca="1">AVERAGE(OFFSET($AM$3,0,0,'Données projet'!$E$10+1,1))-AVERAGE(OFFSET($H$3,0,0,'Données projet'!$E$10+1,1))</f>
        <v>462.74754756814662</v>
      </c>
      <c r="AO49" s="59">
        <f t="shared" si="36"/>
        <v>327.65191293226667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9.3452380952380913</v>
      </c>
      <c r="BD49" s="12">
        <f>IF('Données projet'!$A$88&gt;35,BD48+BC49-BL48,IF(A49&lt;'Données projet'!$A$88,$BA$205^A49,IF(A49='Données projet'!$A$88,'Données projet'!$B$88,BD48+BC49-BL48)))</f>
        <v>165.662087912088</v>
      </c>
      <c r="BE49" s="13">
        <f>BD49*VLOOKUP('Données projet'!$B$11,Paramètres!$A$1:$I$89,3,0)*VLOOKUP('Données projet'!$B$11,Paramètres!$A$1:$I$89,5,0)</f>
        <v>111.12612857142864</v>
      </c>
      <c r="BF49" s="13">
        <f t="shared" si="37"/>
        <v>29.596151759579989</v>
      </c>
      <c r="BG49" s="20">
        <f t="shared" si="7"/>
        <v>245.09130490984001</v>
      </c>
      <c r="BH49" s="59">
        <f t="shared" si="8"/>
        <v>497.44157830856568</v>
      </c>
      <c r="BI49" s="59">
        <f ca="1">AVERAGE(OFFSET($BH$3,0,0,'Données projet'!$E$11+1,1))-AVERAGE(OFFSET($H$3,0,0,'Données projet'!$E$11+1,1))</f>
        <v>332.21938212432008</v>
      </c>
      <c r="BJ49" s="59">
        <f t="shared" si="38"/>
        <v>237.47732529948181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9.3452380952380913</v>
      </c>
      <c r="BY49" s="12">
        <f>IF('Données projet'!$A$114&gt;35,BY48+BX49-CG48,IF(A49&lt;'Données projet'!$A$114,$BV$205^A49,IF(A49='Données projet'!$A$114,'Données projet'!$B$114,BY48+BX49-CG48)))</f>
        <v>165.662087912088</v>
      </c>
      <c r="BZ49" s="13">
        <f>BY49*VLOOKUP('Données projet'!$B$12,Paramètres!$A$1:$I$89,3,0)*VLOOKUP('Données projet'!$B$12,Paramètres!$A$1:$I$89,5,0)</f>
        <v>157.64404285714292</v>
      </c>
      <c r="CA49" s="13">
        <f t="shared" si="39"/>
        <v>40.31066478927707</v>
      </c>
      <c r="CB49" s="20">
        <f t="shared" si="10"/>
        <v>344.77111581751478</v>
      </c>
      <c r="CC49" s="59">
        <f t="shared" si="11"/>
        <v>597.12138921624046</v>
      </c>
      <c r="CD49" s="59">
        <f ca="1">AVERAGE(OFFSET($CC$3,0,0,'Données projet'!$E$12+1,1))-AVERAGE(OFFSET($H$3,0,0,'Données projet'!$E$12+1,1))</f>
        <v>439.09551305860475</v>
      </c>
      <c r="CE49" s="59">
        <f t="shared" si="40"/>
        <v>311.31528017256846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9.3452380952380913</v>
      </c>
      <c r="CT49" s="12">
        <f>IF('Données projet'!$A$140&gt;35,CT48+CS49-DB48,IF(A49&lt;'Données projet'!$A$140,$CQ$205^A49,IF(A49='Données projet'!$A$140,'Données projet'!$B$140,CT48+CS49-DB48)))</f>
        <v>165.662087912088</v>
      </c>
      <c r="CU49" s="17">
        <f>CT49*VLOOKUP('Données projet'!$B$13,Paramètres!$A$1:$I$89,3,0)*VLOOKUP('Données projet'!$B$13,Paramètres!$A$1:$I$89,5,0)</f>
        <v>160.22837142857151</v>
      </c>
      <c r="CV49" s="13">
        <f t="shared" si="41"/>
        <v>40.894020943216304</v>
      </c>
      <c r="CW49" s="20">
        <f t="shared" si="13"/>
        <v>350.28816671419708</v>
      </c>
      <c r="CX49" s="59">
        <f t="shared" si="14"/>
        <v>602.63844011292269</v>
      </c>
      <c r="CY49" s="59">
        <f ca="1">AVERAGE(OFFSET($CX$3,0,0,'Données projet'!$E$13+1,1))-AVERAGE(OFFSET($H$3,0,0,'Données projet'!$E$13+1,1))</f>
        <v>445.01146841309549</v>
      </c>
      <c r="CZ49" s="59">
        <f t="shared" si="42"/>
        <v>315.40159257508969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21.625641025641034</v>
      </c>
      <c r="DO49" s="12">
        <f>IF('Données projet'!$A$166&gt;35,DO48+DN49-DW48,IF(A49&lt;'Données projet'!$A$166,$DL$205^A49,IF(A49='Données projet'!$A$166,'Données projet'!$B$166,DO48+DN49-DW48)))</f>
        <v>481.83333333333326</v>
      </c>
      <c r="DP49" s="17">
        <f>DO49*VLOOKUP('Données projet'!$B$14,Paramètres!$A$1:$I$89,3,0)*VLOOKUP('Données projet'!$B$14,Paramètres!$A$1:$I$89,5,0)</f>
        <v>269.34483333333333</v>
      </c>
      <c r="DQ49" s="13">
        <f t="shared" si="43"/>
        <v>64.710206731812576</v>
      </c>
      <c r="DR49" s="20">
        <f t="shared" si="16"/>
        <v>581.81252811346246</v>
      </c>
      <c r="DS49" s="59">
        <f t="shared" si="17"/>
        <v>834.16280151218814</v>
      </c>
      <c r="DT49" s="59">
        <f ca="1">AVERAGE(OFFSET($DS$3,0,0,'Données projet'!$E$14+1,1))-AVERAGE(OFFSET($H$3,0,0,'Données projet'!$E$14+1,1))</f>
        <v>349.00268383833668</v>
      </c>
      <c r="DU49" s="59">
        <f t="shared" si="44"/>
        <v>459.94854391583749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57.122558733194019</v>
      </c>
      <c r="EB49" s="21">
        <f>EXP(-LN(2)/25)*EB48+(1-EXP(-LN(2)/25))/(LN(2)/25)*Calculateur!DW49*Calculateur!DY49*VLOOKUP('Données projet'!$B$14,Paramètres!$A$1:$I$89,3,0)*0.475*44/12</f>
        <v>19.77780659244711</v>
      </c>
      <c r="EC49" s="21">
        <f>EXP(-LN(2)/2)*EC48+(1-EXP(-LN(2)/2))/(LN(2)/2)*DW49*DZ49*VLOOKUP('Données projet'!$B$14,Paramètres!$A$1:$I$89,3,0)*0.475*44/12</f>
        <v>1.7381694495449156</v>
      </c>
      <c r="ED49" s="22">
        <f t="shared" si="18"/>
        <v>78.638534775186045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10.375</v>
      </c>
      <c r="EJ49" s="12">
        <f>IF('Données projet'!$A$192&gt;35,EJ48+EI49-ER48,IF(A49&lt;'Données projet'!$A$192,$EG$205^A49,IF(A49='Données projet'!$A$192,'Données projet'!$B$192,EJ48+EI49-ER48)))</f>
        <v>207.74999999999997</v>
      </c>
      <c r="EK49" s="17">
        <f>EJ49*VLOOKUP('Données projet'!$B$15,Paramètres!$A$1:$I$89,3,0)*VLOOKUP('Données projet'!$B$15,Paramètres!$A$1:$I$89,5,0)</f>
        <v>162.04499999999999</v>
      </c>
      <c r="EL49" s="13">
        <f t="shared" si="45"/>
        <v>41.303429372463391</v>
      </c>
      <c r="EM49" s="20">
        <f t="shared" si="19"/>
        <v>354.16518115704031</v>
      </c>
      <c r="EN49" s="59">
        <f t="shared" si="20"/>
        <v>606.51545455576593</v>
      </c>
      <c r="EO49" s="59">
        <f ca="1">AVERAGE(OFFSET($EN$3,0,0,'Données projet'!$E$15+1,1))-AVERAGE(OFFSET($H$3,0,0,'Données projet'!$E$15+1,1))</f>
        <v>308.82719216177946</v>
      </c>
      <c r="EP49" s="59">
        <f t="shared" si="46"/>
        <v>302.59481222418219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12.372883475956595</v>
      </c>
      <c r="EW49" s="21">
        <f>EXP(-LN(2)/25)*EW48+(1-EXP(-LN(2)/25))/(LN(2)/25)*Calculateur!ER49*Calculateur!ET49*VLOOKUP('Données projet'!$B$15,Paramètres!$A$1:$I$89,3,0)*0.475*44/12</f>
        <v>18.594819167666245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30.96770264362284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599.33243140140189</v>
      </c>
      <c r="S50" s="59">
        <f ca="1">AVERAGE(OFFSET($R$3,0,0,'Données projet'!$E$9+1,1))-AVERAGE(OFFSET($H$3,0,0,'Données projet'!$E$9+1,1))</f>
        <v>421.33534980160005</v>
      </c>
      <c r="T50" s="59">
        <f t="shared" si="34"/>
        <v>299.0473530693472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9.3452380952380913</v>
      </c>
      <c r="AI50" s="13">
        <f>IF('Données projet'!$A$62&gt;35,AI49+AH50-AQ49,IF(A50&lt;'Données projet'!$A$62,$AF$205^A50,IF(A50='Données projet'!$A$62,'Données projet'!$B$62,AI49+AH50-AQ49)))</f>
        <v>175.0073260073261</v>
      </c>
      <c r="AJ50" s="13">
        <f>AI50*VLOOKUP('Données projet'!$B$10,Paramètres!$A$1:$I$89,3,0)*VLOOKUP('Données projet'!$B$10,Paramètres!$A$1:$I$89,5,0)</f>
        <v>177.45742857142866</v>
      </c>
      <c r="AK50" s="13">
        <f t="shared" si="35"/>
        <v>44.75604336428804</v>
      </c>
      <c r="AL50" s="20">
        <f t="shared" si="4"/>
        <v>387.02179695470659</v>
      </c>
      <c r="AM50" s="59">
        <f t="shared" si="5"/>
        <v>640.08303481890198</v>
      </c>
      <c r="AN50" s="59">
        <f ca="1">AVERAGE(OFFSET($AM$3,0,0,'Données projet'!$E$10+1,1))-AVERAGE(OFFSET($H$3,0,0,'Données projet'!$E$10+1,1))</f>
        <v>462.74754756814662</v>
      </c>
      <c r="AO50" s="59">
        <f t="shared" si="36"/>
        <v>327.65191293226667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9.3452380952380913</v>
      </c>
      <c r="BD50" s="12">
        <f>IF('Données projet'!$A$88&gt;35,BD49+BC50-BL49,IF(A50&lt;'Données projet'!$A$88,$BA$205^A50,IF(A50='Données projet'!$A$88,'Données projet'!$B$88,BD49+BC50-BL49)))</f>
        <v>175.0073260073261</v>
      </c>
      <c r="BE50" s="13">
        <f>BD50*VLOOKUP('Données projet'!$B$11,Paramètres!$A$1:$I$89,3,0)*VLOOKUP('Données projet'!$B$11,Paramètres!$A$1:$I$89,5,0)</f>
        <v>117.39491428571435</v>
      </c>
      <c r="BF50" s="13">
        <f t="shared" si="37"/>
        <v>31.066631883609745</v>
      </c>
      <c r="BG50" s="20">
        <f t="shared" si="7"/>
        <v>258.57052624490609</v>
      </c>
      <c r="BH50" s="59">
        <f t="shared" si="8"/>
        <v>511.63176410910148</v>
      </c>
      <c r="BI50" s="59">
        <f ca="1">AVERAGE(OFFSET($BH$3,0,0,'Données projet'!$E$11+1,1))-AVERAGE(OFFSET($H$3,0,0,'Données projet'!$E$11+1,1))</f>
        <v>332.21938212432008</v>
      </c>
      <c r="BJ50" s="59">
        <f t="shared" si="38"/>
        <v>237.47732529948181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9.3452380952380913</v>
      </c>
      <c r="BY50" s="12">
        <f>IF('Données projet'!$A$114&gt;35,BY49+BX50-CG49,IF(A50&lt;'Données projet'!$A$114,$BV$205^A50,IF(A50='Données projet'!$A$114,'Données projet'!$B$114,BY49+BX50-CG49)))</f>
        <v>175.0073260073261</v>
      </c>
      <c r="BZ50" s="13">
        <f>BY50*VLOOKUP('Données projet'!$B$12,Paramètres!$A$1:$I$89,3,0)*VLOOKUP('Données projet'!$B$12,Paramètres!$A$1:$I$89,5,0)</f>
        <v>166.53697142857152</v>
      </c>
      <c r="CA50" s="13">
        <f t="shared" si="39"/>
        <v>42.313493800311278</v>
      </c>
      <c r="CB50" s="20">
        <f t="shared" si="10"/>
        <v>363.74789360697088</v>
      </c>
      <c r="CC50" s="59">
        <f t="shared" si="11"/>
        <v>616.80913147116621</v>
      </c>
      <c r="CD50" s="59">
        <f ca="1">AVERAGE(OFFSET($CC$3,0,0,'Données projet'!$E$12+1,1))-AVERAGE(OFFSET($H$3,0,0,'Données projet'!$E$12+1,1))</f>
        <v>439.09551305860475</v>
      </c>
      <c r="CE50" s="59">
        <f t="shared" si="40"/>
        <v>311.31528017256846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9.3452380952380913</v>
      </c>
      <c r="CT50" s="12">
        <f>IF('Données projet'!$A$140&gt;35,CT49+CS50-DB49,IF(A50&lt;'Données projet'!$A$140,$CQ$205^A50,IF(A50='Données projet'!$A$140,'Données projet'!$B$140,CT49+CS50-DB49)))</f>
        <v>175.0073260073261</v>
      </c>
      <c r="CU50" s="17">
        <f>CT50*VLOOKUP('Données projet'!$B$13,Paramètres!$A$1:$I$89,3,0)*VLOOKUP('Données projet'!$B$13,Paramètres!$A$1:$I$89,5,0)</f>
        <v>169.2670857142858</v>
      </c>
      <c r="CV50" s="13">
        <f t="shared" si="41"/>
        <v>42.925833912589638</v>
      </c>
      <c r="CW50" s="20">
        <f t="shared" si="13"/>
        <v>369.56933501680805</v>
      </c>
      <c r="CX50" s="59">
        <f t="shared" si="14"/>
        <v>622.63057288100345</v>
      </c>
      <c r="CY50" s="59">
        <f ca="1">AVERAGE(OFFSET($CX$3,0,0,'Données projet'!$E$13+1,1))-AVERAGE(OFFSET($H$3,0,0,'Données projet'!$E$13+1,1))</f>
        <v>445.01146841309549</v>
      </c>
      <c r="CZ50" s="59">
        <f t="shared" si="42"/>
        <v>315.40159257508969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21.625641025641034</v>
      </c>
      <c r="DO50" s="12">
        <f>IF('Données projet'!$A$166&gt;35,DO49+DN50-DW49,IF(A50&lt;'Données projet'!$A$166,$DL$205^A50,IF(A50='Données projet'!$A$166,'Données projet'!$B$166,DO49+DN50-DW49)))</f>
        <v>503.45897435897427</v>
      </c>
      <c r="DP50" s="17">
        <f>DO50*VLOOKUP('Données projet'!$B$14,Paramètres!$A$1:$I$89,3,0)*VLOOKUP('Données projet'!$B$14,Paramètres!$A$1:$I$89,5,0)</f>
        <v>281.43356666666659</v>
      </c>
      <c r="DQ50" s="13">
        <f t="shared" si="43"/>
        <v>67.26987262617007</v>
      </c>
      <c r="DR50" s="20">
        <f t="shared" si="16"/>
        <v>607.32515676835726</v>
      </c>
      <c r="DS50" s="59">
        <f t="shared" si="17"/>
        <v>860.38639463255265</v>
      </c>
      <c r="DT50" s="59">
        <f ca="1">AVERAGE(OFFSET($DS$3,0,0,'Données projet'!$E$14+1,1))-AVERAGE(OFFSET($H$3,0,0,'Données projet'!$E$14+1,1))</f>
        <v>349.00268383833668</v>
      </c>
      <c r="DU50" s="59">
        <f t="shared" si="44"/>
        <v>459.94854391583749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56.002420197756614</v>
      </c>
      <c r="EB50" s="21">
        <f>EXP(-LN(2)/25)*EB49+(1-EXP(-LN(2)/25))/(LN(2)/25)*Calculateur!DW50*Calculateur!DY50*VLOOKUP('Données projet'!$B$14,Paramètres!$A$1:$I$89,3,0)*0.475*44/12</f>
        <v>19.236981431106997</v>
      </c>
      <c r="EC50" s="21">
        <f>EXP(-LN(2)/2)*EC49+(1-EXP(-LN(2)/2))/(LN(2)/2)*DW50*DZ50*VLOOKUP('Données projet'!$B$14,Paramètres!$A$1:$I$89,3,0)*0.475*44/12</f>
        <v>1.2290714046244984</v>
      </c>
      <c r="ED50" s="22">
        <f t="shared" si="18"/>
        <v>76.46847303348811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10.375</v>
      </c>
      <c r="EJ50" s="12">
        <f>IF('Données projet'!$A$192&gt;35,EJ49+EI50-ER49,IF(A50&lt;'Données projet'!$A$192,$EG$205^A50,IF(A50='Données projet'!$A$192,'Données projet'!$B$192,EJ49+EI50-ER49)))</f>
        <v>218.12499999999997</v>
      </c>
      <c r="EK50" s="17">
        <f>EJ50*VLOOKUP('Données projet'!$B$15,Paramètres!$A$1:$I$89,3,0)*VLOOKUP('Données projet'!$B$15,Paramètres!$A$1:$I$89,5,0)</f>
        <v>170.13749999999999</v>
      </c>
      <c r="EL50" s="13">
        <f t="shared" si="45"/>
        <v>43.120817562072411</v>
      </c>
      <c r="EM50" s="20">
        <f t="shared" si="19"/>
        <v>371.42490308727605</v>
      </c>
      <c r="EN50" s="59">
        <f t="shared" si="20"/>
        <v>624.4861409514715</v>
      </c>
      <c r="EO50" s="59">
        <f ca="1">AVERAGE(OFFSET($EN$3,0,0,'Données projet'!$E$15+1,1))-AVERAGE(OFFSET($H$3,0,0,'Données projet'!$E$15+1,1))</f>
        <v>308.82719216177946</v>
      </c>
      <c r="EP50" s="59">
        <f t="shared" si="46"/>
        <v>302.59481222418219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12.13025877770683</v>
      </c>
      <c r="EW50" s="21">
        <f>EXP(-LN(2)/25)*EW49+(1-EXP(-LN(2)/25))/(LN(2)/25)*Calculateur!ER50*Calculateur!ET50*VLOOKUP('Données projet'!$B$15,Paramètres!$A$1:$I$89,3,0)*0.475*44/12</f>
        <v>18.086342859667369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30.216601637374197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618.07339973555031</v>
      </c>
      <c r="S51" s="59">
        <f ca="1">AVERAGE(OFFSET($R$3,0,0,'Données projet'!$E$9+1,1))-AVERAGE(OFFSET($H$3,0,0,'Données projet'!$E$9+1,1))</f>
        <v>421.33534980160005</v>
      </c>
      <c r="T51" s="59">
        <f t="shared" si="34"/>
        <v>299.0473530693472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184.35256410256409</v>
      </c>
      <c r="AG51" s="12">
        <f>VLOOKUP(A51,'Données projet'!$A$61:$I$81,9,0)</f>
        <v>9.3452380952380913</v>
      </c>
      <c r="AH51" s="12">
        <f t="array" ref="AH51">INDEX(AG:AG,MIN(IF(ISNUMBER(AG51:AG247),ROW(AG51:AG247),"")))</f>
        <v>9.3452380952380913</v>
      </c>
      <c r="AI51" s="13">
        <f>IF('Données projet'!$A$62&gt;35,AI50+AH51-AQ50,IF(A51&lt;'Données projet'!$A$62,$AF$205^A51,IF(A51='Données projet'!$A$62,'Données projet'!$B$62,AI50+AH51-AQ50)))</f>
        <v>184.3525641025642</v>
      </c>
      <c r="AJ51" s="13">
        <f>AI51*VLOOKUP('Données projet'!$B$10,Paramètres!$A$1:$I$89,3,0)*VLOOKUP('Données projet'!$B$10,Paramètres!$A$1:$I$89,5,0)</f>
        <v>186.93350000000012</v>
      </c>
      <c r="AK51" s="13">
        <f t="shared" si="35"/>
        <v>46.861352563060628</v>
      </c>
      <c r="AL51" s="20">
        <f t="shared" si="4"/>
        <v>407.19270154733073</v>
      </c>
      <c r="AM51" s="59">
        <f t="shared" si="5"/>
        <v>660.95257023299837</v>
      </c>
      <c r="AN51" s="59">
        <f ca="1">AVERAGE(OFFSET($AM$3,0,0,'Données projet'!$E$10+1,1))-AVERAGE(OFFSET($H$3,0,0,'Données projet'!$E$10+1,1))</f>
        <v>462.74754756814662</v>
      </c>
      <c r="AO51" s="59">
        <f t="shared" si="36"/>
        <v>327.65191293226667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48.025641025641022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184.35256410256409</v>
      </c>
      <c r="BB51" s="12">
        <f>VLOOKUP(A51,'Données projet'!$A$87:$I$107,9,0)</f>
        <v>9.3452380952380913</v>
      </c>
      <c r="BC51" s="12">
        <f t="array" ref="BC51">INDEX(BB:BB,MIN(IF(ISNUMBER(BB51:BB247),ROW(BB51:BB247),"")))</f>
        <v>9.3452380952380913</v>
      </c>
      <c r="BD51" s="12">
        <f>IF('Données projet'!$A$88&gt;35,BD50+BC51-BL50,IF(A51&lt;'Données projet'!$A$88,$BA$205^A51,IF(A51='Données projet'!$A$88,'Données projet'!$B$88,BD50+BC51-BL50)))</f>
        <v>184.3525641025642</v>
      </c>
      <c r="BE51" s="13">
        <f>BD51*VLOOKUP('Données projet'!$B$11,Paramètres!$A$1:$I$89,3,0)*VLOOKUP('Données projet'!$B$11,Paramètres!$A$1:$I$89,5,0)</f>
        <v>123.66370000000008</v>
      </c>
      <c r="BF51" s="13">
        <f t="shared" si="37"/>
        <v>32.527995779141946</v>
      </c>
      <c r="BG51" s="20">
        <f t="shared" si="7"/>
        <v>272.03387014867241</v>
      </c>
      <c r="BH51" s="59">
        <f t="shared" si="8"/>
        <v>525.79373883434005</v>
      </c>
      <c r="BI51" s="59">
        <f ca="1">AVERAGE(OFFSET($BH$3,0,0,'Données projet'!$E$11+1,1))-AVERAGE(OFFSET($H$3,0,0,'Données projet'!$E$11+1,1))</f>
        <v>332.21938212432008</v>
      </c>
      <c r="BJ51" s="59">
        <f t="shared" si="38"/>
        <v>237.47732529948181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48.025641025641022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184.35256410256409</v>
      </c>
      <c r="BW51" s="12">
        <f>VLOOKUP(A51,'Données projet'!$A$113:$I$133,9,0)</f>
        <v>9.3452380952380913</v>
      </c>
      <c r="BX51" s="12">
        <f t="array" ref="BX51">INDEX(BW:BW,MIN(IF(ISNUMBER(BW51:BW247),ROW(BW51:BW247),"")))</f>
        <v>9.3452380952380913</v>
      </c>
      <c r="BY51" s="12">
        <f>IF('Données projet'!$A$114&gt;35,BY50+BX51-CG50,IF(A51&lt;'Données projet'!$A$114,$BV$205^A51,IF(A51='Données projet'!$A$114,'Données projet'!$B$114,BY50+BX51-CG50)))</f>
        <v>184.3525641025642</v>
      </c>
      <c r="BZ51" s="13">
        <f>BY51*VLOOKUP('Données projet'!$B$12,Paramètres!$A$1:$I$89,3,0)*VLOOKUP('Données projet'!$B$12,Paramètres!$A$1:$I$89,5,0)</f>
        <v>175.42990000000012</v>
      </c>
      <c r="CA51" s="13">
        <f t="shared" si="39"/>
        <v>44.303906290640654</v>
      </c>
      <c r="CB51" s="20">
        <f t="shared" si="10"/>
        <v>382.70304595619928</v>
      </c>
      <c r="CC51" s="59">
        <f t="shared" si="11"/>
        <v>636.46291464186697</v>
      </c>
      <c r="CD51" s="59">
        <f ca="1">AVERAGE(OFFSET($CC$3,0,0,'Données projet'!$E$12+1,1))-AVERAGE(OFFSET($H$3,0,0,'Données projet'!$E$12+1,1))</f>
        <v>439.09551305860475</v>
      </c>
      <c r="CE51" s="59">
        <f t="shared" si="40"/>
        <v>311.31528017256846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48.025641025641022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184.35256410256409</v>
      </c>
      <c r="CR51" s="12">
        <f>VLOOKUP(A51,'Données projet'!$A$139:$I$159,9,0)</f>
        <v>9.3452380952380913</v>
      </c>
      <c r="CS51" s="12">
        <f t="array" ref="CS51">INDEX(CR:CR,MIN(IF(ISNUMBER(CR51:CR247),ROW(CR51:CR247),"")))</f>
        <v>9.3452380952380913</v>
      </c>
      <c r="CT51" s="12">
        <f>IF('Données projet'!$A$140&gt;35,CT50+CS51-DB50,IF(A51&lt;'Données projet'!$A$140,$CQ$205^A51,IF(A51='Données projet'!$A$140,'Données projet'!$B$140,CT50+CS51-DB50)))</f>
        <v>184.3525641025642</v>
      </c>
      <c r="CU51" s="17">
        <f>CT51*VLOOKUP('Données projet'!$B$13,Paramètres!$A$1:$I$89,3,0)*VLOOKUP('Données projet'!$B$13,Paramètres!$A$1:$I$89,5,0)</f>
        <v>178.30580000000009</v>
      </c>
      <c r="CV51" s="13">
        <f t="shared" si="41"/>
        <v>44.945050675465268</v>
      </c>
      <c r="CW51" s="20">
        <f t="shared" si="13"/>
        <v>388.82856492643549</v>
      </c>
      <c r="CX51" s="59">
        <f t="shared" si="14"/>
        <v>642.58843361210324</v>
      </c>
      <c r="CY51" s="59">
        <f ca="1">AVERAGE(OFFSET($CX$3,0,0,'Données projet'!$E$13+1,1))-AVERAGE(OFFSET($H$3,0,0,'Données projet'!$E$13+1,1))</f>
        <v>445.01146841309549</v>
      </c>
      <c r="CZ51" s="59">
        <f t="shared" si="42"/>
        <v>315.40159257508969</v>
      </c>
      <c r="DA51" s="15">
        <f>IF(ISNA(VLOOKUP(A51,'Données projet'!$A$139:$I$159,3,0)),0,VLOOKUP(A51,'Données projet'!$A$139:$I$159,3,0))</f>
        <v>3</v>
      </c>
      <c r="DB51" s="15">
        <f>IF(ISNA(VLOOKUP(A51,'Données projet'!$A$139:$I$159,4,0)),0,VLOOKUP(A51,'Données projet'!$A$139:$I$159,4,0))</f>
        <v>48.025641025641022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525.0846153846154</v>
      </c>
      <c r="DM51" s="12">
        <f>VLOOKUP(A51,'Données projet'!$A$165:$I$185,9,0)</f>
        <v>21.625641025641034</v>
      </c>
      <c r="DN51" s="12">
        <f t="array" ref="DN51">INDEX(DM:DM,MIN(IF(ISNUMBER(DM51:DM247),ROW(DM51:DM247),"")))</f>
        <v>21.625641025641034</v>
      </c>
      <c r="DO51" s="12">
        <f>IF('Données projet'!$A$166&gt;35,DO50+DN51-DW50,IF(A51&lt;'Données projet'!$A$166,$DL$205^A51,IF(A51='Données projet'!$A$166,'Données projet'!$B$166,DO50+DN51-DW50)))</f>
        <v>525.08461538461529</v>
      </c>
      <c r="DP51" s="17">
        <f>DO51*VLOOKUP('Données projet'!$B$14,Paramètres!$A$1:$I$89,3,0)*VLOOKUP('Données projet'!$B$14,Paramètres!$A$1:$I$89,5,0)</f>
        <v>293.52229999999997</v>
      </c>
      <c r="DQ51" s="13">
        <f t="shared" si="43"/>
        <v>69.816768342057628</v>
      </c>
      <c r="DR51" s="20">
        <f t="shared" si="16"/>
        <v>632.81554402908364</v>
      </c>
      <c r="DS51" s="59">
        <f t="shared" si="17"/>
        <v>886.57541271475134</v>
      </c>
      <c r="DT51" s="59">
        <f ca="1">AVERAGE(OFFSET($DS$3,0,0,'Données projet'!$E$14+1,1))-AVERAGE(OFFSET($H$3,0,0,'Données projet'!$E$14+1,1))</f>
        <v>349.00268383833668</v>
      </c>
      <c r="DU51" s="59">
        <f t="shared" si="44"/>
        <v>459.94854391583749</v>
      </c>
      <c r="DV51" s="15">
        <f>IF(ISNA(VLOOKUP(A51,'Données projet'!$A$165:$I$185,3,0)),0,VLOOKUP(A51,'Données projet'!$A$165:$I$185,3,0))</f>
        <v>6</v>
      </c>
      <c r="DW51" s="15">
        <f>IF(ISNA(VLOOKUP(A51,'Données projet'!$A$165:$I$185,4,0)),0,VLOOKUP(A51,'Données projet'!$A$165:$I$185,4,0))</f>
        <v>81.330769230769235</v>
      </c>
      <c r="DX51" s="16">
        <f>IF(ISNA(VLOOKUP(A51,'Données projet'!$A$165:$I$185,5,0)),0%,VLOOKUP(A51,'Données projet'!$A$165:$I$185,5,0)*VLOOKUP('Données projet'!$B$14,Paramètres!$A$1:$I$89,7,0))</f>
        <v>0.38500000000000001</v>
      </c>
      <c r="DY51" s="16">
        <f>IF(ISNA(VLOOKUP(A51,'Données projet'!$A$165:$I$185,6,0)),0%,VLOOKUP(A51,'Données projet'!$A$165:$I$185,6,0)*VLOOKUP('Données projet'!$B$14,Paramètres!$A$1:$I$89,7,0))</f>
        <v>9.240000000000001E-2</v>
      </c>
      <c r="DZ51" s="16">
        <f>IF(ISNA(VLOOKUP(A51,'Données projet'!$A$165:$I$185,7,0)),0%,VLOOKUP(A51,'Données projet'!$A$165:$I$185,7,0))</f>
        <v>0.13200000000000001</v>
      </c>
      <c r="EA51" s="21">
        <f>EXP(-LN(2)/35)*EA50+(1-EXP(-LN(2)/35))/(LN(2)/35)*DW51*DX51*VLOOKUP('Données projet'!$B$14,Paramètres!$A$1:$I$89,3,0)*0.475*44/12</f>
        <v>78.12390248786032</v>
      </c>
      <c r="EB51" s="21">
        <f>EXP(-LN(2)/25)*EB50+(1-EXP(-LN(2)/25))/(LN(2)/25)*Calculateur!DW51*Calculateur!DY51*VLOOKUP('Données projet'!$B$14,Paramètres!$A$1:$I$89,3,0)*0.475*44/12</f>
        <v>24.261720592795644</v>
      </c>
      <c r="EC51" s="21">
        <f>EXP(-LN(2)/2)*EC50+(1-EXP(-LN(2)/2))/(LN(2)/2)*DW51*DZ51*VLOOKUP('Données projet'!$B$14,Paramètres!$A$1:$I$89,3,0)*0.475*44/12</f>
        <v>7.6638765903722392</v>
      </c>
      <c r="ED51" s="22">
        <f t="shared" si="18"/>
        <v>110.0494996710282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10.375</v>
      </c>
      <c r="EJ51" s="12">
        <f>IF('Données projet'!$A$192&gt;35,EJ50+EI51-ER50,IF(A51&lt;'Données projet'!$A$192,$EG$205^A51,IF(A51='Données projet'!$A$192,'Données projet'!$B$192,EJ50+EI51-ER50)))</f>
        <v>228.49999999999997</v>
      </c>
      <c r="EK51" s="17">
        <f>EJ51*VLOOKUP('Données projet'!$B$15,Paramètres!$A$1:$I$89,3,0)*VLOOKUP('Données projet'!$B$15,Paramètres!$A$1:$I$89,5,0)</f>
        <v>178.23</v>
      </c>
      <c r="EL51" s="13">
        <f t="shared" si="45"/>
        <v>44.928167580487852</v>
      </c>
      <c r="EM51" s="20">
        <f t="shared" si="19"/>
        <v>388.66714186934956</v>
      </c>
      <c r="EN51" s="59">
        <f t="shared" si="20"/>
        <v>642.4270105550172</v>
      </c>
      <c r="EO51" s="59">
        <f ca="1">AVERAGE(OFFSET($EN$3,0,0,'Données projet'!$E$15+1,1))-AVERAGE(OFFSET($H$3,0,0,'Données projet'!$E$15+1,1))</f>
        <v>308.82719216177946</v>
      </c>
      <c r="EP51" s="59">
        <f t="shared" si="46"/>
        <v>302.59481222418219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11.89239180180329</v>
      </c>
      <c r="EW51" s="21">
        <f>EXP(-LN(2)/25)*EW50+(1-EXP(-LN(2)/25))/(LN(2)/25)*Calculateur!ER51*Calculateur!ET51*VLOOKUP('Données projet'!$B$15,Paramètres!$A$1:$I$89,3,0)*0.475*44/12</f>
        <v>17.591770863050332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29.484162664853621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543.02645791481791</v>
      </c>
      <c r="S52" s="59">
        <f ca="1">AVERAGE(OFFSET($R$3,0,0,'Données projet'!$E$9+1,1))-AVERAGE(OFFSET($H$3,0,0,'Données projet'!$E$9+1,1))</f>
        <v>421.33534980160005</v>
      </c>
      <c r="T52" s="59">
        <f t="shared" si="34"/>
        <v>299.0473530693472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8.8736263736263741</v>
      </c>
      <c r="AI52" s="13">
        <f>IF('Données projet'!$A$62&gt;35,AI51+AH52-AQ51,IF(A52&lt;'Données projet'!$A$62,$AF$205^A52,IF(A52='Données projet'!$A$62,'Données projet'!$B$62,AI51+AH52-AQ51)))</f>
        <v>145.20054945054954</v>
      </c>
      <c r="AJ52" s="13">
        <f>AI52*VLOOKUP('Données projet'!$B$10,Paramètres!$A$1:$I$89,3,0)*VLOOKUP('Données projet'!$B$10,Paramètres!$A$1:$I$89,5,0)</f>
        <v>147.23335714285724</v>
      </c>
      <c r="AK52" s="13">
        <f t="shared" si="35"/>
        <v>37.949176511309943</v>
      </c>
      <c r="AL52" s="20">
        <f t="shared" si="4"/>
        <v>322.52624611434112</v>
      </c>
      <c r="AM52" s="59">
        <f t="shared" si="5"/>
        <v>576.97262593863309</v>
      </c>
      <c r="AN52" s="59">
        <f ca="1">AVERAGE(OFFSET($AM$3,0,0,'Données projet'!$E$10+1,1))-AVERAGE(OFFSET($H$3,0,0,'Données projet'!$E$10+1,1))</f>
        <v>462.74754756814662</v>
      </c>
      <c r="AO52" s="59">
        <f t="shared" si="36"/>
        <v>327.65191293226667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8.8736263736263741</v>
      </c>
      <c r="BD52" s="12">
        <f>IF('Données projet'!$A$88&gt;35,BD51+BC52-BL51,IF(A52&lt;'Données projet'!$A$88,$BA$205^A52,IF(A52='Données projet'!$A$88,'Données projet'!$B$88,BD51+BC52-BL51)))</f>
        <v>145.20054945054954</v>
      </c>
      <c r="BE52" s="13">
        <f>BD52*VLOOKUP('Données projet'!$B$11,Paramètres!$A$1:$I$89,3,0)*VLOOKUP('Données projet'!$B$11,Paramètres!$A$1:$I$89,5,0)</f>
        <v>97.400528571428637</v>
      </c>
      <c r="BF52" s="13">
        <f t="shared" si="37"/>
        <v>26.341763219929994</v>
      </c>
      <c r="BG52" s="20">
        <f t="shared" si="7"/>
        <v>215.51782486994964</v>
      </c>
      <c r="BH52" s="59">
        <f t="shared" si="8"/>
        <v>469.96420469424163</v>
      </c>
      <c r="BI52" s="59">
        <f ca="1">AVERAGE(OFFSET($BH$3,0,0,'Données projet'!$E$11+1,1))-AVERAGE(OFFSET($H$3,0,0,'Données projet'!$E$11+1,1))</f>
        <v>332.21938212432008</v>
      </c>
      <c r="BJ52" s="59">
        <f t="shared" si="38"/>
        <v>237.47732529948181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8.8736263736263741</v>
      </c>
      <c r="BY52" s="12">
        <f>IF('Données projet'!$A$114&gt;35,BY51+BX52-CG51,IF(A52&lt;'Données projet'!$A$114,$BV$205^A52,IF(A52='Données projet'!$A$114,'Données projet'!$B$114,BY51+BX52-CG51)))</f>
        <v>145.20054945054954</v>
      </c>
      <c r="BZ52" s="13">
        <f>BY52*VLOOKUP('Données projet'!$B$12,Paramètres!$A$1:$I$89,3,0)*VLOOKUP('Données projet'!$B$12,Paramètres!$A$1:$I$89,5,0)</f>
        <v>138.17284285714297</v>
      </c>
      <c r="CA52" s="13">
        <f t="shared" si="39"/>
        <v>35.878109956420083</v>
      </c>
      <c r="CB52" s="20">
        <f t="shared" si="10"/>
        <v>303.13874281695564</v>
      </c>
      <c r="CC52" s="59">
        <f t="shared" si="11"/>
        <v>557.58512264124761</v>
      </c>
      <c r="CD52" s="59">
        <f ca="1">AVERAGE(OFFSET($CC$3,0,0,'Données projet'!$E$12+1,1))-AVERAGE(OFFSET($H$3,0,0,'Données projet'!$E$12+1,1))</f>
        <v>439.09551305860475</v>
      </c>
      <c r="CE52" s="59">
        <f t="shared" si="40"/>
        <v>311.31528017256846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8.8736263736263741</v>
      </c>
      <c r="CT52" s="12">
        <f>IF('Données projet'!$A$140&gt;35,CT51+CS52-DB51,IF(A52&lt;'Données projet'!$A$140,$CQ$205^A52,IF(A52='Données projet'!$A$140,'Données projet'!$B$140,CT51+CS52-DB51)))</f>
        <v>145.20054945054954</v>
      </c>
      <c r="CU52" s="17">
        <f>CT52*VLOOKUP('Données projet'!$B$13,Paramètres!$A$1:$I$89,3,0)*VLOOKUP('Données projet'!$B$13,Paramètres!$A$1:$I$89,5,0)</f>
        <v>140.43797142857153</v>
      </c>
      <c r="CV52" s="13">
        <f t="shared" si="41"/>
        <v>36.397320352581886</v>
      </c>
      <c r="CW52" s="20">
        <f t="shared" si="13"/>
        <v>307.98813318550884</v>
      </c>
      <c r="CX52" s="59">
        <f t="shared" si="14"/>
        <v>562.43451300980087</v>
      </c>
      <c r="CY52" s="59">
        <f ca="1">AVERAGE(OFFSET($CX$3,0,0,'Données projet'!$E$13+1,1))-AVERAGE(OFFSET($H$3,0,0,'Données projet'!$E$13+1,1))</f>
        <v>445.01146841309549</v>
      </c>
      <c r="CZ52" s="59">
        <f t="shared" si="42"/>
        <v>315.40159257508969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20.507692307692299</v>
      </c>
      <c r="DO52" s="12">
        <f>IF('Données projet'!$A$166&gt;35,DO51+DN52-DW51,IF(A52&lt;'Données projet'!$A$166,$DL$205^A52,IF(A52='Données projet'!$A$166,'Données projet'!$B$166,DO51+DN52-DW51)))</f>
        <v>464.26153846153835</v>
      </c>
      <c r="DP52" s="17">
        <f>DO52*VLOOKUP('Données projet'!$B$14,Paramètres!$A$1:$I$89,3,0)*VLOOKUP('Données projet'!$B$14,Paramètres!$A$1:$I$89,5,0)</f>
        <v>259.52219999999994</v>
      </c>
      <c r="DQ52" s="13">
        <f t="shared" si="43"/>
        <v>62.620519404058925</v>
      </c>
      <c r="DR52" s="20">
        <f t="shared" si="16"/>
        <v>561.06523629540254</v>
      </c>
      <c r="DS52" s="59">
        <f t="shared" si="17"/>
        <v>815.51161611969451</v>
      </c>
      <c r="DT52" s="59">
        <f ca="1">AVERAGE(OFFSET($DS$3,0,0,'Données projet'!$E$14+1,1))-AVERAGE(OFFSET($H$3,0,0,'Données projet'!$E$14+1,1))</f>
        <v>349.00268383833668</v>
      </c>
      <c r="DU52" s="59">
        <f t="shared" si="44"/>
        <v>459.94854391583749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76.591940410948766</v>
      </c>
      <c r="EB52" s="21">
        <f>EXP(-LN(2)/25)*EB51+(1-EXP(-LN(2)/25))/(LN(2)/25)*Calculateur!DW52*Calculateur!DY52*VLOOKUP('Données projet'!$B$14,Paramètres!$A$1:$I$89,3,0)*0.475*44/12</f>
        <v>23.598282567317213</v>
      </c>
      <c r="EC52" s="21">
        <f>EXP(-LN(2)/2)*EC51+(1-EXP(-LN(2)/2))/(LN(2)/2)*DW52*DZ52*VLOOKUP('Données projet'!$B$14,Paramètres!$A$1:$I$89,3,0)*0.475*44/12</f>
        <v>5.4191791072290476</v>
      </c>
      <c r="ED52" s="22">
        <f t="shared" si="18"/>
        <v>105.60940208549502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10.375</v>
      </c>
      <c r="EJ52" s="12">
        <f>IF('Données projet'!$A$192&gt;35,EJ51+EI52-ER51,IF(A52&lt;'Données projet'!$A$192,$EG$205^A52,IF(A52='Données projet'!$A$192,'Données projet'!$B$192,EJ51+EI52-ER51)))</f>
        <v>238.87499999999997</v>
      </c>
      <c r="EK52" s="17">
        <f>EJ52*VLOOKUP('Données projet'!$B$15,Paramètres!$A$1:$I$89,3,0)*VLOOKUP('Données projet'!$B$15,Paramètres!$A$1:$I$89,5,0)</f>
        <v>186.32249999999999</v>
      </c>
      <c r="EL52" s="13">
        <f t="shared" si="45"/>
        <v>46.725987276254116</v>
      </c>
      <c r="EM52" s="20">
        <f t="shared" si="19"/>
        <v>405.89278200614257</v>
      </c>
      <c r="EN52" s="59">
        <f t="shared" si="20"/>
        <v>660.33916183043448</v>
      </c>
      <c r="EO52" s="59">
        <f ca="1">AVERAGE(OFFSET($EN$3,0,0,'Données projet'!$E$15+1,1))-AVERAGE(OFFSET($H$3,0,0,'Données projet'!$E$15+1,1))</f>
        <v>308.82719216177946</v>
      </c>
      <c r="EP52" s="59">
        <f t="shared" si="46"/>
        <v>302.59481222418219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11.659189252212689</v>
      </c>
      <c r="EW52" s="21">
        <f>EXP(-LN(2)/25)*EW51+(1-EXP(-LN(2)/25))/(LN(2)/25)*Calculateur!ER52*Calculateur!ET52*VLOOKUP('Données projet'!$B$15,Paramètres!$A$1:$I$89,3,0)*0.475*44/12</f>
        <v>17.110722963689199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28.76991221590189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560.900662779953</v>
      </c>
      <c r="S53" s="59">
        <f ca="1">AVERAGE(OFFSET($R$3,0,0,'Données projet'!$E$9+1,1))-AVERAGE(OFFSET($H$3,0,0,'Données projet'!$E$9+1,1))</f>
        <v>421.33534980160005</v>
      </c>
      <c r="T53" s="59">
        <f t="shared" si="34"/>
        <v>299.0473530693472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8.8736263736263741</v>
      </c>
      <c r="AI53" s="13">
        <f>IF('Données projet'!$A$62&gt;35,AI52+AH53-AQ52,IF(A53&lt;'Données projet'!$A$62,$AF$205^A53,IF(A53='Données projet'!$A$62,'Données projet'!$B$62,AI52+AH53-AQ52)))</f>
        <v>154.07417582417591</v>
      </c>
      <c r="AJ53" s="13">
        <f>AI53*VLOOKUP('Données projet'!$B$10,Paramètres!$A$1:$I$89,3,0)*VLOOKUP('Données projet'!$B$10,Paramètres!$A$1:$I$89,5,0)</f>
        <v>156.23121428571437</v>
      </c>
      <c r="AK53" s="13">
        <f t="shared" si="35"/>
        <v>39.991279580917869</v>
      </c>
      <c r="AL53" s="20">
        <f t="shared" si="4"/>
        <v>341.75417681771779</v>
      </c>
      <c r="AM53" s="59">
        <f t="shared" si="5"/>
        <v>596.87515834718783</v>
      </c>
      <c r="AN53" s="59">
        <f ca="1">AVERAGE(OFFSET($AM$3,0,0,'Données projet'!$E$10+1,1))-AVERAGE(OFFSET($H$3,0,0,'Données projet'!$E$10+1,1))</f>
        <v>462.74754756814662</v>
      </c>
      <c r="AO53" s="59">
        <f t="shared" si="36"/>
        <v>327.65191293226667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8.8736263736263741</v>
      </c>
      <c r="BD53" s="12">
        <f>IF('Données projet'!$A$88&gt;35,BD52+BC53-BL52,IF(A53&lt;'Données projet'!$A$88,$BA$205^A53,IF(A53='Données projet'!$A$88,'Données projet'!$B$88,BD52+BC53-BL52)))</f>
        <v>154.07417582417591</v>
      </c>
      <c r="BE53" s="13">
        <f>BD53*VLOOKUP('Données projet'!$B$11,Paramètres!$A$1:$I$89,3,0)*VLOOKUP('Données projet'!$B$11,Paramètres!$A$1:$I$89,5,0)</f>
        <v>103.35295714285721</v>
      </c>
      <c r="BF53" s="13">
        <f t="shared" si="37"/>
        <v>27.759253676258403</v>
      </c>
      <c r="BG53" s="20">
        <f t="shared" si="7"/>
        <v>228.35376717662632</v>
      </c>
      <c r="BH53" s="59">
        <f t="shared" si="8"/>
        <v>483.47474870609642</v>
      </c>
      <c r="BI53" s="59">
        <f ca="1">AVERAGE(OFFSET($BH$3,0,0,'Données projet'!$E$11+1,1))-AVERAGE(OFFSET($H$3,0,0,'Données projet'!$E$11+1,1))</f>
        <v>332.21938212432008</v>
      </c>
      <c r="BJ53" s="59">
        <f t="shared" si="38"/>
        <v>237.47732529948181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8.8736263736263741</v>
      </c>
      <c r="BY53" s="12">
        <f>IF('Données projet'!$A$114&gt;35,BY52+BX53-CG52,IF(A53&lt;'Données projet'!$A$114,$BV$205^A53,IF(A53='Données projet'!$A$114,'Données projet'!$B$114,BY52+BX53-CG52)))</f>
        <v>154.07417582417591</v>
      </c>
      <c r="BZ53" s="13">
        <f>BY53*VLOOKUP('Données projet'!$B$12,Paramètres!$A$1:$I$89,3,0)*VLOOKUP('Données projet'!$B$12,Paramètres!$A$1:$I$89,5,0)</f>
        <v>146.61698571428579</v>
      </c>
      <c r="CA53" s="13">
        <f t="shared" si="39"/>
        <v>37.808765775839525</v>
      </c>
      <c r="CB53" s="20">
        <f t="shared" si="10"/>
        <v>321.20818384530156</v>
      </c>
      <c r="CC53" s="59">
        <f t="shared" si="11"/>
        <v>576.32916537477172</v>
      </c>
      <c r="CD53" s="59">
        <f ca="1">AVERAGE(OFFSET($CC$3,0,0,'Données projet'!$E$12+1,1))-AVERAGE(OFFSET($H$3,0,0,'Données projet'!$E$12+1,1))</f>
        <v>439.09551305860475</v>
      </c>
      <c r="CE53" s="59">
        <f t="shared" si="40"/>
        <v>311.31528017256846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8.8736263736263741</v>
      </c>
      <c r="CT53" s="12">
        <f>IF('Données projet'!$A$140&gt;35,CT52+CS53-DB52,IF(A53&lt;'Données projet'!$A$140,$CQ$205^A53,IF(A53='Données projet'!$A$140,'Données projet'!$B$140,CT52+CS53-DB52)))</f>
        <v>154.07417582417591</v>
      </c>
      <c r="CU53" s="17">
        <f>CT53*VLOOKUP('Données projet'!$B$13,Paramètres!$A$1:$I$89,3,0)*VLOOKUP('Données projet'!$B$13,Paramètres!$A$1:$I$89,5,0)</f>
        <v>149.02054285714294</v>
      </c>
      <c r="CV53" s="13">
        <f t="shared" si="41"/>
        <v>38.355915675338331</v>
      </c>
      <c r="CW53" s="20">
        <f t="shared" si="13"/>
        <v>326.34733194407158</v>
      </c>
      <c r="CX53" s="59">
        <f t="shared" si="14"/>
        <v>581.46831347354168</v>
      </c>
      <c r="CY53" s="59">
        <f ca="1">AVERAGE(OFFSET($CX$3,0,0,'Données projet'!$E$13+1,1))-AVERAGE(OFFSET($H$3,0,0,'Données projet'!$E$13+1,1))</f>
        <v>445.01146841309549</v>
      </c>
      <c r="CZ53" s="59">
        <f t="shared" si="42"/>
        <v>315.40159257508969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20.507692307692299</v>
      </c>
      <c r="DO53" s="12">
        <f>IF('Données projet'!$A$166&gt;35,DO52+DN53-DW52,IF(A53&lt;'Données projet'!$A$166,$DL$205^A53,IF(A53='Données projet'!$A$166,'Données projet'!$B$166,DO52+DN53-DW52)))</f>
        <v>484.76923076923066</v>
      </c>
      <c r="DP53" s="17">
        <f>DO53*VLOOKUP('Données projet'!$B$14,Paramètres!$A$1:$I$89,3,0)*VLOOKUP('Données projet'!$B$14,Paramètres!$A$1:$I$89,5,0)</f>
        <v>270.98599999999993</v>
      </c>
      <c r="DQ53" s="13">
        <f t="shared" si="43"/>
        <v>65.058478958733772</v>
      </c>
      <c r="DR53" s="20">
        <f t="shared" si="16"/>
        <v>585.27746751979453</v>
      </c>
      <c r="DS53" s="59">
        <f t="shared" si="17"/>
        <v>840.39844904926463</v>
      </c>
      <c r="DT53" s="59">
        <f ca="1">AVERAGE(OFFSET($DS$3,0,0,'Données projet'!$E$14+1,1))-AVERAGE(OFFSET($H$3,0,0,'Données projet'!$E$14+1,1))</f>
        <v>349.00268383833668</v>
      </c>
      <c r="DU53" s="59">
        <f t="shared" si="44"/>
        <v>459.94854391583749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75.090019175960848</v>
      </c>
      <c r="EB53" s="21">
        <f>EXP(-LN(2)/25)*EB52+(1-EXP(-LN(2)/25))/(LN(2)/25)*Calculateur!DW53*Calculateur!DY53*VLOOKUP('Données projet'!$B$14,Paramètres!$A$1:$I$89,3,0)*0.475*44/12</f>
        <v>22.952986289534177</v>
      </c>
      <c r="EC53" s="21">
        <f>EXP(-LN(2)/2)*EC52+(1-EXP(-LN(2)/2))/(LN(2)/2)*DW53*DZ53*VLOOKUP('Données projet'!$B$14,Paramètres!$A$1:$I$89,3,0)*0.475*44/12</f>
        <v>3.8319382951861205</v>
      </c>
      <c r="ED53" s="22">
        <f t="shared" si="18"/>
        <v>101.87494376068115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10.375</v>
      </c>
      <c r="EJ53" s="12">
        <f>IF('Données projet'!$A$192&gt;35,EJ52+EI53-ER52,IF(A53&lt;'Données projet'!$A$192,$EG$205^A53,IF(A53='Données projet'!$A$192,'Données projet'!$B$192,EJ52+EI53-ER52)))</f>
        <v>249.24999999999997</v>
      </c>
      <c r="EK53" s="17">
        <f>EJ53*VLOOKUP('Données projet'!$B$15,Paramètres!$A$1:$I$89,3,0)*VLOOKUP('Données projet'!$B$15,Paramètres!$A$1:$I$89,5,0)</f>
        <v>194.41499999999999</v>
      </c>
      <c r="EL53" s="13">
        <f t="shared" si="45"/>
        <v>48.514737888684969</v>
      </c>
      <c r="EM53" s="20">
        <f t="shared" si="19"/>
        <v>423.10262682279296</v>
      </c>
      <c r="EN53" s="59">
        <f t="shared" si="20"/>
        <v>678.223608352263</v>
      </c>
      <c r="EO53" s="59">
        <f ca="1">AVERAGE(OFFSET($EN$3,0,0,'Données projet'!$E$15+1,1))-AVERAGE(OFFSET($H$3,0,0,'Données projet'!$E$15+1,1))</f>
        <v>308.82719216177946</v>
      </c>
      <c r="EP53" s="59">
        <f t="shared" si="46"/>
        <v>302.59481222418219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11.43055966238005</v>
      </c>
      <c r="EW53" s="21">
        <f>EXP(-LN(2)/25)*EW52+(1-EXP(-LN(2)/25))/(LN(2)/25)*Calculateur!ER53*Calculateur!ET53*VLOOKUP('Données projet'!$B$15,Paramètres!$A$1:$I$89,3,0)*0.475*44/12</f>
        <v>16.642829344433302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28.07338900681335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578.7416647236189</v>
      </c>
      <c r="S54" s="59">
        <f ca="1">AVERAGE(OFFSET($R$3,0,0,'Données projet'!$E$9+1,1))-AVERAGE(OFFSET($H$3,0,0,'Données projet'!$E$9+1,1))</f>
        <v>421.33534980160005</v>
      </c>
      <c r="T54" s="59">
        <f t="shared" si="34"/>
        <v>299.0473530693472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8.8736263736263741</v>
      </c>
      <c r="AI54" s="13">
        <f>IF('Données projet'!$A$62&gt;35,AI53+AH54-AQ53,IF(A54&lt;'Données projet'!$A$62,$AF$205^A54,IF(A54='Données projet'!$A$62,'Données projet'!$B$62,AI53+AH54-AQ53)))</f>
        <v>162.94780219780228</v>
      </c>
      <c r="AJ54" s="13">
        <f>AI54*VLOOKUP('Données projet'!$B$10,Paramètres!$A$1:$I$89,3,0)*VLOOKUP('Données projet'!$B$10,Paramètres!$A$1:$I$89,5,0)</f>
        <v>165.22907142857153</v>
      </c>
      <c r="AK54" s="13">
        <f t="shared" si="35"/>
        <v>42.019730517668535</v>
      </c>
      <c r="AL54" s="20">
        <f t="shared" si="4"/>
        <v>360.95833005636814</v>
      </c>
      <c r="AM54" s="59">
        <f t="shared" si="5"/>
        <v>616.74221045961497</v>
      </c>
      <c r="AN54" s="59">
        <f ca="1">AVERAGE(OFFSET($AM$3,0,0,'Données projet'!$E$10+1,1))-AVERAGE(OFFSET($H$3,0,0,'Données projet'!$E$10+1,1))</f>
        <v>462.74754756814662</v>
      </c>
      <c r="AO54" s="59">
        <f t="shared" si="36"/>
        <v>327.65191293226667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8.8736263736263741</v>
      </c>
      <c r="BD54" s="12">
        <f>IF('Données projet'!$A$88&gt;35,BD53+BC54-BL53,IF(A54&lt;'Données projet'!$A$88,$BA$205^A54,IF(A54='Données projet'!$A$88,'Données projet'!$B$88,BD53+BC54-BL53)))</f>
        <v>162.94780219780228</v>
      </c>
      <c r="BE54" s="13">
        <f>BD54*VLOOKUP('Données projet'!$B$11,Paramètres!$A$1:$I$89,3,0)*VLOOKUP('Données projet'!$B$11,Paramètres!$A$1:$I$89,5,0)</f>
        <v>109.30538571428578</v>
      </c>
      <c r="BF54" s="13">
        <f t="shared" si="37"/>
        <v>29.167267741154031</v>
      </c>
      <c r="BG54" s="20">
        <f t="shared" si="7"/>
        <v>241.17320476822431</v>
      </c>
      <c r="BH54" s="59">
        <f t="shared" si="8"/>
        <v>496.95708517147114</v>
      </c>
      <c r="BI54" s="59">
        <f ca="1">AVERAGE(OFFSET($BH$3,0,0,'Données projet'!$E$11+1,1))-AVERAGE(OFFSET($H$3,0,0,'Données projet'!$E$11+1,1))</f>
        <v>332.21938212432008</v>
      </c>
      <c r="BJ54" s="59">
        <f t="shared" si="38"/>
        <v>237.47732529948181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8.8736263736263741</v>
      </c>
      <c r="BY54" s="12">
        <f>IF('Données projet'!$A$114&gt;35,BY53+BX54-CG53,IF(A54&lt;'Données projet'!$A$114,$BV$205^A54,IF(A54='Données projet'!$A$114,'Données projet'!$B$114,BY53+BX54-CG53)))</f>
        <v>162.94780219780228</v>
      </c>
      <c r="BZ54" s="13">
        <f>BY54*VLOOKUP('Données projet'!$B$12,Paramètres!$A$1:$I$89,3,0)*VLOOKUP('Données projet'!$B$12,Paramètres!$A$1:$I$89,5,0)</f>
        <v>155.06112857142867</v>
      </c>
      <c r="CA54" s="13">
        <f t="shared" si="39"/>
        <v>39.726514524043694</v>
      </c>
      <c r="CB54" s="20">
        <f t="shared" si="10"/>
        <v>339.25514505794769</v>
      </c>
      <c r="CC54" s="59">
        <f t="shared" si="11"/>
        <v>595.03902546119457</v>
      </c>
      <c r="CD54" s="59">
        <f ca="1">AVERAGE(OFFSET($CC$3,0,0,'Données projet'!$E$12+1,1))-AVERAGE(OFFSET($H$3,0,0,'Données projet'!$E$12+1,1))</f>
        <v>439.09551305860475</v>
      </c>
      <c r="CE54" s="59">
        <f t="shared" si="40"/>
        <v>311.31528017256846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8.8736263736263741</v>
      </c>
      <c r="CT54" s="12">
        <f>IF('Données projet'!$A$140&gt;35,CT53+CS54-DB53,IF(A54&lt;'Données projet'!$A$140,$CQ$205^A54,IF(A54='Données projet'!$A$140,'Données projet'!$B$140,CT53+CS54-DB53)))</f>
        <v>162.94780219780228</v>
      </c>
      <c r="CU54" s="17">
        <f>CT54*VLOOKUP('Données projet'!$B$13,Paramètres!$A$1:$I$89,3,0)*VLOOKUP('Données projet'!$B$13,Paramètres!$A$1:$I$89,5,0)</f>
        <v>157.60311428571435</v>
      </c>
      <c r="CV54" s="13">
        <f t="shared" si="41"/>
        <v>40.301417142080439</v>
      </c>
      <c r="CW54" s="20">
        <f t="shared" si="13"/>
        <v>344.68372557007592</v>
      </c>
      <c r="CX54" s="59">
        <f t="shared" si="14"/>
        <v>600.46760597332275</v>
      </c>
      <c r="CY54" s="59">
        <f ca="1">AVERAGE(OFFSET($CX$3,0,0,'Données projet'!$E$13+1,1))-AVERAGE(OFFSET($H$3,0,0,'Données projet'!$E$13+1,1))</f>
        <v>445.01146841309549</v>
      </c>
      <c r="CZ54" s="59">
        <f t="shared" si="42"/>
        <v>315.40159257508969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20.507692307692299</v>
      </c>
      <c r="DO54" s="12">
        <f>IF('Données projet'!$A$166&gt;35,DO53+DN54-DW53,IF(A54&lt;'Données projet'!$A$166,$DL$205^A54,IF(A54='Données projet'!$A$166,'Données projet'!$B$166,DO53+DN54-DW53)))</f>
        <v>505.27692307692297</v>
      </c>
      <c r="DP54" s="17">
        <f>DO54*VLOOKUP('Données projet'!$B$14,Paramètres!$A$1:$I$89,3,0)*VLOOKUP('Données projet'!$B$14,Paramètres!$A$1:$I$89,5,0)</f>
        <v>282.44979999999998</v>
      </c>
      <c r="DQ54" s="13">
        <f t="shared" si="43"/>
        <v>67.484459274997945</v>
      </c>
      <c r="DR54" s="20">
        <f t="shared" si="16"/>
        <v>609.46883490395464</v>
      </c>
      <c r="DS54" s="59">
        <f t="shared" si="17"/>
        <v>865.25271530720147</v>
      </c>
      <c r="DT54" s="59">
        <f ca="1">AVERAGE(OFFSET($DS$3,0,0,'Données projet'!$E$14+1,1))-AVERAGE(OFFSET($H$3,0,0,'Données projet'!$E$14+1,1))</f>
        <v>349.00268383833668</v>
      </c>
      <c r="DU54" s="59">
        <f t="shared" si="44"/>
        <v>459.94854391583749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73.617549700309539</v>
      </c>
      <c r="EB54" s="21">
        <f>EXP(-LN(2)/25)*EB53+(1-EXP(-LN(2)/25))/(LN(2)/25)*Calculateur!DW54*Calculateur!DY54*VLOOKUP('Données projet'!$B$14,Paramètres!$A$1:$I$89,3,0)*0.475*44/12</f>
        <v>22.325335672401774</v>
      </c>
      <c r="EC54" s="21">
        <f>EXP(-LN(2)/2)*EC53+(1-EXP(-LN(2)/2))/(LN(2)/2)*DW54*DZ54*VLOOKUP('Données projet'!$B$14,Paramètres!$A$1:$I$89,3,0)*0.475*44/12</f>
        <v>2.7095895536145242</v>
      </c>
      <c r="ED54" s="22">
        <f t="shared" si="18"/>
        <v>98.652474926325837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10.375</v>
      </c>
      <c r="EJ54" s="12">
        <f>IF('Données projet'!$A$192&gt;35,EJ53+EI54-ER53,IF(A54&lt;'Données projet'!$A$192,$EG$205^A54,IF(A54='Données projet'!$A$192,'Données projet'!$B$192,EJ53+EI54-ER53)))</f>
        <v>259.625</v>
      </c>
      <c r="EK54" s="17">
        <f>EJ54*VLOOKUP('Données projet'!$B$15,Paramètres!$A$1:$I$89,3,0)*VLOOKUP('Données projet'!$B$15,Paramètres!$A$1:$I$89,5,0)</f>
        <v>202.50749999999999</v>
      </c>
      <c r="EL54" s="13">
        <f t="shared" si="45"/>
        <v>50.294840086606349</v>
      </c>
      <c r="EM54" s="20">
        <f t="shared" si="19"/>
        <v>440.29740898417271</v>
      </c>
      <c r="EN54" s="59">
        <f t="shared" si="20"/>
        <v>696.08128938741947</v>
      </c>
      <c r="EO54" s="59">
        <f ca="1">AVERAGE(OFFSET($EN$3,0,0,'Données projet'!$E$15+1,1))-AVERAGE(OFFSET($H$3,0,0,'Données projet'!$E$15+1,1))</f>
        <v>308.82719216177946</v>
      </c>
      <c r="EP54" s="59">
        <f t="shared" si="46"/>
        <v>302.59481222418219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11.206413359353748</v>
      </c>
      <c r="EW54" s="21">
        <f>EXP(-LN(2)/25)*EW53+(1-EXP(-LN(2)/25))/(LN(2)/25)*Calculateur!ER54*Calculateur!ET54*VLOOKUP('Données projet'!$B$15,Paramètres!$A$1:$I$89,3,0)*0.475*44/12</f>
        <v>16.187730300801416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27.394143660155166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596.55097106501921</v>
      </c>
      <c r="S55" s="59">
        <f ca="1">AVERAGE(OFFSET($R$3,0,0,'Données projet'!$E$9+1,1))-AVERAGE(OFFSET($H$3,0,0,'Données projet'!$E$9+1,1))</f>
        <v>421.33534980160005</v>
      </c>
      <c r="T55" s="59">
        <f t="shared" si="34"/>
        <v>299.0473530693472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8.8736263736263741</v>
      </c>
      <c r="AI55" s="13">
        <f>IF('Données projet'!$A$62&gt;35,AI54+AH55-AQ54,IF(A55&lt;'Données projet'!$A$62,$AF$205^A55,IF(A55='Données projet'!$A$62,'Données projet'!$B$62,AI54+AH55-AQ54)))</f>
        <v>171.82142857142864</v>
      </c>
      <c r="AJ55" s="13">
        <f>AI55*VLOOKUP('Données projet'!$B$10,Paramètres!$A$1:$I$89,3,0)*VLOOKUP('Données projet'!$B$10,Paramètres!$A$1:$I$89,5,0)</f>
        <v>174.22692857142866</v>
      </c>
      <c r="AK55" s="13">
        <f t="shared" si="35"/>
        <v>44.035357527108694</v>
      </c>
      <c r="AL55" s="20">
        <f t="shared" si="4"/>
        <v>380.1401482882859</v>
      </c>
      <c r="AM55" s="59">
        <f t="shared" si="5"/>
        <v>636.57542775186926</v>
      </c>
      <c r="AN55" s="59">
        <f ca="1">AVERAGE(OFFSET($AM$3,0,0,'Données projet'!$E$10+1,1))-AVERAGE(OFFSET($H$3,0,0,'Données projet'!$E$10+1,1))</f>
        <v>462.74754756814662</v>
      </c>
      <c r="AO55" s="59">
        <f t="shared" si="36"/>
        <v>327.65191293226667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8.8736263736263741</v>
      </c>
      <c r="BD55" s="12">
        <f>IF('Données projet'!$A$88&gt;35,BD54+BC55-BL54,IF(A55&lt;'Données projet'!$A$88,$BA$205^A55,IF(A55='Données projet'!$A$88,'Données projet'!$B$88,BD54+BC55-BL54)))</f>
        <v>171.82142857142864</v>
      </c>
      <c r="BE55" s="13">
        <f>BD55*VLOOKUP('Données projet'!$B$11,Paramètres!$A$1:$I$89,3,0)*VLOOKUP('Données projet'!$B$11,Paramètres!$A$1:$I$89,5,0)</f>
        <v>115.25781428571433</v>
      </c>
      <c r="BF55" s="13">
        <f t="shared" si="37"/>
        <v>30.566380299144438</v>
      </c>
      <c r="BG55" s="20">
        <f t="shared" si="7"/>
        <v>253.97713890196232</v>
      </c>
      <c r="BH55" s="59">
        <f t="shared" si="8"/>
        <v>510.4124183655457</v>
      </c>
      <c r="BI55" s="59">
        <f ca="1">AVERAGE(OFFSET($BH$3,0,0,'Données projet'!$E$11+1,1))-AVERAGE(OFFSET($H$3,0,0,'Données projet'!$E$11+1,1))</f>
        <v>332.21938212432008</v>
      </c>
      <c r="BJ55" s="59">
        <f t="shared" si="38"/>
        <v>237.47732529948181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8.8736263736263741</v>
      </c>
      <c r="BY55" s="12">
        <f>IF('Données projet'!$A$114&gt;35,BY54+BX55-CG54,IF(A55&lt;'Données projet'!$A$114,$BV$205^A55,IF(A55='Données projet'!$A$114,'Données projet'!$B$114,BY54+BX55-CG54)))</f>
        <v>171.82142857142864</v>
      </c>
      <c r="BZ55" s="13">
        <f>BY55*VLOOKUP('Données projet'!$B$12,Paramètres!$A$1:$I$89,3,0)*VLOOKUP('Données projet'!$B$12,Paramètres!$A$1:$I$89,5,0)</f>
        <v>163.50527142857149</v>
      </c>
      <c r="CA55" s="13">
        <f t="shared" si="39"/>
        <v>41.632139207474445</v>
      </c>
      <c r="CB55" s="20">
        <f t="shared" si="10"/>
        <v>357.28099019111329</v>
      </c>
      <c r="CC55" s="59">
        <f t="shared" si="11"/>
        <v>613.71626965469659</v>
      </c>
      <c r="CD55" s="59">
        <f ca="1">AVERAGE(OFFSET($CC$3,0,0,'Données projet'!$E$12+1,1))-AVERAGE(OFFSET($H$3,0,0,'Données projet'!$E$12+1,1))</f>
        <v>439.09551305860475</v>
      </c>
      <c r="CE55" s="59">
        <f t="shared" si="40"/>
        <v>311.31528017256846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8.8736263736263741</v>
      </c>
      <c r="CT55" s="12">
        <f>IF('Données projet'!$A$140&gt;35,CT54+CS55-DB54,IF(A55&lt;'Données projet'!$A$140,$CQ$205^A55,IF(A55='Données projet'!$A$140,'Données projet'!$B$140,CT54+CS55-DB54)))</f>
        <v>171.82142857142864</v>
      </c>
      <c r="CU55" s="17">
        <f>CT55*VLOOKUP('Données projet'!$B$13,Paramètres!$A$1:$I$89,3,0)*VLOOKUP('Données projet'!$B$13,Paramètres!$A$1:$I$89,5,0)</f>
        <v>166.1856857142858</v>
      </c>
      <c r="CV55" s="13">
        <f t="shared" si="41"/>
        <v>42.234619090534999</v>
      </c>
      <c r="CW55" s="20">
        <f t="shared" si="13"/>
        <v>362.99869753506283</v>
      </c>
      <c r="CX55" s="59">
        <f t="shared" si="14"/>
        <v>619.43397699864613</v>
      </c>
      <c r="CY55" s="59">
        <f ca="1">AVERAGE(OFFSET($CX$3,0,0,'Données projet'!$E$13+1,1))-AVERAGE(OFFSET($H$3,0,0,'Données projet'!$E$13+1,1))</f>
        <v>445.01146841309549</v>
      </c>
      <c r="CZ55" s="59">
        <f t="shared" si="42"/>
        <v>315.40159257508969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20.507692307692299</v>
      </c>
      <c r="DO55" s="12">
        <f>IF('Données projet'!$A$166&gt;35,DO54+DN55-DW54,IF(A55&lt;'Données projet'!$A$166,$DL$205^A55,IF(A55='Données projet'!$A$166,'Données projet'!$B$166,DO54+DN55-DW54)))</f>
        <v>525.78461538461522</v>
      </c>
      <c r="DP55" s="17">
        <f>DO55*VLOOKUP('Données projet'!$B$14,Paramètres!$A$1:$I$89,3,0)*VLOOKUP('Données projet'!$B$14,Paramètres!$A$1:$I$89,5,0)</f>
        <v>293.91359999999992</v>
      </c>
      <c r="DQ55" s="13">
        <f t="shared" si="43"/>
        <v>69.899002171586702</v>
      </c>
      <c r="DR55" s="20">
        <f t="shared" si="16"/>
        <v>633.64028211551329</v>
      </c>
      <c r="DS55" s="59">
        <f t="shared" si="17"/>
        <v>890.07556157909664</v>
      </c>
      <c r="DT55" s="59">
        <f ca="1">AVERAGE(OFFSET($DS$3,0,0,'Données projet'!$E$14+1,1))-AVERAGE(OFFSET($H$3,0,0,'Données projet'!$E$14+1,1))</f>
        <v>349.00268383833668</v>
      </c>
      <c r="DU55" s="59">
        <f t="shared" si="44"/>
        <v>459.94854391583749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72.173954452958057</v>
      </c>
      <c r="EB55" s="21">
        <f>EXP(-LN(2)/25)*EB54+(1-EXP(-LN(2)/25))/(LN(2)/25)*Calculateur!DW55*Calculateur!DY55*VLOOKUP('Données projet'!$B$14,Paramètres!$A$1:$I$89,3,0)*0.475*44/12</f>
        <v>21.714848194401569</v>
      </c>
      <c r="EC55" s="21">
        <f>EXP(-LN(2)/2)*EC54+(1-EXP(-LN(2)/2))/(LN(2)/2)*DW55*DZ55*VLOOKUP('Données projet'!$B$14,Paramètres!$A$1:$I$89,3,0)*0.475*44/12</f>
        <v>1.9159691475930605</v>
      </c>
      <c r="ED55" s="22">
        <f t="shared" si="18"/>
        <v>95.804771794952686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270</v>
      </c>
      <c r="EH55" s="12">
        <f>VLOOKUP(A55,'Données projet'!$A$191:$I$211,9,0)</f>
        <v>10.375</v>
      </c>
      <c r="EI55" s="12">
        <f t="array" ref="EI55">INDEX(EH:EH,MIN(IF(ISNUMBER(EH55:EH251),ROW(EH55:EH251),"")))</f>
        <v>10.375</v>
      </c>
      <c r="EJ55" s="12">
        <f>IF('Données projet'!$A$192&gt;35,EJ54+EI55-ER54,IF(A55&lt;'Données projet'!$A$192,$EG$205^A55,IF(A55='Données projet'!$A$192,'Données projet'!$B$192,EJ54+EI55-ER54)))</f>
        <v>270</v>
      </c>
      <c r="EK55" s="17">
        <f>EJ55*VLOOKUP('Données projet'!$B$15,Paramètres!$A$1:$I$89,3,0)*VLOOKUP('Données projet'!$B$15,Paramètres!$A$1:$I$89,5,0)</f>
        <v>210.6</v>
      </c>
      <c r="EL55" s="13">
        <f t="shared" si="45"/>
        <v>52.066679014659961</v>
      </c>
      <c r="EM55" s="20">
        <f t="shared" si="19"/>
        <v>457.47779928386609</v>
      </c>
      <c r="EN55" s="59">
        <f t="shared" si="20"/>
        <v>713.91307874744939</v>
      </c>
      <c r="EO55" s="59">
        <f ca="1">AVERAGE(OFFSET($EN$3,0,0,'Données projet'!$E$15+1,1))-AVERAGE(OFFSET($H$3,0,0,'Données projet'!$E$15+1,1))</f>
        <v>308.82719216177946</v>
      </c>
      <c r="EP55" s="59">
        <f t="shared" si="46"/>
        <v>302.59481222418219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49</v>
      </c>
      <c r="ES55" s="16">
        <f>IF(ISNA(VLOOKUP(A55,'Données projet'!$A$191:$I$211,5,0)),0%,VLOOKUP(A55,'Données projet'!$A$191:$I$211,5,0)*VLOOKUP('Données projet'!$B$15,Paramètres!$A$1:$I$89,7,0))</f>
        <v>0.17200000000000001</v>
      </c>
      <c r="ET55" s="16">
        <f>IF(ISNA(VLOOKUP(A55,'Données projet'!$A$191:$I$211,6,0)),0%,VLOOKUP(A55,'Données projet'!$A$191:$I$211,6,0)*VLOOKUP('Données projet'!$B$15,Paramètres!$A$1:$I$89,7,0))</f>
        <v>0.17200000000000001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18.253847828402936</v>
      </c>
      <c r="EW55" s="21">
        <f>EXP(-LN(2)/25)*EW54+(1-EXP(-LN(2)/25))/(LN(2)/25)*Calculateur!ER55*Calculateur!ET55*VLOOKUP('Données projet'!$B$15,Paramètres!$A$1:$I$89,3,0)*0.475*44/12</f>
        <v>22.983647686305456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41.237495514708392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614.32994327225902</v>
      </c>
      <c r="S56" s="59">
        <f ca="1">AVERAGE(OFFSET($R$3,0,0,'Données projet'!$E$9+1,1))-AVERAGE(OFFSET($H$3,0,0,'Données projet'!$E$9+1,1))</f>
        <v>421.33534980160005</v>
      </c>
      <c r="T56" s="59">
        <f t="shared" si="34"/>
        <v>299.0473530693472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8.8736263736263741</v>
      </c>
      <c r="AI56" s="13">
        <f>IF('Données projet'!$A$62&gt;35,AI55+AH56-AQ55,IF(A56&lt;'Données projet'!$A$62,$AF$205^A56,IF(A56='Données projet'!$A$62,'Données projet'!$B$62,AI55+AH56-AQ55)))</f>
        <v>180.69505494505501</v>
      </c>
      <c r="AJ56" s="13">
        <f>AI56*VLOOKUP('Données projet'!$B$10,Paramètres!$A$1:$I$89,3,0)*VLOOKUP('Données projet'!$B$10,Paramètres!$A$1:$I$89,5,0)</f>
        <v>183.22478571428579</v>
      </c>
      <c r="AK56" s="13">
        <f t="shared" si="35"/>
        <v>46.038898438557553</v>
      </c>
      <c r="AL56" s="20">
        <f t="shared" si="4"/>
        <v>399.30091656620215</v>
      </c>
      <c r="AM56" s="59">
        <f t="shared" si="5"/>
        <v>656.37629477273538</v>
      </c>
      <c r="AN56" s="59">
        <f ca="1">AVERAGE(OFFSET($AM$3,0,0,'Données projet'!$E$10+1,1))-AVERAGE(OFFSET($H$3,0,0,'Données projet'!$E$10+1,1))</f>
        <v>462.74754756814662</v>
      </c>
      <c r="AO56" s="59">
        <f t="shared" si="36"/>
        <v>327.65191293226667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8.8736263736263741</v>
      </c>
      <c r="BD56" s="12">
        <f>IF('Données projet'!$A$88&gt;35,BD55+BC56-BL55,IF(A56&lt;'Données projet'!$A$88,$BA$205^A56,IF(A56='Données projet'!$A$88,'Données projet'!$B$88,BD55+BC56-BL55)))</f>
        <v>180.69505494505501</v>
      </c>
      <c r="BE56" s="13">
        <f>BD56*VLOOKUP('Données projet'!$B$11,Paramètres!$A$1:$I$89,3,0)*VLOOKUP('Données projet'!$B$11,Paramètres!$A$1:$I$89,5,0)</f>
        <v>121.2102428571429</v>
      </c>
      <c r="BF56" s="13">
        <f t="shared" si="37"/>
        <v>31.957103501665042</v>
      </c>
      <c r="BG56" s="20">
        <f t="shared" si="7"/>
        <v>266.76646157492382</v>
      </c>
      <c r="BH56" s="59">
        <f t="shared" si="8"/>
        <v>523.84183978145711</v>
      </c>
      <c r="BI56" s="59">
        <f ca="1">AVERAGE(OFFSET($BH$3,0,0,'Données projet'!$E$11+1,1))-AVERAGE(OFFSET($H$3,0,0,'Données projet'!$E$11+1,1))</f>
        <v>332.21938212432008</v>
      </c>
      <c r="BJ56" s="59">
        <f t="shared" si="38"/>
        <v>237.47732529948181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8.8736263736263741</v>
      </c>
      <c r="BY56" s="12">
        <f>IF('Données projet'!$A$114&gt;35,BY55+BX56-CG55,IF(A56&lt;'Données projet'!$A$114,$BV$205^A56,IF(A56='Données projet'!$A$114,'Données projet'!$B$114,BY55+BX56-CG55)))</f>
        <v>180.69505494505501</v>
      </c>
      <c r="BZ56" s="13">
        <f>BY56*VLOOKUP('Données projet'!$B$12,Paramètres!$A$1:$I$89,3,0)*VLOOKUP('Données projet'!$B$12,Paramètres!$A$1:$I$89,5,0)</f>
        <v>171.94941428571437</v>
      </c>
      <c r="CA56" s="13">
        <f t="shared" si="39"/>
        <v>43.526337388605633</v>
      </c>
      <c r="CB56" s="20">
        <f t="shared" si="10"/>
        <v>375.28693416610736</v>
      </c>
      <c r="CC56" s="59">
        <f t="shared" si="11"/>
        <v>632.36231237264064</v>
      </c>
      <c r="CD56" s="59">
        <f ca="1">AVERAGE(OFFSET($CC$3,0,0,'Données projet'!$E$12+1,1))-AVERAGE(OFFSET($H$3,0,0,'Données projet'!$E$12+1,1))</f>
        <v>439.09551305860475</v>
      </c>
      <c r="CE56" s="59">
        <f t="shared" si="40"/>
        <v>311.31528017256846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8.8736263736263741</v>
      </c>
      <c r="CT56" s="12">
        <f>IF('Données projet'!$A$140&gt;35,CT55+CS56-DB55,IF(A56&lt;'Données projet'!$A$140,$CQ$205^A56,IF(A56='Données projet'!$A$140,'Données projet'!$B$140,CT55+CS56-DB55)))</f>
        <v>180.69505494505501</v>
      </c>
      <c r="CU56" s="17">
        <f>CT56*VLOOKUP('Données projet'!$B$13,Paramètres!$A$1:$I$89,3,0)*VLOOKUP('Données projet'!$B$13,Paramètres!$A$1:$I$89,5,0)</f>
        <v>174.76825714285721</v>
      </c>
      <c r="CV56" s="13">
        <f t="shared" si="41"/>
        <v>44.156229177957442</v>
      </c>
      <c r="CW56" s="20">
        <f t="shared" si="13"/>
        <v>381.2934803420855</v>
      </c>
      <c r="CX56" s="59">
        <f t="shared" si="14"/>
        <v>638.36885854861873</v>
      </c>
      <c r="CY56" s="59">
        <f ca="1">AVERAGE(OFFSET($CX$3,0,0,'Données projet'!$E$13+1,1))-AVERAGE(OFFSET($H$3,0,0,'Données projet'!$E$13+1,1))</f>
        <v>445.01146841309549</v>
      </c>
      <c r="CZ56" s="59">
        <f t="shared" si="42"/>
        <v>315.40159257508969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20.507692307692299</v>
      </c>
      <c r="DO56" s="12">
        <f>IF('Données projet'!$A$166&gt;35,DO55+DN56-DW55,IF(A56&lt;'Données projet'!$A$166,$DL$205^A56,IF(A56='Données projet'!$A$166,'Données projet'!$B$166,DO55+DN56-DW55)))</f>
        <v>546.29230769230753</v>
      </c>
      <c r="DP56" s="17">
        <f>DO56*VLOOKUP('Données projet'!$B$14,Paramètres!$A$1:$I$89,3,0)*VLOOKUP('Données projet'!$B$14,Paramètres!$A$1:$I$89,5,0)</f>
        <v>305.37739999999991</v>
      </c>
      <c r="DQ56" s="13">
        <f t="shared" si="43"/>
        <v>72.302604807906476</v>
      </c>
      <c r="DR56" s="20">
        <f t="shared" si="16"/>
        <v>657.79267504043685</v>
      </c>
      <c r="DS56" s="59">
        <f t="shared" si="17"/>
        <v>914.86805324697002</v>
      </c>
      <c r="DT56" s="59">
        <f ca="1">AVERAGE(OFFSET($DS$3,0,0,'Données projet'!$E$14+1,1))-AVERAGE(OFFSET($H$3,0,0,'Données projet'!$E$14+1,1))</f>
        <v>349.00268383833668</v>
      </c>
      <c r="DU56" s="59">
        <f t="shared" si="44"/>
        <v>459.94854391583749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70.758667227900972</v>
      </c>
      <c r="EB56" s="21">
        <f>EXP(-LN(2)/25)*EB55+(1-EXP(-LN(2)/25))/(LN(2)/25)*Calculateur!DW56*Calculateur!DY56*VLOOKUP('Données projet'!$B$14,Paramètres!$A$1:$I$89,3,0)*0.475*44/12</f>
        <v>21.121054528591422</v>
      </c>
      <c r="EC56" s="21">
        <f>EXP(-LN(2)/2)*EC55+(1-EXP(-LN(2)/2))/(LN(2)/2)*DW56*DZ56*VLOOKUP('Données projet'!$B$14,Paramètres!$A$1:$I$89,3,0)*0.475*44/12</f>
        <v>1.3547947768072623</v>
      </c>
      <c r="ED56" s="22">
        <f t="shared" si="18"/>
        <v>93.234516533299654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9.5</v>
      </c>
      <c r="EJ56" s="12">
        <f>IF('Données projet'!$A$192&gt;35,EJ55+EI56-ER55,IF(A56&lt;'Données projet'!$A$192,$EG$205^A56,IF(A56='Données projet'!$A$192,'Données projet'!$B$192,EJ55+EI56-ER55)))</f>
        <v>230.5</v>
      </c>
      <c r="EK56" s="17">
        <f>EJ56*VLOOKUP('Données projet'!$B$15,Paramètres!$A$1:$I$89,3,0)*VLOOKUP('Données projet'!$B$15,Paramètres!$A$1:$I$89,5,0)</f>
        <v>179.79</v>
      </c>
      <c r="EL56" s="13">
        <f t="shared" si="45"/>
        <v>45.275461861841535</v>
      </c>
      <c r="EM56" s="20">
        <f t="shared" si="19"/>
        <v>391.9890127427073</v>
      </c>
      <c r="EN56" s="59">
        <f t="shared" si="20"/>
        <v>649.06439094924053</v>
      </c>
      <c r="EO56" s="59">
        <f ca="1">AVERAGE(OFFSET($EN$3,0,0,'Données projet'!$E$15+1,1))-AVERAGE(OFFSET($H$3,0,0,'Données projet'!$E$15+1,1))</f>
        <v>308.82719216177946</v>
      </c>
      <c r="EP56" s="59">
        <f t="shared" si="46"/>
        <v>302.59481222418219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17.895901006235764</v>
      </c>
      <c r="EW56" s="21">
        <f>EXP(-LN(2)/25)*EW55+(1-EXP(-LN(2)/25))/(LN(2)/25)*Calculateur!ER56*Calculateur!ET56*VLOOKUP('Données projet'!$B$15,Paramètres!$A$1:$I$89,3,0)*0.475*44/12</f>
        <v>22.355158631665933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40.251059637901697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632.07981878023793</v>
      </c>
      <c r="S57" s="59">
        <f ca="1">AVERAGE(OFFSET($R$3,0,0,'Données projet'!$E$9+1,1))-AVERAGE(OFFSET($H$3,0,0,'Données projet'!$E$9+1,1))</f>
        <v>421.33534980160005</v>
      </c>
      <c r="T57" s="59">
        <f t="shared" si="34"/>
        <v>299.0473530693472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8.8736263736263741</v>
      </c>
      <c r="AI57" s="13">
        <f>IF('Données projet'!$A$62&gt;35,AI56+AH57-AQ56,IF(A57&lt;'Données projet'!$A$62,$AF$205^A57,IF(A57='Données projet'!$A$62,'Données projet'!$B$62,AI56+AH57-AQ56)))</f>
        <v>189.56868131868137</v>
      </c>
      <c r="AJ57" s="13">
        <f>AI57*VLOOKUP('Données projet'!$B$10,Paramètres!$A$1:$I$89,3,0)*VLOOKUP('Données projet'!$B$10,Paramètres!$A$1:$I$89,5,0)</f>
        <v>192.22264285714294</v>
      </c>
      <c r="AK57" s="13">
        <f t="shared" si="35"/>
        <v>48.031014520243914</v>
      </c>
      <c r="AL57" s="20">
        <f t="shared" si="4"/>
        <v>418.44178659894874</v>
      </c>
      <c r="AM57" s="59">
        <f t="shared" si="5"/>
        <v>676.14615926628812</v>
      </c>
      <c r="AN57" s="59">
        <f ca="1">AVERAGE(OFFSET($AM$3,0,0,'Données projet'!$E$10+1,1))-AVERAGE(OFFSET($H$3,0,0,'Données projet'!$E$10+1,1))</f>
        <v>462.74754756814662</v>
      </c>
      <c r="AO57" s="59">
        <f t="shared" si="36"/>
        <v>327.65191293226667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8.8736263736263741</v>
      </c>
      <c r="BD57" s="12">
        <f>IF('Données projet'!$A$88&gt;35,BD56+BC57-BL56,IF(A57&lt;'Données projet'!$A$88,$BA$205^A57,IF(A57='Données projet'!$A$88,'Données projet'!$B$88,BD56+BC57-BL56)))</f>
        <v>189.56868131868137</v>
      </c>
      <c r="BE57" s="13">
        <f>BD57*VLOOKUP('Données projet'!$B$11,Paramètres!$A$1:$I$89,3,0)*VLOOKUP('Données projet'!$B$11,Paramètres!$A$1:$I$89,5,0)</f>
        <v>127.16267142857147</v>
      </c>
      <c r="BF57" s="13">
        <f t="shared" si="37"/>
        <v>33.339896356597151</v>
      </c>
      <c r="BG57" s="20">
        <f t="shared" si="7"/>
        <v>279.54197222583531</v>
      </c>
      <c r="BH57" s="59">
        <f t="shared" si="8"/>
        <v>537.24634489317464</v>
      </c>
      <c r="BI57" s="59">
        <f ca="1">AVERAGE(OFFSET($BH$3,0,0,'Données projet'!$E$11+1,1))-AVERAGE(OFFSET($H$3,0,0,'Données projet'!$E$11+1,1))</f>
        <v>332.21938212432008</v>
      </c>
      <c r="BJ57" s="59">
        <f t="shared" si="38"/>
        <v>237.47732529948181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8.8736263736263741</v>
      </c>
      <c r="BY57" s="12">
        <f>IF('Données projet'!$A$114&gt;35,BY56+BX57-CG56,IF(A57&lt;'Données projet'!$A$114,$BV$205^A57,IF(A57='Données projet'!$A$114,'Données projet'!$B$114,BY56+BX57-CG56)))</f>
        <v>189.56868131868137</v>
      </c>
      <c r="BZ57" s="13">
        <f>BY57*VLOOKUP('Données projet'!$B$12,Paramètres!$A$1:$I$89,3,0)*VLOOKUP('Données projet'!$B$12,Paramètres!$A$1:$I$89,5,0)</f>
        <v>180.39355714285719</v>
      </c>
      <c r="CA57" s="13">
        <f t="shared" si="39"/>
        <v>45.409734247122266</v>
      </c>
      <c r="CB57" s="20">
        <f t="shared" si="10"/>
        <v>393.27406583754754</v>
      </c>
      <c r="CC57" s="59">
        <f t="shared" si="11"/>
        <v>650.97843850488687</v>
      </c>
      <c r="CD57" s="59">
        <f ca="1">AVERAGE(OFFSET($CC$3,0,0,'Données projet'!$E$12+1,1))-AVERAGE(OFFSET($H$3,0,0,'Données projet'!$E$12+1,1))</f>
        <v>439.09551305860475</v>
      </c>
      <c r="CE57" s="59">
        <f t="shared" si="40"/>
        <v>311.31528017256846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8.8736263736263741</v>
      </c>
      <c r="CT57" s="12">
        <f>IF('Données projet'!$A$140&gt;35,CT56+CS57-DB56,IF(A57&lt;'Données projet'!$A$140,$CQ$205^A57,IF(A57='Données projet'!$A$140,'Données projet'!$B$140,CT56+CS57-DB56)))</f>
        <v>189.56868131868137</v>
      </c>
      <c r="CU57" s="17">
        <f>CT57*VLOOKUP('Données projet'!$B$13,Paramètres!$A$1:$I$89,3,0)*VLOOKUP('Données projet'!$B$13,Paramètres!$A$1:$I$89,5,0)</f>
        <v>183.35082857142862</v>
      </c>
      <c r="CV57" s="13">
        <f t="shared" si="41"/>
        <v>46.066881631326424</v>
      </c>
      <c r="CW57" s="20">
        <f t="shared" si="13"/>
        <v>399.56917860313166</v>
      </c>
      <c r="CX57" s="59">
        <f t="shared" si="14"/>
        <v>657.27355127047099</v>
      </c>
      <c r="CY57" s="59">
        <f ca="1">AVERAGE(OFFSET($CX$3,0,0,'Données projet'!$E$13+1,1))-AVERAGE(OFFSET($H$3,0,0,'Données projet'!$E$13+1,1))</f>
        <v>445.01146841309549</v>
      </c>
      <c r="CZ57" s="59">
        <f t="shared" si="42"/>
        <v>315.40159257508969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>
        <f>VLOOKUP(A57,'Données projet'!$A$165:$I$185,2,0)</f>
        <v>566.79999999999995</v>
      </c>
      <c r="DM57" s="12">
        <f>VLOOKUP(A57,'Données projet'!$A$165:$I$185,9,0)</f>
        <v>20.507692307692299</v>
      </c>
      <c r="DN57" s="12">
        <f t="array" ref="DN57">INDEX(DM:DM,MIN(IF(ISNUMBER(DM57:DM253),ROW(DM57:DM253),"")))</f>
        <v>20.507692307692299</v>
      </c>
      <c r="DO57" s="12">
        <f>IF('Données projet'!$A$166&gt;35,DO56+DN57-DW56,IF(A57&lt;'Données projet'!$A$166,$DL$205^A57,IF(A57='Données projet'!$A$166,'Données projet'!$B$166,DO56+DN57-DW56)))</f>
        <v>566.79999999999984</v>
      </c>
      <c r="DP57" s="17">
        <f>DO57*VLOOKUP('Données projet'!$B$14,Paramètres!$A$1:$I$89,3,0)*VLOOKUP('Données projet'!$B$14,Paramètres!$A$1:$I$89,5,0)</f>
        <v>316.8411999999999</v>
      </c>
      <c r="DQ57" s="13">
        <f t="shared" si="43"/>
        <v>74.695724902330795</v>
      </c>
      <c r="DR57" s="20">
        <f t="shared" si="16"/>
        <v>681.92681087155927</v>
      </c>
      <c r="DS57" s="59">
        <f t="shared" si="17"/>
        <v>939.63118353889854</v>
      </c>
      <c r="DT57" s="59">
        <f ca="1">AVERAGE(OFFSET($DS$3,0,0,'Données projet'!$E$14+1,1))-AVERAGE(OFFSET($H$3,0,0,'Données projet'!$E$14+1,1))</f>
        <v>349.00268383833668</v>
      </c>
      <c r="DU57" s="59">
        <f t="shared" si="44"/>
        <v>459.94854391583749</v>
      </c>
      <c r="DV57" s="15">
        <f>IF(ISNA(VLOOKUP(A57,'Données projet'!$A$165:$I$185,3,0)),0,VLOOKUP(A57,'Données projet'!$A$165:$I$185,3,0))</f>
        <v>7</v>
      </c>
      <c r="DW57" s="15">
        <f>IF(ISNA(VLOOKUP(A57,'Données projet'!$A$165:$I$185,4,0)),0,VLOOKUP(A57,'Données projet'!$A$165:$I$185,4,0))</f>
        <v>566.79999999999995</v>
      </c>
      <c r="DX57" s="16">
        <f>IF(ISNA(VLOOKUP(A57,'Données projet'!$A$165:$I$185,5,0)),0%,VLOOKUP(A57,'Données projet'!$A$165:$I$185,5,0)*VLOOKUP('Données projet'!$B$14,Paramètres!$A$1:$I$89,7,0))</f>
        <v>0.38500000000000001</v>
      </c>
      <c r="DY57" s="16">
        <f>IF(ISNA(VLOOKUP(A57,'Données projet'!$A$165:$I$185,6,0)),0%,VLOOKUP(A57,'Données projet'!$A$165:$I$185,6,0)*VLOOKUP('Données projet'!$B$14,Paramètres!$A$1:$I$89,7,0))</f>
        <v>9.240000000000001E-2</v>
      </c>
      <c r="DZ57" s="16">
        <f>IF(ISNA(VLOOKUP(A57,'Données projet'!$A$165:$I$185,7,0)),0%,VLOOKUP(A57,'Données projet'!$A$165:$I$185,7,0))</f>
        <v>0.13200000000000001</v>
      </c>
      <c r="EA57" s="21">
        <f>EXP(-LN(2)/35)*EA56+(1-EXP(-LN(2)/35))/(LN(2)/35)*DW57*DX57*VLOOKUP('Données projet'!$B$14,Paramètres!$A$1:$I$89,3,0)*0.475*44/12</f>
        <v>231.19058838852931</v>
      </c>
      <c r="EB57" s="21">
        <f>EXP(-LN(2)/25)*EB56+(1-EXP(-LN(2)/25))/(LN(2)/25)*Calculateur!DW57*Calculateur!DY57*VLOOKUP('Données projet'!$B$14,Paramètres!$A$1:$I$89,3,0)*0.475*44/12</f>
        <v>59.227252728732921</v>
      </c>
      <c r="EC57" s="21">
        <f>EXP(-LN(2)/2)*EC56+(1-EXP(-LN(2)/2))/(LN(2)/2)*DW57*DZ57*VLOOKUP('Données projet'!$B$14,Paramètres!$A$1:$I$89,3,0)*0.475*44/12</f>
        <v>48.311379430966142</v>
      </c>
      <c r="ED57" s="22">
        <f t="shared" si="18"/>
        <v>338.7292205482284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9.5</v>
      </c>
      <c r="EJ57" s="12">
        <f>IF('Données projet'!$A$192&gt;35,EJ56+EI57-ER56,IF(A57&lt;'Données projet'!$A$192,$EG$205^A57,IF(A57='Données projet'!$A$192,'Données projet'!$B$192,EJ56+EI57-ER56)))</f>
        <v>240</v>
      </c>
      <c r="EK57" s="17">
        <f>EJ57*VLOOKUP('Données projet'!$B$15,Paramètres!$A$1:$I$89,3,0)*VLOOKUP('Données projet'!$B$15,Paramètres!$A$1:$I$89,5,0)</f>
        <v>187.20000000000002</v>
      </c>
      <c r="EL57" s="13">
        <f t="shared" si="45"/>
        <v>46.920378730551299</v>
      </c>
      <c r="EM57" s="20">
        <f t="shared" si="19"/>
        <v>407.75965962237683</v>
      </c>
      <c r="EN57" s="59">
        <f t="shared" si="20"/>
        <v>665.46403228971622</v>
      </c>
      <c r="EO57" s="59">
        <f ca="1">AVERAGE(OFFSET($EN$3,0,0,'Données projet'!$E$15+1,1))-AVERAGE(OFFSET($H$3,0,0,'Données projet'!$E$15+1,1))</f>
        <v>308.82719216177946</v>
      </c>
      <c r="EP57" s="59">
        <f t="shared" si="46"/>
        <v>302.59481222418219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17.544973302925285</v>
      </c>
      <c r="EW57" s="21">
        <f>EXP(-LN(2)/25)*EW56+(1-EXP(-LN(2)/25))/(LN(2)/25)*Calculateur!ER57*Calculateur!ET57*VLOOKUP('Données projet'!$B$15,Paramètres!$A$1:$I$89,3,0)*0.475*44/12</f>
        <v>21.74385564327633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39.288828946201619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649.80172861846575</v>
      </c>
      <c r="S58" s="59">
        <f ca="1">AVERAGE(OFFSET($R$3,0,0,'Données projet'!$E$9+1,1))-AVERAGE(OFFSET($H$3,0,0,'Données projet'!$E$9+1,1))</f>
        <v>421.33534980160005</v>
      </c>
      <c r="T58" s="59">
        <f t="shared" si="34"/>
        <v>299.0473530693472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198.44230769230768</v>
      </c>
      <c r="AG58" s="12">
        <f>VLOOKUP(A58,'Données projet'!$A$61:$I$81,9,0)</f>
        <v>8.8736263736263741</v>
      </c>
      <c r="AH58" s="12">
        <f t="array" ref="AH58">INDEX(AG:AG,MIN(IF(ISNUMBER(AG58:AG254),ROW(AG58:AG254),"")))</f>
        <v>8.8736263736263741</v>
      </c>
      <c r="AI58" s="13">
        <f>IF('Données projet'!$A$62&gt;35,AI57+AH58-AQ57,IF(A58&lt;'Données projet'!$A$62,$AF$205^A58,IF(A58='Données projet'!$A$62,'Données projet'!$B$62,AI57+AH58-AQ57)))</f>
        <v>198.44230769230774</v>
      </c>
      <c r="AJ58" s="13">
        <f>AI58*VLOOKUP('Données projet'!$B$10,Paramètres!$A$1:$I$89,3,0)*VLOOKUP('Données projet'!$B$10,Paramètres!$A$1:$I$89,5,0)</f>
        <v>201.22050000000007</v>
      </c>
      <c r="AK58" s="13">
        <f t="shared" si="35"/>
        <v>50.012301634497518</v>
      </c>
      <c r="AL58" s="20">
        <f t="shared" si="4"/>
        <v>437.56379618008327</v>
      </c>
      <c r="AM58" s="59">
        <f t="shared" si="5"/>
        <v>695.88625166055465</v>
      </c>
      <c r="AN58" s="59">
        <f ca="1">AVERAGE(OFFSET($AM$3,0,0,'Données projet'!$E$10+1,1))-AVERAGE(OFFSET($H$3,0,0,'Données projet'!$E$10+1,1))</f>
        <v>462.74754756814662</v>
      </c>
      <c r="AO58" s="59">
        <f t="shared" si="36"/>
        <v>327.65191293226667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45.147435897435898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198.44230769230768</v>
      </c>
      <c r="BB58" s="12">
        <f>VLOOKUP(A58,'Données projet'!$A$87:$I$107,9,0)</f>
        <v>8.8736263736263741</v>
      </c>
      <c r="BC58" s="12">
        <f t="array" ref="BC58">INDEX(BB:BB,MIN(IF(ISNUMBER(BB58:BB254),ROW(BB58:BB254),"")))</f>
        <v>8.8736263736263741</v>
      </c>
      <c r="BD58" s="12">
        <f>IF('Données projet'!$A$88&gt;35,BD57+BC58-BL57,IF(A58&lt;'Données projet'!$A$88,$BA$205^A58,IF(A58='Données projet'!$A$88,'Données projet'!$B$88,BD57+BC58-BL57)))</f>
        <v>198.44230769230774</v>
      </c>
      <c r="BE58" s="13">
        <f>BD58*VLOOKUP('Données projet'!$B$11,Paramètres!$A$1:$I$89,3,0)*VLOOKUP('Données projet'!$B$11,Paramètres!$A$1:$I$89,5,0)</f>
        <v>133.11510000000004</v>
      </c>
      <c r="BF58" s="13">
        <f t="shared" si="37"/>
        <v>34.715172471450721</v>
      </c>
      <c r="BG58" s="20">
        <f t="shared" si="7"/>
        <v>292.30439122111011</v>
      </c>
      <c r="BH58" s="59">
        <f t="shared" si="8"/>
        <v>550.62684670158148</v>
      </c>
      <c r="BI58" s="59">
        <f ca="1">AVERAGE(OFFSET($BH$3,0,0,'Données projet'!$E$11+1,1))-AVERAGE(OFFSET($H$3,0,0,'Données projet'!$E$11+1,1))</f>
        <v>332.21938212432008</v>
      </c>
      <c r="BJ58" s="59">
        <f t="shared" si="38"/>
        <v>237.47732529948181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45.147435897435898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198.44230769230768</v>
      </c>
      <c r="BW58" s="12">
        <f>VLOOKUP(A58,'Données projet'!$A$113:$I$133,9,0)</f>
        <v>8.8736263736263741</v>
      </c>
      <c r="BX58" s="12">
        <f t="array" ref="BX58">INDEX(BW:BW,MIN(IF(ISNUMBER(BW58:BW254),ROW(BW58:BW254),"")))</f>
        <v>8.8736263736263741</v>
      </c>
      <c r="BY58" s="12">
        <f>IF('Données projet'!$A$114&gt;35,BY57+BX58-CG57,IF(A58&lt;'Données projet'!$A$114,$BV$205^A58,IF(A58='Données projet'!$A$114,'Données projet'!$B$114,BY57+BX58-CG57)))</f>
        <v>198.44230769230774</v>
      </c>
      <c r="BZ58" s="13">
        <f>BY58*VLOOKUP('Données projet'!$B$12,Paramètres!$A$1:$I$89,3,0)*VLOOKUP('Données projet'!$B$12,Paramètres!$A$1:$I$89,5,0)</f>
        <v>188.83770000000004</v>
      </c>
      <c r="CA58" s="13">
        <f t="shared" si="39"/>
        <v>47.282893126320744</v>
      </c>
      <c r="CB58" s="20">
        <f t="shared" si="10"/>
        <v>411.24336636167533</v>
      </c>
      <c r="CC58" s="59">
        <f t="shared" si="11"/>
        <v>669.56582184214676</v>
      </c>
      <c r="CD58" s="59">
        <f ca="1">AVERAGE(OFFSET($CC$3,0,0,'Données projet'!$E$12+1,1))-AVERAGE(OFFSET($H$3,0,0,'Données projet'!$E$12+1,1))</f>
        <v>439.09551305860475</v>
      </c>
      <c r="CE58" s="59">
        <f t="shared" si="40"/>
        <v>311.31528017256846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45.147435897435898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198.44230769230768</v>
      </c>
      <c r="CR58" s="12">
        <f>VLOOKUP(A58,'Données projet'!$A$139:$I$159,9,0)</f>
        <v>8.8736263736263741</v>
      </c>
      <c r="CS58" s="12">
        <f t="array" ref="CS58">INDEX(CR:CR,MIN(IF(ISNUMBER(CR58:CR254),ROW(CR58:CR254),"")))</f>
        <v>8.8736263736263741</v>
      </c>
      <c r="CT58" s="12">
        <f>IF('Données projet'!$A$140&gt;35,CT57+CS58-DB57,IF(A58&lt;'Données projet'!$A$140,$CQ$205^A58,IF(A58='Données projet'!$A$140,'Données projet'!$B$140,CT57+CS58-DB57)))</f>
        <v>198.44230769230774</v>
      </c>
      <c r="CU58" s="17">
        <f>CT58*VLOOKUP('Données projet'!$B$13,Paramètres!$A$1:$I$89,3,0)*VLOOKUP('Données projet'!$B$13,Paramètres!$A$1:$I$89,5,0)</f>
        <v>191.93340000000003</v>
      </c>
      <c r="CV58" s="13">
        <f t="shared" si="41"/>
        <v>47.967147946365976</v>
      </c>
      <c r="CW58" s="20">
        <f t="shared" si="13"/>
        <v>417.8267876732541</v>
      </c>
      <c r="CX58" s="59">
        <f t="shared" si="14"/>
        <v>676.14924315372548</v>
      </c>
      <c r="CY58" s="59">
        <f ca="1">AVERAGE(OFFSET($CX$3,0,0,'Données projet'!$E$13+1,1))-AVERAGE(OFFSET($H$3,0,0,'Données projet'!$E$13+1,1))</f>
        <v>445.01146841309549</v>
      </c>
      <c r="CZ58" s="59">
        <f t="shared" si="42"/>
        <v>315.40159257508969</v>
      </c>
      <c r="DA58" s="15">
        <f>IF(ISNA(VLOOKUP(A58,'Données projet'!$A$139:$I$159,3,0)),0,VLOOKUP(A58,'Données projet'!$A$139:$I$159,3,0))</f>
        <v>4</v>
      </c>
      <c r="DB58" s="15">
        <f>IF(ISNA(VLOOKUP(A58,'Données projet'!$A$139:$I$159,4,0)),0,VLOOKUP(A58,'Données projet'!$A$139:$I$159,4,0))</f>
        <v>45.147435897435898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-1.1368683772161603E-13</v>
      </c>
      <c r="DP58" s="17">
        <f>DO58*VLOOKUP('Données projet'!$B$14,Paramètres!$A$1:$I$89,3,0)*VLOOKUP('Données projet'!$B$14,Paramètres!$A$1:$I$89,5,0)</f>
        <v>-6.3550942286383367E-14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349.00268383833668</v>
      </c>
      <c r="DU58" s="59">
        <f t="shared" si="44"/>
        <v>459.94854391583749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226.65708196256534</v>
      </c>
      <c r="EB58" s="21">
        <f>EXP(-LN(2)/25)*EB57+(1-EXP(-LN(2)/25))/(LN(2)/25)*Calculateur!DW58*Calculateur!DY58*VLOOKUP('Données projet'!$B$14,Paramètres!$A$1:$I$89,3,0)*0.475*44/12</f>
        <v>57.607680388239864</v>
      </c>
      <c r="EC58" s="21">
        <f>EXP(-LN(2)/2)*EC57+(1-EXP(-LN(2)/2))/(LN(2)/2)*DW58*DZ58*VLOOKUP('Données projet'!$B$14,Paramètres!$A$1:$I$89,3,0)*0.475*44/12</f>
        <v>34.161304004112452</v>
      </c>
      <c r="ED58" s="22">
        <f t="shared" si="18"/>
        <v>318.42606635491768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9.5</v>
      </c>
      <c r="EJ58" s="12">
        <f>IF('Données projet'!$A$192&gt;35,EJ57+EI58-ER57,IF(A58&lt;'Données projet'!$A$192,$EG$205^A58,IF(A58='Données projet'!$A$192,'Données projet'!$B$192,EJ57+EI58-ER57)))</f>
        <v>249.5</v>
      </c>
      <c r="EK58" s="17">
        <f>EJ58*VLOOKUP('Données projet'!$B$15,Paramètres!$A$1:$I$89,3,0)*VLOOKUP('Données projet'!$B$15,Paramètres!$A$1:$I$89,5,0)</f>
        <v>194.61</v>
      </c>
      <c r="EL58" s="13">
        <f t="shared" si="45"/>
        <v>48.557731991923845</v>
      </c>
      <c r="EM58" s="20">
        <f t="shared" si="19"/>
        <v>423.51713321926735</v>
      </c>
      <c r="EN58" s="59">
        <f t="shared" si="20"/>
        <v>681.83958869973867</v>
      </c>
      <c r="EO58" s="59">
        <f ca="1">AVERAGE(OFFSET($EN$3,0,0,'Données projet'!$E$15+1,1))-AVERAGE(OFFSET($H$3,0,0,'Données projet'!$E$15+1,1))</f>
        <v>308.82719216177946</v>
      </c>
      <c r="EP58" s="59">
        <f t="shared" si="46"/>
        <v>302.59481222418219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17.200927077831963</v>
      </c>
      <c r="EW58" s="21">
        <f>EXP(-LN(2)/25)*EW57+(1-EXP(-LN(2)/25))/(LN(2)/25)*Calculateur!ER58*Calculateur!ET58*VLOOKUP('Données projet'!$B$15,Paramètres!$A$1:$I$89,3,0)*0.475*44/12</f>
        <v>21.149268767251268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38.350195845083235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579.41342852783987</v>
      </c>
      <c r="S59" s="59">
        <f ca="1">AVERAGE(OFFSET($R$3,0,0,'Données projet'!$E$9+1,1))-AVERAGE(OFFSET($H$3,0,0,'Données projet'!$E$9+1,1))</f>
        <v>421.33534980160005</v>
      </c>
      <c r="T59" s="59">
        <f t="shared" si="34"/>
        <v>299.0473530693472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8.374198717948719</v>
      </c>
      <c r="AI59" s="13">
        <f>IF('Données projet'!$A$62&gt;35,AI58+AH59-AQ58,IF(A59&lt;'Données projet'!$A$62,$AF$205^A59,IF(A59='Données projet'!$A$62,'Données projet'!$B$62,AI58+AH59-AQ58)))</f>
        <v>161.66907051282055</v>
      </c>
      <c r="AJ59" s="13">
        <f>AI59*VLOOKUP('Données projet'!$B$10,Paramètres!$A$1:$I$89,3,0)*VLOOKUP('Données projet'!$B$10,Paramètres!$A$1:$I$89,5,0)</f>
        <v>163.93243750000005</v>
      </c>
      <c r="AK59" s="13">
        <f t="shared" si="35"/>
        <v>41.728230370613375</v>
      </c>
      <c r="AL59" s="20">
        <f t="shared" si="4"/>
        <v>358.1923298746517</v>
      </c>
      <c r="AM59" s="59">
        <f t="shared" si="5"/>
        <v>617.12214581327339</v>
      </c>
      <c r="AN59" s="59">
        <f ca="1">AVERAGE(OFFSET($AM$3,0,0,'Données projet'!$E$10+1,1))-AVERAGE(OFFSET($H$3,0,0,'Données projet'!$E$10+1,1))</f>
        <v>462.74754756814662</v>
      </c>
      <c r="AO59" s="59">
        <f t="shared" si="36"/>
        <v>327.65191293226667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8.374198717948719</v>
      </c>
      <c r="BD59" s="12">
        <f>IF('Données projet'!$A$88&gt;35,BD58+BC59-BL58,IF(A59&lt;'Données projet'!$A$88,$BA$205^A59,IF(A59='Données projet'!$A$88,'Données projet'!$B$88,BD58+BC59-BL58)))</f>
        <v>161.66907051282055</v>
      </c>
      <c r="BE59" s="13">
        <f>BD59*VLOOKUP('Données projet'!$B$11,Paramètres!$A$1:$I$89,3,0)*VLOOKUP('Données projet'!$B$11,Paramètres!$A$1:$I$89,5,0)</f>
        <v>108.44761250000002</v>
      </c>
      <c r="BF59" s="13">
        <f t="shared" si="37"/>
        <v>28.964927965743797</v>
      </c>
      <c r="BG59" s="20">
        <f t="shared" si="7"/>
        <v>239.32684131117045</v>
      </c>
      <c r="BH59" s="59">
        <f t="shared" si="8"/>
        <v>498.25665724979217</v>
      </c>
      <c r="BI59" s="59">
        <f ca="1">AVERAGE(OFFSET($BH$3,0,0,'Données projet'!$E$11+1,1))-AVERAGE(OFFSET($H$3,0,0,'Données projet'!$E$11+1,1))</f>
        <v>332.21938212432008</v>
      </c>
      <c r="BJ59" s="59">
        <f t="shared" si="38"/>
        <v>237.47732529948181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8.374198717948719</v>
      </c>
      <c r="BY59" s="12">
        <f>IF('Données projet'!$A$114&gt;35,BY58+BX59-CG58,IF(A59&lt;'Données projet'!$A$114,$BV$205^A59,IF(A59='Données projet'!$A$114,'Données projet'!$B$114,BY58+BX59-CG58)))</f>
        <v>161.66907051282055</v>
      </c>
      <c r="BZ59" s="13">
        <f>BY59*VLOOKUP('Données projet'!$B$12,Paramètres!$A$1:$I$89,3,0)*VLOOKUP('Données projet'!$B$12,Paramètres!$A$1:$I$89,5,0)</f>
        <v>153.84428750000004</v>
      </c>
      <c r="CA59" s="13">
        <f t="shared" si="39"/>
        <v>39.450922922596405</v>
      </c>
      <c r="CB59" s="20">
        <f t="shared" si="10"/>
        <v>336.65582481935542</v>
      </c>
      <c r="CC59" s="59">
        <f t="shared" si="11"/>
        <v>595.58564075797722</v>
      </c>
      <c r="CD59" s="59">
        <f ca="1">AVERAGE(OFFSET($CC$3,0,0,'Données projet'!$E$12+1,1))-AVERAGE(OFFSET($H$3,0,0,'Données projet'!$E$12+1,1))</f>
        <v>439.09551305860475</v>
      </c>
      <c r="CE59" s="59">
        <f t="shared" si="40"/>
        <v>311.31528017256846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8.374198717948719</v>
      </c>
      <c r="CT59" s="12">
        <f>IF('Données projet'!$A$140&gt;35,CT58+CS59-DB58,IF(A59&lt;'Données projet'!$A$140,$CQ$205^A59,IF(A59='Données projet'!$A$140,'Données projet'!$B$140,CT58+CS59-DB58)))</f>
        <v>161.66907051282055</v>
      </c>
      <c r="CU59" s="17">
        <f>CT59*VLOOKUP('Données projet'!$B$13,Paramètres!$A$1:$I$89,3,0)*VLOOKUP('Données projet'!$B$13,Paramètres!$A$1:$I$89,5,0)</f>
        <v>156.36632500000005</v>
      </c>
      <c r="CV59" s="13">
        <f t="shared" si="41"/>
        <v>40.021837314253894</v>
      </c>
      <c r="CW59" s="20">
        <f t="shared" si="13"/>
        <v>342.04271603065894</v>
      </c>
      <c r="CX59" s="59">
        <f t="shared" si="14"/>
        <v>600.97253196928068</v>
      </c>
      <c r="CY59" s="59">
        <f ca="1">AVERAGE(OFFSET($CX$3,0,0,'Données projet'!$E$13+1,1))-AVERAGE(OFFSET($H$3,0,0,'Données projet'!$E$13+1,1))</f>
        <v>445.01146841309549</v>
      </c>
      <c r="CZ59" s="59">
        <f t="shared" si="42"/>
        <v>315.40159257508969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-1.1368683772161603E-13</v>
      </c>
      <c r="DP59" s="17">
        <f>DO59*VLOOKUP('Données projet'!$B$14,Paramètres!$A$1:$I$89,3,0)*VLOOKUP('Données projet'!$B$14,Paramètres!$A$1:$I$89,5,0)</f>
        <v>-6.3550942286383367E-14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349.00268383833668</v>
      </c>
      <c r="DU59" s="59">
        <f t="shared" si="44"/>
        <v>459.94854391583749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222.21247483244866</v>
      </c>
      <c r="EB59" s="21">
        <f>EXP(-LN(2)/25)*EB58+(1-EXP(-LN(2)/25))/(LN(2)/25)*Calculateur!DW59*Calculateur!DY59*VLOOKUP('Données projet'!$B$14,Paramètres!$A$1:$I$89,3,0)*0.475*44/12</f>
        <v>56.032395338567198</v>
      </c>
      <c r="EC59" s="21">
        <f>EXP(-LN(2)/2)*EC58+(1-EXP(-LN(2)/2))/(LN(2)/2)*DW59*DZ59*VLOOKUP('Données projet'!$B$14,Paramètres!$A$1:$I$89,3,0)*0.475*44/12</f>
        <v>24.155689715483074</v>
      </c>
      <c r="ED59" s="22">
        <f t="shared" si="18"/>
        <v>302.40055988649891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9.5</v>
      </c>
      <c r="EJ59" s="12">
        <f>IF('Données projet'!$A$192&gt;35,EJ58+EI59-ER58,IF(A59&lt;'Données projet'!$A$192,$EG$205^A59,IF(A59='Données projet'!$A$192,'Données projet'!$B$192,EJ58+EI59-ER58)))</f>
        <v>259</v>
      </c>
      <c r="EK59" s="17">
        <f>EJ59*VLOOKUP('Données projet'!$B$15,Paramètres!$A$1:$I$89,3,0)*VLOOKUP('Données projet'!$B$15,Paramètres!$A$1:$I$89,5,0)</f>
        <v>202.02</v>
      </c>
      <c r="EL59" s="13">
        <f t="shared" si="45"/>
        <v>50.187842607873506</v>
      </c>
      <c r="EM59" s="20">
        <f t="shared" si="19"/>
        <v>439.26199254204636</v>
      </c>
      <c r="EN59" s="59">
        <f t="shared" si="20"/>
        <v>698.1918084806681</v>
      </c>
      <c r="EO59" s="59">
        <f ca="1">AVERAGE(OFFSET($EN$3,0,0,'Données projet'!$E$15+1,1))-AVERAGE(OFFSET($H$3,0,0,'Données projet'!$E$15+1,1))</f>
        <v>308.82719216177946</v>
      </c>
      <c r="EP59" s="59">
        <f t="shared" si="46"/>
        <v>302.59481222418219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16.863627389365245</v>
      </c>
      <c r="EW59" s="21">
        <f>EXP(-LN(2)/25)*EW58+(1-EXP(-LN(2)/25))/(LN(2)/25)*Calculateur!ER59*Calculateur!ET59*VLOOKUP('Données projet'!$B$15,Paramètres!$A$1:$I$89,3,0)*0.475*44/12</f>
        <v>20.570940900619075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37.43456828998432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596.20567043855146</v>
      </c>
      <c r="S60" s="59">
        <f ca="1">AVERAGE(OFFSET($R$3,0,0,'Données projet'!$E$9+1,1))-AVERAGE(OFFSET($H$3,0,0,'Données projet'!$E$9+1,1))</f>
        <v>421.33534980160005</v>
      </c>
      <c r="T60" s="59">
        <f t="shared" si="34"/>
        <v>299.0473530693472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8.374198717948719</v>
      </c>
      <c r="AI60" s="13">
        <f>IF('Données projet'!$A$62&gt;35,AI59+AH60-AQ59,IF(A60&lt;'Données projet'!$A$62,$AF$205^A60,IF(A60='Données projet'!$A$62,'Données projet'!$B$62,AI59+AH60-AQ59)))</f>
        <v>170.04326923076928</v>
      </c>
      <c r="AJ60" s="13">
        <f>AI60*VLOOKUP('Données projet'!$B$10,Paramètres!$A$1:$I$89,3,0)*VLOOKUP('Données projet'!$B$10,Paramètres!$A$1:$I$89,5,0)</f>
        <v>172.42387500000007</v>
      </c>
      <c r="AK60" s="13">
        <f t="shared" si="35"/>
        <v>43.632442843290029</v>
      </c>
      <c r="AL60" s="20">
        <f t="shared" si="4"/>
        <v>376.29808691039688</v>
      </c>
      <c r="AM60" s="59">
        <f t="shared" si="5"/>
        <v>635.82472696107459</v>
      </c>
      <c r="AN60" s="59">
        <f ca="1">AVERAGE(OFFSET($AM$3,0,0,'Données projet'!$E$10+1,1))-AVERAGE(OFFSET($H$3,0,0,'Données projet'!$E$10+1,1))</f>
        <v>462.74754756814662</v>
      </c>
      <c r="AO60" s="59">
        <f t="shared" si="36"/>
        <v>327.65191293226667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8.374198717948719</v>
      </c>
      <c r="BD60" s="12">
        <f>IF('Données projet'!$A$88&gt;35,BD59+BC60-BL59,IF(A60&lt;'Données projet'!$A$88,$BA$205^A60,IF(A60='Données projet'!$A$88,'Données projet'!$B$88,BD59+BC60-BL59)))</f>
        <v>170.04326923076928</v>
      </c>
      <c r="BE60" s="13">
        <f>BD60*VLOOKUP('Données projet'!$B$11,Paramètres!$A$1:$I$89,3,0)*VLOOKUP('Données projet'!$B$11,Paramètres!$A$1:$I$89,5,0)</f>
        <v>114.06502500000005</v>
      </c>
      <c r="BF60" s="13">
        <f t="shared" si="37"/>
        <v>30.286704053842485</v>
      </c>
      <c r="BG60" s="20">
        <f t="shared" si="7"/>
        <v>251.41259476877573</v>
      </c>
      <c r="BH60" s="59">
        <f t="shared" si="8"/>
        <v>510.93923481945342</v>
      </c>
      <c r="BI60" s="59">
        <f ca="1">AVERAGE(OFFSET($BH$3,0,0,'Données projet'!$E$11+1,1))-AVERAGE(OFFSET($H$3,0,0,'Données projet'!$E$11+1,1))</f>
        <v>332.21938212432008</v>
      </c>
      <c r="BJ60" s="59">
        <f t="shared" si="38"/>
        <v>237.47732529948181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8.374198717948719</v>
      </c>
      <c r="BY60" s="12">
        <f>IF('Données projet'!$A$114&gt;35,BY59+BX60-CG59,IF(A60&lt;'Données projet'!$A$114,$BV$205^A60,IF(A60='Données projet'!$A$114,'Données projet'!$B$114,BY59+BX60-CG59)))</f>
        <v>170.04326923076928</v>
      </c>
      <c r="BZ60" s="13">
        <f>BY60*VLOOKUP('Données projet'!$B$12,Paramètres!$A$1:$I$89,3,0)*VLOOKUP('Données projet'!$B$12,Paramètres!$A$1:$I$89,5,0)</f>
        <v>161.81317500000006</v>
      </c>
      <c r="CA60" s="13">
        <f t="shared" si="39"/>
        <v>41.251213488973178</v>
      </c>
      <c r="CB60" s="20">
        <f t="shared" si="10"/>
        <v>353.67047661829503</v>
      </c>
      <c r="CC60" s="59">
        <f t="shared" si="11"/>
        <v>613.19711666897274</v>
      </c>
      <c r="CD60" s="59">
        <f ca="1">AVERAGE(OFFSET($CC$3,0,0,'Données projet'!$E$12+1,1))-AVERAGE(OFFSET($H$3,0,0,'Données projet'!$E$12+1,1))</f>
        <v>439.09551305860475</v>
      </c>
      <c r="CE60" s="59">
        <f t="shared" si="40"/>
        <v>311.31528017256846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8.374198717948719</v>
      </c>
      <c r="CT60" s="12">
        <f>IF('Données projet'!$A$140&gt;35,CT59+CS60-DB59,IF(A60&lt;'Données projet'!$A$140,$CQ$205^A60,IF(A60='Données projet'!$A$140,'Données projet'!$B$140,CT59+CS60-DB59)))</f>
        <v>170.04326923076928</v>
      </c>
      <c r="CU60" s="17">
        <f>CT60*VLOOKUP('Données projet'!$B$13,Paramètres!$A$1:$I$89,3,0)*VLOOKUP('Données projet'!$B$13,Paramètres!$A$1:$I$89,5,0)</f>
        <v>164.46585000000007</v>
      </c>
      <c r="CV60" s="13">
        <f t="shared" si="41"/>
        <v>41.848180802016721</v>
      </c>
      <c r="CW60" s="20">
        <f t="shared" si="13"/>
        <v>359.33027031351253</v>
      </c>
      <c r="CX60" s="59">
        <f t="shared" si="14"/>
        <v>618.8569103641903</v>
      </c>
      <c r="CY60" s="59">
        <f ca="1">AVERAGE(OFFSET($CX$3,0,0,'Données projet'!$E$13+1,1))-AVERAGE(OFFSET($H$3,0,0,'Données projet'!$E$13+1,1))</f>
        <v>445.01146841309549</v>
      </c>
      <c r="CZ60" s="59">
        <f t="shared" si="42"/>
        <v>315.40159257508969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-1.1368683772161603E-13</v>
      </c>
      <c r="DP60" s="17">
        <f>DO60*VLOOKUP('Données projet'!$B$14,Paramètres!$A$1:$I$89,3,0)*VLOOKUP('Données projet'!$B$14,Paramètres!$A$1:$I$89,5,0)</f>
        <v>-6.3550942286383367E-14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349.00268383833668</v>
      </c>
      <c r="DU60" s="59">
        <f t="shared" si="44"/>
        <v>459.94854391583749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217.8550237372109</v>
      </c>
      <c r="EB60" s="21">
        <f>EXP(-LN(2)/25)*EB59+(1-EXP(-LN(2)/25))/(LN(2)/25)*Calculateur!DW60*Calculateur!DY60*VLOOKUP('Données projet'!$B$14,Paramètres!$A$1:$I$89,3,0)*0.475*44/12</f>
        <v>54.500186541418472</v>
      </c>
      <c r="EC60" s="21">
        <f>EXP(-LN(2)/2)*EC59+(1-EXP(-LN(2)/2))/(LN(2)/2)*DW60*DZ60*VLOOKUP('Données projet'!$B$14,Paramètres!$A$1:$I$89,3,0)*0.475*44/12</f>
        <v>17.08065200205623</v>
      </c>
      <c r="ED60" s="22">
        <f t="shared" si="18"/>
        <v>289.43586228068563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9.5</v>
      </c>
      <c r="EJ60" s="12">
        <f>IF('Données projet'!$A$192&gt;35,EJ59+EI60-ER59,IF(A60&lt;'Données projet'!$A$192,$EG$205^A60,IF(A60='Données projet'!$A$192,'Données projet'!$B$192,EJ59+EI60-ER59)))</f>
        <v>268.5</v>
      </c>
      <c r="EK60" s="17">
        <f>EJ60*VLOOKUP('Données projet'!$B$15,Paramètres!$A$1:$I$89,3,0)*VLOOKUP('Données projet'!$B$15,Paramètres!$A$1:$I$89,5,0)</f>
        <v>209.43</v>
      </c>
      <c r="EL60" s="13">
        <f t="shared" si="45"/>
        <v>51.811006660589165</v>
      </c>
      <c r="EM60" s="20">
        <f t="shared" si="19"/>
        <v>454.99475326719272</v>
      </c>
      <c r="EN60" s="59">
        <f t="shared" si="20"/>
        <v>714.52139331787043</v>
      </c>
      <c r="EO60" s="59">
        <f ca="1">AVERAGE(OFFSET($EN$3,0,0,'Données projet'!$E$15+1,1))-AVERAGE(OFFSET($H$3,0,0,'Données projet'!$E$15+1,1))</f>
        <v>308.82719216177946</v>
      </c>
      <c r="EP60" s="59">
        <f t="shared" si="46"/>
        <v>302.59481222418219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16.532941942056862</v>
      </c>
      <c r="EW60" s="21">
        <f>EXP(-LN(2)/25)*EW59+(1-EXP(-LN(2)/25))/(LN(2)/25)*Calculateur!ER60*Calculateur!ET60*VLOOKUP('Données projet'!$B$15,Paramètres!$A$1:$I$89,3,0)*0.475*44/12</f>
        <v>20.008427439912879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36.541369381969744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612.97041000723209</v>
      </c>
      <c r="S61" s="59">
        <f ca="1">AVERAGE(OFFSET($R$3,0,0,'Données projet'!$E$9+1,1))-AVERAGE(OFFSET($H$3,0,0,'Données projet'!$E$9+1,1))</f>
        <v>421.33534980160005</v>
      </c>
      <c r="T61" s="59">
        <f t="shared" si="34"/>
        <v>299.0473530693472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8.374198717948719</v>
      </c>
      <c r="AI61" s="13">
        <f>IF('Données projet'!$A$62&gt;35,AI60+AH61-AQ60,IF(A61&lt;'Données projet'!$A$62,$AF$205^A61,IF(A61='Données projet'!$A$62,'Données projet'!$B$62,AI60+AH61-AQ60)))</f>
        <v>178.41746794871801</v>
      </c>
      <c r="AJ61" s="13">
        <f>AI61*VLOOKUP('Données projet'!$B$10,Paramètres!$A$1:$I$89,3,0)*VLOOKUP('Données projet'!$B$10,Paramètres!$A$1:$I$89,5,0)</f>
        <v>180.91531250000008</v>
      </c>
      <c r="AK61" s="13">
        <f t="shared" si="35"/>
        <v>45.525766180401902</v>
      </c>
      <c r="AL61" s="20">
        <f t="shared" si="4"/>
        <v>394.38487870170007</v>
      </c>
      <c r="AM61" s="59">
        <f t="shared" si="5"/>
        <v>654.49798930038855</v>
      </c>
      <c r="AN61" s="59">
        <f ca="1">AVERAGE(OFFSET($AM$3,0,0,'Données projet'!$E$10+1,1))-AVERAGE(OFFSET($H$3,0,0,'Données projet'!$E$10+1,1))</f>
        <v>462.74754756814662</v>
      </c>
      <c r="AO61" s="59">
        <f t="shared" si="36"/>
        <v>327.65191293226667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8.374198717948719</v>
      </c>
      <c r="BD61" s="12">
        <f>IF('Données projet'!$A$88&gt;35,BD60+BC61-BL60,IF(A61&lt;'Données projet'!$A$88,$BA$205^A61,IF(A61='Données projet'!$A$88,'Données projet'!$B$88,BD60+BC61-BL60)))</f>
        <v>178.41746794871801</v>
      </c>
      <c r="BE61" s="13">
        <f>BD61*VLOOKUP('Données projet'!$B$11,Paramètres!$A$1:$I$89,3,0)*VLOOKUP('Données projet'!$B$11,Paramètres!$A$1:$I$89,5,0)</f>
        <v>119.68243750000005</v>
      </c>
      <c r="BF61" s="13">
        <f t="shared" si="37"/>
        <v>31.6009216371965</v>
      </c>
      <c r="BG61" s="20">
        <f t="shared" si="7"/>
        <v>263.4851838306173</v>
      </c>
      <c r="BH61" s="59">
        <f t="shared" si="8"/>
        <v>523.59829442930572</v>
      </c>
      <c r="BI61" s="59">
        <f ca="1">AVERAGE(OFFSET($BH$3,0,0,'Données projet'!$E$11+1,1))-AVERAGE(OFFSET($H$3,0,0,'Données projet'!$E$11+1,1))</f>
        <v>332.21938212432008</v>
      </c>
      <c r="BJ61" s="59">
        <f t="shared" si="38"/>
        <v>237.47732529948181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8.374198717948719</v>
      </c>
      <c r="BY61" s="12">
        <f>IF('Données projet'!$A$114&gt;35,BY60+BX61-CG60,IF(A61&lt;'Données projet'!$A$114,$BV$205^A61,IF(A61='Données projet'!$A$114,'Données projet'!$B$114,BY60+BX61-CG60)))</f>
        <v>178.41746794871801</v>
      </c>
      <c r="BZ61" s="13">
        <f>BY61*VLOOKUP('Données projet'!$B$12,Paramètres!$A$1:$I$89,3,0)*VLOOKUP('Données projet'!$B$12,Paramètres!$A$1:$I$89,5,0)</f>
        <v>169.78206250000005</v>
      </c>
      <c r="CA61" s="13">
        <f t="shared" si="39"/>
        <v>43.041209191560064</v>
      </c>
      <c r="CB61" s="20">
        <f t="shared" si="10"/>
        <v>370.66719819613382</v>
      </c>
      <c r="CC61" s="59">
        <f t="shared" si="11"/>
        <v>630.7803087948223</v>
      </c>
      <c r="CD61" s="59">
        <f ca="1">AVERAGE(OFFSET($CC$3,0,0,'Données projet'!$E$12+1,1))-AVERAGE(OFFSET($H$3,0,0,'Données projet'!$E$12+1,1))</f>
        <v>439.09551305860475</v>
      </c>
      <c r="CE61" s="59">
        <f t="shared" si="40"/>
        <v>311.31528017256846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8.374198717948719</v>
      </c>
      <c r="CT61" s="12">
        <f>IF('Données projet'!$A$140&gt;35,CT60+CS61-DB60,IF(A61&lt;'Données projet'!$A$140,$CQ$205^A61,IF(A61='Données projet'!$A$140,'Données projet'!$B$140,CT60+CS61-DB60)))</f>
        <v>178.41746794871801</v>
      </c>
      <c r="CU61" s="17">
        <f>CT61*VLOOKUP('Données projet'!$B$13,Paramètres!$A$1:$I$89,3,0)*VLOOKUP('Données projet'!$B$13,Paramètres!$A$1:$I$89,5,0)</f>
        <v>172.56537500000005</v>
      </c>
      <c r="CV61" s="13">
        <f t="shared" si="41"/>
        <v>43.664080443774232</v>
      </c>
      <c r="CW61" s="20">
        <f t="shared" si="13"/>
        <v>376.59963489790681</v>
      </c>
      <c r="CX61" s="59">
        <f t="shared" si="14"/>
        <v>636.71274549659529</v>
      </c>
      <c r="CY61" s="59">
        <f ca="1">AVERAGE(OFFSET($CX$3,0,0,'Données projet'!$E$13+1,1))-AVERAGE(OFFSET($H$3,0,0,'Données projet'!$E$13+1,1))</f>
        <v>445.01146841309549</v>
      </c>
      <c r="CZ61" s="59">
        <f t="shared" si="42"/>
        <v>315.40159257508969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-1.1368683772161603E-13</v>
      </c>
      <c r="DP61" s="17">
        <f>DO61*VLOOKUP('Données projet'!$B$14,Paramètres!$A$1:$I$89,3,0)*VLOOKUP('Données projet'!$B$14,Paramètres!$A$1:$I$89,5,0)</f>
        <v>-6.3550942286383367E-14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349.00268383833668</v>
      </c>
      <c r="DU61" s="59">
        <f t="shared" si="44"/>
        <v>459.94854391583749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213.58301960016803</v>
      </c>
      <c r="EB61" s="21">
        <f>EXP(-LN(2)/25)*EB60+(1-EXP(-LN(2)/25))/(LN(2)/25)*Calculateur!DW61*Calculateur!DY61*VLOOKUP('Données projet'!$B$14,Paramètres!$A$1:$I$89,3,0)*0.475*44/12</f>
        <v>53.009876074403138</v>
      </c>
      <c r="EC61" s="21">
        <f>EXP(-LN(2)/2)*EC60+(1-EXP(-LN(2)/2))/(LN(2)/2)*DW61*DZ61*VLOOKUP('Données projet'!$B$14,Paramètres!$A$1:$I$89,3,0)*0.475*44/12</f>
        <v>12.077844857741541</v>
      </c>
      <c r="ED61" s="22">
        <f t="shared" si="18"/>
        <v>278.67074053231272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9.5</v>
      </c>
      <c r="EJ61" s="12">
        <f>IF('Données projet'!$A$192&gt;35,EJ60+EI61-ER60,IF(A61&lt;'Données projet'!$A$192,$EG$205^A61,IF(A61='Données projet'!$A$192,'Données projet'!$B$192,EJ60+EI61-ER60)))</f>
        <v>278</v>
      </c>
      <c r="EK61" s="17">
        <f>EJ61*VLOOKUP('Données projet'!$B$15,Paramètres!$A$1:$I$89,3,0)*VLOOKUP('Données projet'!$B$15,Paramètres!$A$1:$I$89,5,0)</f>
        <v>216.84</v>
      </c>
      <c r="EL61" s="13">
        <f t="shared" si="45"/>
        <v>53.427498092567944</v>
      </c>
      <c r="EM61" s="20">
        <f t="shared" si="19"/>
        <v>470.71589251122253</v>
      </c>
      <c r="EN61" s="59">
        <f t="shared" si="20"/>
        <v>730.8290031099109</v>
      </c>
      <c r="EO61" s="59">
        <f ca="1">AVERAGE(OFFSET($EN$3,0,0,'Données projet'!$E$15+1,1))-AVERAGE(OFFSET($H$3,0,0,'Données projet'!$E$15+1,1))</f>
        <v>308.82719216177946</v>
      </c>
      <c r="EP61" s="59">
        <f t="shared" si="46"/>
        <v>302.59481222418219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16.208741034671988</v>
      </c>
      <c r="EW61" s="21">
        <f>EXP(-LN(2)/25)*EW60+(1-EXP(-LN(2)/25))/(LN(2)/25)*Calculateur!ER61*Calculateur!ET61*VLOOKUP('Données projet'!$B$15,Paramètres!$A$1:$I$89,3,0)*0.475*44/12</f>
        <v>19.461295939370991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35.670036974042979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629.70872365270259</v>
      </c>
      <c r="S62" s="59">
        <f ca="1">AVERAGE(OFFSET($R$3,0,0,'Données projet'!$E$9+1,1))-AVERAGE(OFFSET($H$3,0,0,'Données projet'!$E$9+1,1))</f>
        <v>421.33534980160005</v>
      </c>
      <c r="T62" s="59">
        <f t="shared" si="34"/>
        <v>299.0473530693472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8.374198717948719</v>
      </c>
      <c r="AI62" s="13">
        <f>IF('Données projet'!$A$62&gt;35,AI61+AH62-AQ61,IF(A62&lt;'Données projet'!$A$62,$AF$205^A62,IF(A62='Données projet'!$A$62,'Données projet'!$B$62,AI61+AH62-AQ61)))</f>
        <v>186.79166666666674</v>
      </c>
      <c r="AJ62" s="13">
        <f>AI62*VLOOKUP('Données projet'!$B$10,Paramètres!$A$1:$I$89,3,0)*VLOOKUP('Données projet'!$B$10,Paramètres!$A$1:$I$89,5,0)</f>
        <v>189.40675000000007</v>
      </c>
      <c r="AK62" s="13">
        <f t="shared" si="35"/>
        <v>47.408769837095797</v>
      </c>
      <c r="AL62" s="20">
        <f t="shared" si="4"/>
        <v>412.45369704960859</v>
      </c>
      <c r="AM62" s="59">
        <f t="shared" si="5"/>
        <v>673.14310424345138</v>
      </c>
      <c r="AN62" s="59">
        <f ca="1">AVERAGE(OFFSET($AM$3,0,0,'Données projet'!$E$10+1,1))-AVERAGE(OFFSET($H$3,0,0,'Données projet'!$E$10+1,1))</f>
        <v>462.74754756814662</v>
      </c>
      <c r="AO62" s="59">
        <f t="shared" si="36"/>
        <v>327.65191293226667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8.374198717948719</v>
      </c>
      <c r="BD62" s="12">
        <f>IF('Données projet'!$A$88&gt;35,BD61+BC62-BL61,IF(A62&lt;'Données projet'!$A$88,$BA$205^A62,IF(A62='Données projet'!$A$88,'Données projet'!$B$88,BD61+BC62-BL61)))</f>
        <v>186.79166666666674</v>
      </c>
      <c r="BE62" s="13">
        <f>BD62*VLOOKUP('Données projet'!$B$11,Paramètres!$A$1:$I$89,3,0)*VLOOKUP('Données projet'!$B$11,Paramètres!$A$1:$I$89,5,0)</f>
        <v>125.29985000000006</v>
      </c>
      <c r="BF62" s="13">
        <f t="shared" si="37"/>
        <v>32.907975993227389</v>
      </c>
      <c r="BG62" s="20">
        <f t="shared" si="7"/>
        <v>275.5452969382045</v>
      </c>
      <c r="BH62" s="59">
        <f t="shared" si="8"/>
        <v>536.23470413204723</v>
      </c>
      <c r="BI62" s="59">
        <f ca="1">AVERAGE(OFFSET($BH$3,0,0,'Données projet'!$E$11+1,1))-AVERAGE(OFFSET($H$3,0,0,'Données projet'!$E$11+1,1))</f>
        <v>332.21938212432008</v>
      </c>
      <c r="BJ62" s="59">
        <f t="shared" si="38"/>
        <v>237.47732529948181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8.374198717948719</v>
      </c>
      <c r="BY62" s="12">
        <f>IF('Données projet'!$A$114&gt;35,BY61+BX62-CG61,IF(A62&lt;'Données projet'!$A$114,$BV$205^A62,IF(A62='Données projet'!$A$114,'Données projet'!$B$114,BY61+BX62-CG61)))</f>
        <v>186.79166666666674</v>
      </c>
      <c r="BZ62" s="13">
        <f>BY62*VLOOKUP('Données projet'!$B$12,Paramètres!$A$1:$I$89,3,0)*VLOOKUP('Données projet'!$B$12,Paramètres!$A$1:$I$89,5,0)</f>
        <v>177.75095000000007</v>
      </c>
      <c r="CA62" s="13">
        <f t="shared" si="39"/>
        <v>44.821448407635543</v>
      </c>
      <c r="CB62" s="20">
        <f t="shared" si="10"/>
        <v>387.64692722663199</v>
      </c>
      <c r="CC62" s="59">
        <f t="shared" si="11"/>
        <v>648.33633442047471</v>
      </c>
      <c r="CD62" s="59">
        <f ca="1">AVERAGE(OFFSET($CC$3,0,0,'Données projet'!$E$12+1,1))-AVERAGE(OFFSET($H$3,0,0,'Données projet'!$E$12+1,1))</f>
        <v>439.09551305860475</v>
      </c>
      <c r="CE62" s="59">
        <f t="shared" si="40"/>
        <v>311.31528017256846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8.374198717948719</v>
      </c>
      <c r="CT62" s="12">
        <f>IF('Données projet'!$A$140&gt;35,CT61+CS62-DB61,IF(A62&lt;'Données projet'!$A$140,$CQ$205^A62,IF(A62='Données projet'!$A$140,'Données projet'!$B$140,CT61+CS62-DB61)))</f>
        <v>186.79166666666674</v>
      </c>
      <c r="CU62" s="17">
        <f>CT62*VLOOKUP('Données projet'!$B$13,Paramètres!$A$1:$I$89,3,0)*VLOOKUP('Données projet'!$B$13,Paramètres!$A$1:$I$89,5,0)</f>
        <v>180.66490000000007</v>
      </c>
      <c r="CV62" s="13">
        <f t="shared" si="41"/>
        <v>45.470082407936609</v>
      </c>
      <c r="CW62" s="20">
        <f t="shared" si="13"/>
        <v>393.85176102715633</v>
      </c>
      <c r="CX62" s="59">
        <f t="shared" si="14"/>
        <v>654.54116822099911</v>
      </c>
      <c r="CY62" s="59">
        <f ca="1">AVERAGE(OFFSET($CX$3,0,0,'Données projet'!$E$13+1,1))-AVERAGE(OFFSET($H$3,0,0,'Données projet'!$E$13+1,1))</f>
        <v>445.01146841309549</v>
      </c>
      <c r="CZ62" s="59">
        <f t="shared" si="42"/>
        <v>315.40159257508969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-1.1368683772161603E-13</v>
      </c>
      <c r="DP62" s="17">
        <f>DO62*VLOOKUP('Données projet'!$B$14,Paramètres!$A$1:$I$89,3,0)*VLOOKUP('Données projet'!$B$14,Paramètres!$A$1:$I$89,5,0)</f>
        <v>-6.3550942286383367E-14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349.00268383833668</v>
      </c>
      <c r="DU62" s="59">
        <f t="shared" si="44"/>
        <v>459.94854391583749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209.39478685858731</v>
      </c>
      <c r="EB62" s="21">
        <f>EXP(-LN(2)/25)*EB61+(1-EXP(-LN(2)/25))/(LN(2)/25)*Calculateur!DW62*Calculateur!DY62*VLOOKUP('Données projet'!$B$14,Paramètres!$A$1:$I$89,3,0)*0.475*44/12</f>
        <v>51.560318225480358</v>
      </c>
      <c r="EC62" s="21">
        <f>EXP(-LN(2)/2)*EC61+(1-EXP(-LN(2)/2))/(LN(2)/2)*DW62*DZ62*VLOOKUP('Données projet'!$B$14,Paramètres!$A$1:$I$89,3,0)*0.475*44/12</f>
        <v>8.5403260010281166</v>
      </c>
      <c r="ED62" s="22">
        <f t="shared" si="18"/>
        <v>269.49543108509579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9.5</v>
      </c>
      <c r="EJ62" s="12">
        <f>IF('Données projet'!$A$192&gt;35,EJ61+EI62-ER61,IF(A62&lt;'Données projet'!$A$192,$EG$205^A62,IF(A62='Données projet'!$A$192,'Données projet'!$B$192,EJ61+EI62-ER61)))</f>
        <v>287.5</v>
      </c>
      <c r="EK62" s="17">
        <f>EJ62*VLOOKUP('Données projet'!$B$15,Paramètres!$A$1:$I$89,3,0)*VLOOKUP('Données projet'!$B$15,Paramètres!$A$1:$I$89,5,0)</f>
        <v>224.25</v>
      </c>
      <c r="EL62" s="13">
        <f t="shared" si="45"/>
        <v>55.037571061589858</v>
      </c>
      <c r="EM62" s="20">
        <f t="shared" si="19"/>
        <v>486.42585293226904</v>
      </c>
      <c r="EN62" s="59">
        <f t="shared" si="20"/>
        <v>747.11526012611182</v>
      </c>
      <c r="EO62" s="59">
        <f ca="1">AVERAGE(OFFSET($EN$3,0,0,'Données projet'!$E$15+1,1))-AVERAGE(OFFSET($H$3,0,0,'Données projet'!$E$15+1,1))</f>
        <v>308.82719216177946</v>
      </c>
      <c r="EP62" s="59">
        <f t="shared" si="46"/>
        <v>302.59481222418219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15.890897509337904</v>
      </c>
      <c r="EW62" s="21">
        <f>EXP(-LN(2)/25)*EW61+(1-EXP(-LN(2)/25))/(LN(2)/25)*Calculateur!ER62*Calculateur!ET62*VLOOKUP('Données projet'!$B$15,Paramètres!$A$1:$I$89,3,0)*0.475*44/12</f>
        <v>18.929125778483819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34.820023287821726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646.42159972111631</v>
      </c>
      <c r="S63" s="59">
        <f ca="1">AVERAGE(OFFSET($R$3,0,0,'Données projet'!$E$9+1,1))-AVERAGE(OFFSET($H$3,0,0,'Données projet'!$E$9+1,1))</f>
        <v>421.33534980160005</v>
      </c>
      <c r="T63" s="59">
        <f t="shared" si="34"/>
        <v>299.0473530693472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8.374198717948719</v>
      </c>
      <c r="AI63" s="13">
        <f>IF('Données projet'!$A$62&gt;35,AI62+AH63-AQ62,IF(A63&lt;'Données projet'!$A$62,$AF$205^A63,IF(A63='Données projet'!$A$62,'Données projet'!$B$62,AI62+AH63-AQ62)))</f>
        <v>195.16586538461547</v>
      </c>
      <c r="AJ63" s="13">
        <f>AI63*VLOOKUP('Données projet'!$B$10,Paramètres!$A$1:$I$89,3,0)*VLOOKUP('Données projet'!$B$10,Paramètres!$A$1:$I$89,5,0)</f>
        <v>197.89818750000012</v>
      </c>
      <c r="AK63" s="13">
        <f t="shared" si="35"/>
        <v>49.281969322616803</v>
      </c>
      <c r="AL63" s="20">
        <f t="shared" si="4"/>
        <v>430.50543979939113</v>
      </c>
      <c r="AM63" s="59">
        <f t="shared" si="5"/>
        <v>691.76114613086861</v>
      </c>
      <c r="AN63" s="59">
        <f ca="1">AVERAGE(OFFSET($AM$3,0,0,'Données projet'!$E$10+1,1))-AVERAGE(OFFSET($H$3,0,0,'Données projet'!$E$10+1,1))</f>
        <v>462.74754756814662</v>
      </c>
      <c r="AO63" s="59">
        <f t="shared" si="36"/>
        <v>327.65191293226667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8.374198717948719</v>
      </c>
      <c r="BD63" s="12">
        <f>IF('Données projet'!$A$88&gt;35,BD62+BC63-BL62,IF(A63&lt;'Données projet'!$A$88,$BA$205^A63,IF(A63='Données projet'!$A$88,'Données projet'!$B$88,BD62+BC63-BL62)))</f>
        <v>195.16586538461547</v>
      </c>
      <c r="BE63" s="13">
        <f>BD63*VLOOKUP('Données projet'!$B$11,Paramètres!$A$1:$I$89,3,0)*VLOOKUP('Données projet'!$B$11,Paramètres!$A$1:$I$89,5,0)</f>
        <v>130.91726250000008</v>
      </c>
      <c r="BF63" s="13">
        <f t="shared" si="37"/>
        <v>34.208224953743922</v>
      </c>
      <c r="BG63" s="20">
        <f t="shared" si="7"/>
        <v>287.59355731527074</v>
      </c>
      <c r="BH63" s="59">
        <f t="shared" si="8"/>
        <v>548.84926364674823</v>
      </c>
      <c r="BI63" s="59">
        <f ca="1">AVERAGE(OFFSET($BH$3,0,0,'Données projet'!$E$11+1,1))-AVERAGE(OFFSET($H$3,0,0,'Données projet'!$E$11+1,1))</f>
        <v>332.21938212432008</v>
      </c>
      <c r="BJ63" s="59">
        <f t="shared" si="38"/>
        <v>237.47732529948181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8.374198717948719</v>
      </c>
      <c r="BY63" s="12">
        <f>IF('Données projet'!$A$114&gt;35,BY62+BX63-CG62,IF(A63&lt;'Données projet'!$A$114,$BV$205^A63,IF(A63='Données projet'!$A$114,'Données projet'!$B$114,BY62+BX63-CG62)))</f>
        <v>195.16586538461547</v>
      </c>
      <c r="BZ63" s="13">
        <f>BY63*VLOOKUP('Données projet'!$B$12,Paramètres!$A$1:$I$89,3,0)*VLOOKUP('Données projet'!$B$12,Paramètres!$A$1:$I$89,5,0)</f>
        <v>185.7198375000001</v>
      </c>
      <c r="CA63" s="13">
        <f t="shared" si="39"/>
        <v>46.59241851266016</v>
      </c>
      <c r="CB63" s="20">
        <f t="shared" si="10"/>
        <v>404.61051255538331</v>
      </c>
      <c r="CC63" s="59">
        <f t="shared" si="11"/>
        <v>665.86621888686079</v>
      </c>
      <c r="CD63" s="59">
        <f ca="1">AVERAGE(OFFSET($CC$3,0,0,'Données projet'!$E$12+1,1))-AVERAGE(OFFSET($H$3,0,0,'Données projet'!$E$12+1,1))</f>
        <v>439.09551305860475</v>
      </c>
      <c r="CE63" s="59">
        <f t="shared" si="40"/>
        <v>311.31528017256846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8.374198717948719</v>
      </c>
      <c r="CT63" s="12">
        <f>IF('Données projet'!$A$140&gt;35,CT62+CS63-DB62,IF(A63&lt;'Données projet'!$A$140,$CQ$205^A63,IF(A63='Données projet'!$A$140,'Données projet'!$B$140,CT62+CS63-DB62)))</f>
        <v>195.16586538461547</v>
      </c>
      <c r="CU63" s="17">
        <f>CT63*VLOOKUP('Données projet'!$B$13,Paramètres!$A$1:$I$89,3,0)*VLOOKUP('Données projet'!$B$13,Paramètres!$A$1:$I$89,5,0)</f>
        <v>188.7644250000001</v>
      </c>
      <c r="CV63" s="13">
        <f t="shared" si="41"/>
        <v>47.266681123022828</v>
      </c>
      <c r="CW63" s="20">
        <f t="shared" si="13"/>
        <v>411.08750983093159</v>
      </c>
      <c r="CX63" s="59">
        <f t="shared" si="14"/>
        <v>672.34321616240913</v>
      </c>
      <c r="CY63" s="59">
        <f ca="1">AVERAGE(OFFSET($CX$3,0,0,'Données projet'!$E$13+1,1))-AVERAGE(OFFSET($H$3,0,0,'Données projet'!$E$13+1,1))</f>
        <v>445.01146841309549</v>
      </c>
      <c r="CZ63" s="59">
        <f t="shared" si="42"/>
        <v>315.40159257508969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-1.1368683772161603E-13</v>
      </c>
      <c r="DP63" s="17">
        <f>DO63*VLOOKUP('Données projet'!$B$14,Paramètres!$A$1:$I$89,3,0)*VLOOKUP('Données projet'!$B$14,Paramètres!$A$1:$I$89,5,0)</f>
        <v>-6.3550942286383367E-14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349.00268383833668</v>
      </c>
      <c r="DU63" s="59">
        <f t="shared" si="44"/>
        <v>459.94854391583749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205.28868280649928</v>
      </c>
      <c r="EB63" s="21">
        <f>EXP(-LN(2)/25)*EB62+(1-EXP(-LN(2)/25))/(LN(2)/25)*Calculateur!DW63*Calculateur!DY63*VLOOKUP('Données projet'!$B$14,Paramètres!$A$1:$I$89,3,0)*0.475*44/12</f>
        <v>50.150398612165304</v>
      </c>
      <c r="EC63" s="21">
        <f>EXP(-LN(2)/2)*EC62+(1-EXP(-LN(2)/2))/(LN(2)/2)*DW63*DZ63*VLOOKUP('Données projet'!$B$14,Paramètres!$A$1:$I$89,3,0)*0.475*44/12</f>
        <v>6.0389224288707712</v>
      </c>
      <c r="ED63" s="22">
        <f t="shared" si="18"/>
        <v>261.47800384753538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297</v>
      </c>
      <c r="EH63" s="12">
        <f>VLOOKUP(A63,'Données projet'!$A$191:$I$211,9,0)</f>
        <v>9.5</v>
      </c>
      <c r="EI63" s="12">
        <f t="array" ref="EI63">INDEX(EH:EH,MIN(IF(ISNUMBER(EH63:EH259),ROW(EH63:EH259),"")))</f>
        <v>9.5</v>
      </c>
      <c r="EJ63" s="12">
        <f>IF('Données projet'!$A$192&gt;35,EJ62+EI63-ER62,IF(A63&lt;'Données projet'!$A$192,$EG$205^A63,IF(A63='Données projet'!$A$192,'Données projet'!$B$192,EJ62+EI63-ER62)))</f>
        <v>297</v>
      </c>
      <c r="EK63" s="17">
        <f>EJ63*VLOOKUP('Données projet'!$B$15,Paramètres!$A$1:$I$89,3,0)*VLOOKUP('Données projet'!$B$15,Paramètres!$A$1:$I$89,5,0)</f>
        <v>231.66</v>
      </c>
      <c r="EL63" s="13">
        <f t="shared" si="45"/>
        <v>56.641461975682766</v>
      </c>
      <c r="EM63" s="20">
        <f t="shared" si="19"/>
        <v>502.12504627431412</v>
      </c>
      <c r="EN63" s="59">
        <f t="shared" si="20"/>
        <v>763.3807526057916</v>
      </c>
      <c r="EO63" s="59">
        <f ca="1">AVERAGE(OFFSET($EN$3,0,0,'Données projet'!$E$15+1,1))-AVERAGE(OFFSET($H$3,0,0,'Données projet'!$E$15+1,1))</f>
        <v>308.82719216177946</v>
      </c>
      <c r="EP63" s="59">
        <f t="shared" si="46"/>
        <v>302.59481222418219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47</v>
      </c>
      <c r="ES63" s="16">
        <f>IF(ISNA(VLOOKUP(A63,'Données projet'!$A$191:$I$211,5,0)),0%,VLOOKUP(A63,'Données projet'!$A$191:$I$211,5,0)*VLOOKUP('Données projet'!$B$15,Paramètres!$A$1:$I$89,7,0))</f>
        <v>0.215</v>
      </c>
      <c r="ET63" s="16">
        <f>IF(ISNA(VLOOKUP(A63,'Données projet'!$A$191:$I$211,6,0)),0%,VLOOKUP(A63,'Données projet'!$A$191:$I$211,6,0)*VLOOKUP('Données projet'!$B$15,Paramètres!$A$1:$I$89,7,0))</f>
        <v>0.17200000000000001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24.292493686110973</v>
      </c>
      <c r="EW63" s="21">
        <f>EXP(-LN(2)/25)*EW62+(1-EXP(-LN(2)/25))/(LN(2)/25)*Calculateur!ER63*Calculateur!ET63*VLOOKUP('Données projet'!$B$15,Paramètres!$A$1:$I$89,3,0)*0.475*44/12</f>
        <v>25.354627653472416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49.647121339583393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663.10994988647667</v>
      </c>
      <c r="S64" s="59">
        <f ca="1">AVERAGE(OFFSET($R$3,0,0,'Données projet'!$E$9+1,1))-AVERAGE(OFFSET($H$3,0,0,'Données projet'!$E$9+1,1))</f>
        <v>421.33534980160005</v>
      </c>
      <c r="T64" s="59">
        <f t="shared" si="34"/>
        <v>299.0473530693472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8.374198717948719</v>
      </c>
      <c r="AI64" s="13">
        <f>IF('Données projet'!$A$62&gt;35,AI63+AH64-AQ63,IF(A64&lt;'Données projet'!$A$62,$AF$205^A64,IF(A64='Données projet'!$A$62,'Données projet'!$B$62,AI63+AH64-AQ63)))</f>
        <v>203.5400641025642</v>
      </c>
      <c r="AJ64" s="13">
        <f>AI64*VLOOKUP('Données projet'!$B$10,Paramètres!$A$1:$I$89,3,0)*VLOOKUP('Données projet'!$B$10,Paramètres!$A$1:$I$89,5,0)</f>
        <v>206.38962500000014</v>
      </c>
      <c r="AK64" s="13">
        <f t="shared" si="35"/>
        <v>51.145833405091373</v>
      </c>
      <c r="AL64" s="20">
        <f t="shared" si="4"/>
        <v>448.54092338886767</v>
      </c>
      <c r="AM64" s="59">
        <f t="shared" si="5"/>
        <v>710.35310483399701</v>
      </c>
      <c r="AN64" s="59">
        <f ca="1">AVERAGE(OFFSET($AM$3,0,0,'Données projet'!$E$10+1,1))-AVERAGE(OFFSET($H$3,0,0,'Données projet'!$E$10+1,1))</f>
        <v>462.74754756814662</v>
      </c>
      <c r="AO64" s="59">
        <f t="shared" si="36"/>
        <v>327.65191293226667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8.374198717948719</v>
      </c>
      <c r="BD64" s="12">
        <f>IF('Données projet'!$A$88&gt;35,BD63+BC64-BL63,IF(A64&lt;'Données projet'!$A$88,$BA$205^A64,IF(A64='Données projet'!$A$88,'Données projet'!$B$88,BD63+BC64-BL63)))</f>
        <v>203.5400641025642</v>
      </c>
      <c r="BE64" s="13">
        <f>BD64*VLOOKUP('Données projet'!$B$11,Paramètres!$A$1:$I$89,3,0)*VLOOKUP('Données projet'!$B$11,Paramètres!$A$1:$I$89,5,0)</f>
        <v>136.53467500000008</v>
      </c>
      <c r="BF64" s="13">
        <f t="shared" si="37"/>
        <v>35.501993906017354</v>
      </c>
      <c r="BG64" s="20">
        <f t="shared" si="7"/>
        <v>299.63053167798034</v>
      </c>
      <c r="BH64" s="59">
        <f t="shared" si="8"/>
        <v>561.44271312310968</v>
      </c>
      <c r="BI64" s="59">
        <f ca="1">AVERAGE(OFFSET($BH$3,0,0,'Données projet'!$E$11+1,1))-AVERAGE(OFFSET($H$3,0,0,'Données projet'!$E$11+1,1))</f>
        <v>332.21938212432008</v>
      </c>
      <c r="BJ64" s="59">
        <f t="shared" si="38"/>
        <v>237.47732529948181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8.374198717948719</v>
      </c>
      <c r="BY64" s="12">
        <f>IF('Données projet'!$A$114&gt;35,BY63+BX64-CG63,IF(A64&lt;'Données projet'!$A$114,$BV$205^A64,IF(A64='Données projet'!$A$114,'Données projet'!$B$114,BY63+BX64-CG63)))</f>
        <v>203.5400641025642</v>
      </c>
      <c r="BZ64" s="13">
        <f>BY64*VLOOKUP('Données projet'!$B$12,Paramètres!$A$1:$I$89,3,0)*VLOOKUP('Données projet'!$B$12,Paramètres!$A$1:$I$89,5,0)</f>
        <v>193.68872500000009</v>
      </c>
      <c r="CA64" s="13">
        <f t="shared" si="39"/>
        <v>48.354562691860323</v>
      </c>
      <c r="CB64" s="20">
        <f t="shared" si="10"/>
        <v>421.55872606332355</v>
      </c>
      <c r="CC64" s="59">
        <f t="shared" si="11"/>
        <v>683.37090750845289</v>
      </c>
      <c r="CD64" s="59">
        <f ca="1">AVERAGE(OFFSET($CC$3,0,0,'Données projet'!$E$12+1,1))-AVERAGE(OFFSET($H$3,0,0,'Données projet'!$E$12+1,1))</f>
        <v>439.09551305860475</v>
      </c>
      <c r="CE64" s="59">
        <f t="shared" si="40"/>
        <v>311.31528017256846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8.374198717948719</v>
      </c>
      <c r="CT64" s="12">
        <f>IF('Données projet'!$A$140&gt;35,CT63+CS64-DB63,IF(A64&lt;'Données projet'!$A$140,$CQ$205^A64,IF(A64='Données projet'!$A$140,'Données projet'!$B$140,CT63+CS64-DB63)))</f>
        <v>203.5400641025642</v>
      </c>
      <c r="CU64" s="17">
        <f>CT64*VLOOKUP('Données projet'!$B$13,Paramètres!$A$1:$I$89,3,0)*VLOOKUP('Données projet'!$B$13,Paramètres!$A$1:$I$89,5,0)</f>
        <v>196.8639500000001</v>
      </c>
      <c r="CV64" s="13">
        <f t="shared" si="41"/>
        <v>49.054326187818369</v>
      </c>
      <c r="CW64" s="20">
        <f t="shared" si="13"/>
        <v>428.30766436045047</v>
      </c>
      <c r="CX64" s="59">
        <f t="shared" si="14"/>
        <v>690.11984580557987</v>
      </c>
      <c r="CY64" s="59">
        <f ca="1">AVERAGE(OFFSET($CX$3,0,0,'Données projet'!$E$13+1,1))-AVERAGE(OFFSET($H$3,0,0,'Données projet'!$E$13+1,1))</f>
        <v>445.01146841309549</v>
      </c>
      <c r="CZ64" s="59">
        <f t="shared" si="42"/>
        <v>315.40159257508969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-1.1368683772161603E-13</v>
      </c>
      <c r="DP64" s="17">
        <f>DO64*VLOOKUP('Données projet'!$B$14,Paramètres!$A$1:$I$89,3,0)*VLOOKUP('Données projet'!$B$14,Paramètres!$A$1:$I$89,5,0)</f>
        <v>-6.3550942286383367E-14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349.00268383833668</v>
      </c>
      <c r="DU64" s="59">
        <f t="shared" si="44"/>
        <v>459.94854391583749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201.26309695039652</v>
      </c>
      <c r="EB64" s="21">
        <f>EXP(-LN(2)/25)*EB63+(1-EXP(-LN(2)/25))/(LN(2)/25)*Calculateur!DW64*Calculateur!DY64*VLOOKUP('Données projet'!$B$14,Paramètres!$A$1:$I$89,3,0)*0.475*44/12</f>
        <v>48.779033324820801</v>
      </c>
      <c r="EC64" s="21">
        <f>EXP(-LN(2)/2)*EC63+(1-EXP(-LN(2)/2))/(LN(2)/2)*DW64*DZ64*VLOOKUP('Données projet'!$B$14,Paramètres!$A$1:$I$89,3,0)*0.475*44/12</f>
        <v>4.2701630005140592</v>
      </c>
      <c r="ED64" s="22">
        <f t="shared" si="18"/>
        <v>254.31229327573138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8.6666666666666661</v>
      </c>
      <c r="EJ64" s="12">
        <f>IF('Données projet'!$A$192&gt;35,EJ63+EI64-ER63,IF(A64&lt;'Données projet'!$A$192,$EG$205^A64,IF(A64='Données projet'!$A$192,'Données projet'!$B$192,EJ63+EI64-ER63)))</f>
        <v>258.66666666666669</v>
      </c>
      <c r="EK64" s="17">
        <f>EJ64*VLOOKUP('Données projet'!$B$15,Paramètres!$A$1:$I$89,3,0)*VLOOKUP('Données projet'!$B$15,Paramètres!$A$1:$I$89,5,0)</f>
        <v>201.76000000000002</v>
      </c>
      <c r="EL64" s="13">
        <f t="shared" si="45"/>
        <v>50.130765000424212</v>
      </c>
      <c r="EM64" s="20">
        <f t="shared" si="19"/>
        <v>438.70974904240552</v>
      </c>
      <c r="EN64" s="59">
        <f t="shared" si="20"/>
        <v>700.52193048753486</v>
      </c>
      <c r="EO64" s="59">
        <f ca="1">AVERAGE(OFFSET($EN$3,0,0,'Données projet'!$E$15+1,1))-AVERAGE(OFFSET($H$3,0,0,'Données projet'!$E$15+1,1))</f>
        <v>308.82719216177946</v>
      </c>
      <c r="EP64" s="59">
        <f t="shared" si="46"/>
        <v>302.59481222418219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23.816132701884431</v>
      </c>
      <c r="EW64" s="21">
        <f>EXP(-LN(2)/25)*EW63+(1-EXP(-LN(2)/25))/(LN(2)/25)*Calculateur!ER64*Calculateur!ET64*VLOOKUP('Données projet'!$B$15,Paramètres!$A$1:$I$89,3,0)*0.475*44/12</f>
        <v>24.661304026946294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48.477436728830725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679.77461863032454</v>
      </c>
      <c r="S65" s="59">
        <f ca="1">AVERAGE(OFFSET($R$3,0,0,'Données projet'!$E$9+1,1))-AVERAGE(OFFSET($H$3,0,0,'Données projet'!$E$9+1,1))</f>
        <v>421.33534980160005</v>
      </c>
      <c r="T65" s="59">
        <f t="shared" si="34"/>
        <v>299.0473530693472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8.374198717948719</v>
      </c>
      <c r="AI65" s="13">
        <f>IF('Données projet'!$A$62&gt;35,AI64+AH65-AQ64,IF(A65&lt;'Données projet'!$A$62,$AF$205^A65,IF(A65='Données projet'!$A$62,'Données projet'!$B$62,AI64+AH65-AQ64)))</f>
        <v>211.91426282051293</v>
      </c>
      <c r="AJ65" s="13">
        <f>AI65*VLOOKUP('Données projet'!$B$10,Paramètres!$A$1:$I$89,3,0)*VLOOKUP('Données projet'!$B$10,Paramètres!$A$1:$I$89,5,0)</f>
        <v>214.88106250000013</v>
      </c>
      <c r="AK65" s="13">
        <f t="shared" si="35"/>
        <v>53.000790097212402</v>
      </c>
      <c r="AL65" s="20">
        <f t="shared" si="4"/>
        <v>466.56089327347848</v>
      </c>
      <c r="AM65" s="59">
        <f t="shared" si="5"/>
        <v>728.91989623312975</v>
      </c>
      <c r="AN65" s="59">
        <f ca="1">AVERAGE(OFFSET($AM$3,0,0,'Données projet'!$E$10+1,1))-AVERAGE(OFFSET($H$3,0,0,'Données projet'!$E$10+1,1))</f>
        <v>462.74754756814662</v>
      </c>
      <c r="AO65" s="59">
        <f t="shared" si="36"/>
        <v>327.65191293226667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8.374198717948719</v>
      </c>
      <c r="BD65" s="12">
        <f>IF('Données projet'!$A$88&gt;35,BD64+BC65-BL64,IF(A65&lt;'Données projet'!$A$88,$BA$205^A65,IF(A65='Données projet'!$A$88,'Données projet'!$B$88,BD64+BC65-BL64)))</f>
        <v>211.91426282051293</v>
      </c>
      <c r="BE65" s="13">
        <f>BD65*VLOOKUP('Données projet'!$B$11,Paramètres!$A$1:$I$89,3,0)*VLOOKUP('Données projet'!$B$11,Paramètres!$A$1:$I$89,5,0)</f>
        <v>142.15208750000008</v>
      </c>
      <c r="BF65" s="13">
        <f t="shared" si="37"/>
        <v>36.789579947641123</v>
      </c>
      <c r="BG65" s="20">
        <f t="shared" si="7"/>
        <v>311.65673747130842</v>
      </c>
      <c r="BH65" s="59">
        <f t="shared" si="8"/>
        <v>574.0157404309598</v>
      </c>
      <c r="BI65" s="59">
        <f ca="1">AVERAGE(OFFSET($BH$3,0,0,'Données projet'!$E$11+1,1))-AVERAGE(OFFSET($H$3,0,0,'Données projet'!$E$11+1,1))</f>
        <v>332.21938212432008</v>
      </c>
      <c r="BJ65" s="59">
        <f t="shared" si="38"/>
        <v>237.47732529948181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8.374198717948719</v>
      </c>
      <c r="BY65" s="12">
        <f>IF('Données projet'!$A$114&gt;35,BY64+BX65-CG64,IF(A65&lt;'Données projet'!$A$114,$BV$205^A65,IF(A65='Données projet'!$A$114,'Données projet'!$B$114,BY64+BX65-CG64)))</f>
        <v>211.91426282051293</v>
      </c>
      <c r="BZ65" s="13">
        <f>BY65*VLOOKUP('Données projet'!$B$12,Paramètres!$A$1:$I$89,3,0)*VLOOKUP('Données projet'!$B$12,Paramètres!$A$1:$I$89,5,0)</f>
        <v>201.65761250000011</v>
      </c>
      <c r="CA65" s="13">
        <f t="shared" si="39"/>
        <v>50.108285599246322</v>
      </c>
      <c r="CB65" s="20">
        <f t="shared" si="10"/>
        <v>438.49227252285419</v>
      </c>
      <c r="CC65" s="59">
        <f t="shared" si="11"/>
        <v>700.85127548250557</v>
      </c>
      <c r="CD65" s="59">
        <f ca="1">AVERAGE(OFFSET($CC$3,0,0,'Données projet'!$E$12+1,1))-AVERAGE(OFFSET($H$3,0,0,'Données projet'!$E$12+1,1))</f>
        <v>439.09551305860475</v>
      </c>
      <c r="CE65" s="59">
        <f t="shared" si="40"/>
        <v>311.31528017256846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8.374198717948719</v>
      </c>
      <c r="CT65" s="12">
        <f>IF('Données projet'!$A$140&gt;35,CT64+CS65-DB64,IF(A65&lt;'Données projet'!$A$140,$CQ$205^A65,IF(A65='Données projet'!$A$140,'Données projet'!$B$140,CT64+CS65-DB64)))</f>
        <v>211.91426282051293</v>
      </c>
      <c r="CU65" s="17">
        <f>CT65*VLOOKUP('Données projet'!$B$13,Paramètres!$A$1:$I$89,3,0)*VLOOKUP('Données projet'!$B$13,Paramètres!$A$1:$I$89,5,0)</f>
        <v>204.96347500000013</v>
      </c>
      <c r="CV65" s="13">
        <f t="shared" si="41"/>
        <v>50.833428112287699</v>
      </c>
      <c r="CW65" s="20">
        <f t="shared" si="13"/>
        <v>445.51293958723454</v>
      </c>
      <c r="CX65" s="59">
        <f t="shared" si="14"/>
        <v>707.87194254688586</v>
      </c>
      <c r="CY65" s="59">
        <f ca="1">AVERAGE(OFFSET($CX$3,0,0,'Données projet'!$E$13+1,1))-AVERAGE(OFFSET($H$3,0,0,'Données projet'!$E$13+1,1))</f>
        <v>445.01146841309549</v>
      </c>
      <c r="CZ65" s="59">
        <f t="shared" si="42"/>
        <v>315.40159257508969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-1.1368683772161603E-13</v>
      </c>
      <c r="DP65" s="17">
        <f>DO65*VLOOKUP('Données projet'!$B$14,Paramètres!$A$1:$I$89,3,0)*VLOOKUP('Données projet'!$B$14,Paramètres!$A$1:$I$89,5,0)</f>
        <v>-6.3550942286383367E-14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349.00268383833668</v>
      </c>
      <c r="DU65" s="59">
        <f t="shared" si="44"/>
        <v>459.94854391583749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197.31645037756701</v>
      </c>
      <c r="EB65" s="21">
        <f>EXP(-LN(2)/25)*EB64+(1-EXP(-LN(2)/25))/(LN(2)/25)*Calculateur!DW65*Calculateur!DY65*VLOOKUP('Données projet'!$B$14,Paramètres!$A$1:$I$89,3,0)*0.475*44/12</f>
        <v>47.445168093375699</v>
      </c>
      <c r="EC65" s="21">
        <f>EXP(-LN(2)/2)*EC64+(1-EXP(-LN(2)/2))/(LN(2)/2)*DW65*DZ65*VLOOKUP('Données projet'!$B$14,Paramètres!$A$1:$I$89,3,0)*0.475*44/12</f>
        <v>3.0194612144353861</v>
      </c>
      <c r="ED65" s="22">
        <f t="shared" si="18"/>
        <v>247.7810796853781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8.6666666666666661</v>
      </c>
      <c r="EJ65" s="12">
        <f>IF('Données projet'!$A$192&gt;35,EJ64+EI65-ER64,IF(A65&lt;'Données projet'!$A$192,$EG$205^A65,IF(A65='Données projet'!$A$192,'Données projet'!$B$192,EJ64+EI65-ER64)))</f>
        <v>267.33333333333337</v>
      </c>
      <c r="EK65" s="17">
        <f>EJ65*VLOOKUP('Données projet'!$B$15,Paramètres!$A$1:$I$89,3,0)*VLOOKUP('Données projet'!$B$15,Paramètres!$A$1:$I$89,5,0)</f>
        <v>208.52000000000004</v>
      </c>
      <c r="EL65" s="13">
        <f t="shared" si="45"/>
        <v>51.612035456318509</v>
      </c>
      <c r="EM65" s="20">
        <f t="shared" si="19"/>
        <v>453.06329508642142</v>
      </c>
      <c r="EN65" s="59">
        <f t="shared" si="20"/>
        <v>715.42229804607268</v>
      </c>
      <c r="EO65" s="59">
        <f ca="1">AVERAGE(OFFSET($EN$3,0,0,'Données projet'!$E$15+1,1))-AVERAGE(OFFSET($H$3,0,0,'Données projet'!$E$15+1,1))</f>
        <v>308.82719216177946</v>
      </c>
      <c r="EP65" s="59">
        <f t="shared" si="46"/>
        <v>302.59481222418219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23.349112866007061</v>
      </c>
      <c r="EW65" s="21">
        <f>EXP(-LN(2)/25)*EW64+(1-EXP(-LN(2)/25))/(LN(2)/25)*Calculateur!ER65*Calculateur!ET65*VLOOKUP('Données projet'!$B$15,Paramètres!$A$1:$I$89,3,0)*0.475*44/12</f>
        <v>23.986939371447832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47.336052237454894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696.41639118853118</v>
      </c>
      <c r="S66" s="59">
        <f ca="1">AVERAGE(OFFSET($R$3,0,0,'Données projet'!$E$9+1,1))-AVERAGE(OFFSET($H$3,0,0,'Données projet'!$E$9+1,1))</f>
        <v>421.33534980160005</v>
      </c>
      <c r="T66" s="59">
        <f t="shared" si="34"/>
        <v>299.0473530693472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220.28846153846152</v>
      </c>
      <c r="AG66" s="12">
        <f>VLOOKUP(A66,'Données projet'!$A$61:$I$81,9,0)</f>
        <v>8.374198717948719</v>
      </c>
      <c r="AH66" s="12">
        <f t="array" ref="AH66">INDEX(AG:AG,MIN(IF(ISNUMBER(AG66:AG262),ROW(AG66:AG262),"")))</f>
        <v>8.374198717948719</v>
      </c>
      <c r="AI66" s="13">
        <f>IF('Données projet'!$A$62&gt;35,AI65+AH66-AQ65,IF(A66&lt;'Données projet'!$A$62,$AF$205^A66,IF(A66='Données projet'!$A$62,'Données projet'!$B$62,AI65+AH66-AQ65)))</f>
        <v>220.28846153846166</v>
      </c>
      <c r="AJ66" s="13">
        <f>AI66*VLOOKUP('Données projet'!$B$10,Paramètres!$A$1:$I$89,3,0)*VLOOKUP('Données projet'!$B$10,Paramètres!$A$1:$I$89,5,0)</f>
        <v>223.37250000000014</v>
      </c>
      <c r="AK66" s="13">
        <f t="shared" si="35"/>
        <v>54.84723166915564</v>
      </c>
      <c r="AL66" s="20">
        <f t="shared" si="4"/>
        <v>484.566032657113</v>
      </c>
      <c r="AM66" s="59">
        <f t="shared" si="5"/>
        <v>747.46237100051917</v>
      </c>
      <c r="AN66" s="59">
        <f ca="1">AVERAGE(OFFSET($AM$3,0,0,'Données projet'!$E$10+1,1))-AVERAGE(OFFSET($H$3,0,0,'Données projet'!$E$10+1,1))</f>
        <v>462.74754756814662</v>
      </c>
      <c r="AO66" s="59">
        <f t="shared" si="36"/>
        <v>327.65191293226667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41.724358974358978</v>
      </c>
      <c r="AR66" s="16">
        <f>IF(ISNA(VLOOKUP(A66,'Données projet'!$A$61:$I$81,5,0)),0%,VLOOKUP(A66,'Données projet'!$A$61:$I$81,5,0)*VLOOKUP('Données projet'!$B$10,Paramètres!$A$1:$I$89,7,0))</f>
        <v>0.30099999999999999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14.078008859293417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14.078008859293417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220.28846153846152</v>
      </c>
      <c r="BB66" s="12">
        <f>VLOOKUP(A66,'Données projet'!$A$87:$I$107,9,0)</f>
        <v>8.374198717948719</v>
      </c>
      <c r="BC66" s="12">
        <f t="array" ref="BC66">INDEX(BB:BB,MIN(IF(ISNUMBER(BB66:BB262),ROW(BB66:BB262),"")))</f>
        <v>8.374198717948719</v>
      </c>
      <c r="BD66" s="12">
        <f>IF('Données projet'!$A$88&gt;35,BD65+BC66-BL65,IF(A66&lt;'Données projet'!$A$88,$BA$205^A66,IF(A66='Données projet'!$A$88,'Données projet'!$B$88,BD65+BC66-BL65)))</f>
        <v>220.28846153846166</v>
      </c>
      <c r="BE66" s="13">
        <f>BD66*VLOOKUP('Données projet'!$B$11,Paramètres!$A$1:$I$89,3,0)*VLOOKUP('Données projet'!$B$11,Paramètres!$A$1:$I$89,5,0)</f>
        <v>147.76950000000008</v>
      </c>
      <c r="BF66" s="13">
        <f t="shared" si="37"/>
        <v>38.071255366159519</v>
      </c>
      <c r="BG66" s="20">
        <f t="shared" si="7"/>
        <v>323.67264892939465</v>
      </c>
      <c r="BH66" s="59">
        <f t="shared" si="8"/>
        <v>586.56898727280077</v>
      </c>
      <c r="BI66" s="59">
        <f ca="1">AVERAGE(OFFSET($BH$3,0,0,'Données projet'!$E$11+1,1))-AVERAGE(OFFSET($H$3,0,0,'Données projet'!$E$11+1,1))</f>
        <v>332.21938212432008</v>
      </c>
      <c r="BJ66" s="59">
        <f t="shared" si="38"/>
        <v>237.47732529948181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41.724358974358978</v>
      </c>
      <c r="BM66" s="16">
        <f>IF(ISNA(VLOOKUP(A66,'Données projet'!$A$87:$I$107,5,0)),0%,VLOOKUP(A66,'Données projet'!$A$87:$I$107,5,0)*VLOOKUP('Données projet'!$B$11,Paramètres!$A$1:$I$89,7,0))</f>
        <v>0.371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11.478991839116169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11.478991839116169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220.28846153846152</v>
      </c>
      <c r="BW66" s="12">
        <f>VLOOKUP(A66,'Données projet'!$A$113:$I$133,9,0)</f>
        <v>8.374198717948719</v>
      </c>
      <c r="BX66" s="12">
        <f t="array" ref="BX66">INDEX(BW:BW,MIN(IF(ISNUMBER(BW66:BW262),ROW(BW66:BW262),"")))</f>
        <v>8.374198717948719</v>
      </c>
      <c r="BY66" s="12">
        <f>IF('Données projet'!$A$114&gt;35,BY65+BX66-CG65,IF(A66&lt;'Données projet'!$A$114,$BV$205^A66,IF(A66='Données projet'!$A$114,'Données projet'!$B$114,BY65+BX66-CG65)))</f>
        <v>220.28846153846166</v>
      </c>
      <c r="BZ66" s="13">
        <f>BY66*VLOOKUP('Données projet'!$B$12,Paramètres!$A$1:$I$89,3,0)*VLOOKUP('Données projet'!$B$12,Paramètres!$A$1:$I$89,5,0)</f>
        <v>209.62650000000011</v>
      </c>
      <c r="CA66" s="13">
        <f t="shared" si="39"/>
        <v>51.853958096949611</v>
      </c>
      <c r="CB66" s="20">
        <f t="shared" si="10"/>
        <v>455.41179785218742</v>
      </c>
      <c r="CC66" s="59">
        <f t="shared" si="11"/>
        <v>718.30813619559353</v>
      </c>
      <c r="CD66" s="59">
        <f ca="1">AVERAGE(OFFSET($CC$3,0,0,'Données projet'!$E$12+1,1))-AVERAGE(OFFSET($H$3,0,0,'Données projet'!$E$12+1,1))</f>
        <v>439.09551305860475</v>
      </c>
      <c r="CE66" s="59">
        <f t="shared" si="40"/>
        <v>311.31528017256846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41.724358974358978</v>
      </c>
      <c r="CH66" s="16">
        <f>IF(ISNA(VLOOKUP(A66,'Données projet'!$A$113:$I$133,5,0)),0%,VLOOKUP(A66,'Données projet'!$A$113:$I$133,5,0)*VLOOKUP('Données projet'!$B$12,Paramètres!$A$1:$I$89,7,0))</f>
        <v>0.30099999999999999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13.211669852567669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13.211669852567669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220.28846153846152</v>
      </c>
      <c r="CR66" s="12">
        <f>VLOOKUP(A66,'Données projet'!$A$139:$I$159,9,0)</f>
        <v>8.374198717948719</v>
      </c>
      <c r="CS66" s="12">
        <f t="array" ref="CS66">INDEX(CR:CR,MIN(IF(ISNUMBER(CR66:CR262),ROW(CR66:CR262),"")))</f>
        <v>8.374198717948719</v>
      </c>
      <c r="CT66" s="12">
        <f>IF('Données projet'!$A$140&gt;35,CT65+CS66-DB65,IF(A66&lt;'Données projet'!$A$140,$CQ$205^A66,IF(A66='Données projet'!$A$140,'Données projet'!$B$140,CT65+CS66-DB65)))</f>
        <v>220.28846153846166</v>
      </c>
      <c r="CU66" s="17">
        <f>CT66*VLOOKUP('Données projet'!$B$13,Paramètres!$A$1:$I$89,3,0)*VLOOKUP('Données projet'!$B$13,Paramètres!$A$1:$I$89,5,0)</f>
        <v>213.06300000000013</v>
      </c>
      <c r="CV66" s="13">
        <f t="shared" si="41"/>
        <v>52.604363125497073</v>
      </c>
      <c r="CW66" s="20">
        <f t="shared" si="13"/>
        <v>462.70399077690763</v>
      </c>
      <c r="CX66" s="59">
        <f t="shared" si="14"/>
        <v>725.60032912031375</v>
      </c>
      <c r="CY66" s="59">
        <f ca="1">AVERAGE(OFFSET($CX$3,0,0,'Données projet'!$E$13+1,1))-AVERAGE(OFFSET($H$3,0,0,'Données projet'!$E$13+1,1))</f>
        <v>445.01146841309549</v>
      </c>
      <c r="CZ66" s="59">
        <f t="shared" si="42"/>
        <v>315.40159257508969</v>
      </c>
      <c r="DA66" s="15">
        <f>IF(ISNA(VLOOKUP(A66,'Données projet'!$A$139:$I$159,3,0)),0,VLOOKUP(A66,'Données projet'!$A$139:$I$159,3,0))</f>
        <v>5</v>
      </c>
      <c r="DB66" s="15">
        <f>IF(ISNA(VLOOKUP(A66,'Données projet'!$A$139:$I$159,4,0)),0,VLOOKUP(A66,'Données projet'!$A$139:$I$159,4,0))</f>
        <v>41.724358974358978</v>
      </c>
      <c r="DC66" s="16">
        <f>IF(ISNA(VLOOKUP(A66,'Données projet'!$A$139:$I$159,5,0)),0%,VLOOKUP(A66,'Données projet'!$A$139:$I$159,5,0)*VLOOKUP('Données projet'!$B$13,Paramètres!$A$1:$I$89,7,0))</f>
        <v>0.30099999999999999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13.428254604249105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13.428254604249105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-1.1368683772161603E-13</v>
      </c>
      <c r="DP66" s="17">
        <f>DO66*VLOOKUP('Données projet'!$B$14,Paramètres!$A$1:$I$89,3,0)*VLOOKUP('Données projet'!$B$14,Paramètres!$A$1:$I$89,5,0)</f>
        <v>-6.3550942286383367E-14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349.00268383833668</v>
      </c>
      <c r="DU66" s="59">
        <f t="shared" si="44"/>
        <v>459.94854391583749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193.44719513681397</v>
      </c>
      <c r="EB66" s="21">
        <f>EXP(-LN(2)/25)*EB65+(1-EXP(-LN(2)/25))/(LN(2)/25)*Calculateur!DW66*Calculateur!DY66*VLOOKUP('Données projet'!$B$14,Paramètres!$A$1:$I$89,3,0)*0.475*44/12</f>
        <v>46.14777747682939</v>
      </c>
      <c r="EC66" s="21">
        <f>EXP(-LN(2)/2)*EC65+(1-EXP(-LN(2)/2))/(LN(2)/2)*DW66*DZ66*VLOOKUP('Données projet'!$B$14,Paramètres!$A$1:$I$89,3,0)*0.475*44/12</f>
        <v>2.1350815002570296</v>
      </c>
      <c r="ED66" s="22">
        <f t="shared" si="18"/>
        <v>241.73005411390039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8.6666666666666661</v>
      </c>
      <c r="EJ66" s="12">
        <f>IF('Données projet'!$A$192&gt;35,EJ65+EI66-ER65,IF(A66&lt;'Données projet'!$A$192,$EG$205^A66,IF(A66='Données projet'!$A$192,'Données projet'!$B$192,EJ65+EI66-ER65)))</f>
        <v>276.00000000000006</v>
      </c>
      <c r="EK66" s="17">
        <f>EJ66*VLOOKUP('Données projet'!$B$15,Paramètres!$A$1:$I$89,3,0)*VLOOKUP('Données projet'!$B$15,Paramètres!$A$1:$I$89,5,0)</f>
        <v>215.28000000000006</v>
      </c>
      <c r="EL66" s="13">
        <f t="shared" si="45"/>
        <v>53.087725740853138</v>
      </c>
      <c r="EM66" s="20">
        <f t="shared" si="19"/>
        <v>467.40712233198593</v>
      </c>
      <c r="EN66" s="59">
        <f t="shared" si="20"/>
        <v>730.30346067539199</v>
      </c>
      <c r="EO66" s="59">
        <f ca="1">AVERAGE(OFFSET($EN$3,0,0,'Données projet'!$E$15+1,1))-AVERAGE(OFFSET($H$3,0,0,'Données projet'!$E$15+1,1))</f>
        <v>308.82719216177946</v>
      </c>
      <c r="EP66" s="59">
        <f t="shared" si="46"/>
        <v>302.59481222418219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22.891251004257274</v>
      </c>
      <c r="EW66" s="21">
        <f>EXP(-LN(2)/25)*EW65+(1-EXP(-LN(2)/25))/(LN(2)/25)*Calculateur!ER66*Calculateur!ET66*VLOOKUP('Données projet'!$B$15,Paramètres!$A$1:$I$89,3,0)*0.475*44/12</f>
        <v>23.331015252917272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46.222266257174546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632.19789965759492</v>
      </c>
      <c r="S67" s="59">
        <f ca="1">AVERAGE(OFFSET($R$3,0,0,'Données projet'!$E$9+1,1))-AVERAGE(OFFSET($H$3,0,0,'Données projet'!$E$9+1,1))</f>
        <v>421.33534980160005</v>
      </c>
      <c r="T67" s="59">
        <f t="shared" si="34"/>
        <v>299.0473530693472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8.1001602564102626</v>
      </c>
      <c r="AI67" s="13">
        <f>IF('Données projet'!$A$62&gt;35,AI66+AH67-AQ66,IF(A67&lt;'Données projet'!$A$62,$AF$205^A67,IF(A67='Données projet'!$A$62,'Données projet'!$B$62,AI66+AH67-AQ66)))</f>
        <v>186.66426282051296</v>
      </c>
      <c r="AJ67" s="13">
        <f>AI67*VLOOKUP('Données projet'!$B$10,Paramètres!$A$1:$I$89,3,0)*VLOOKUP('Données projet'!$B$10,Paramètres!$A$1:$I$89,5,0)</f>
        <v>189.27756250000016</v>
      </c>
      <c r="AK67" s="13">
        <f t="shared" si="35"/>
        <v>47.380196781958283</v>
      </c>
      <c r="AL67" s="20">
        <f t="shared" si="4"/>
        <v>412.17893074941094</v>
      </c>
      <c r="AM67" s="59">
        <f t="shared" si="5"/>
        <v>675.60328290896564</v>
      </c>
      <c r="AN67" s="59">
        <f ca="1">AVERAGE(OFFSET($AM$3,0,0,'Données projet'!$E$10+1,1))-AVERAGE(OFFSET($H$3,0,0,'Données projet'!$E$10+1,1))</f>
        <v>462.74754756814662</v>
      </c>
      <c r="AO67" s="59">
        <f t="shared" si="36"/>
        <v>327.65191293226667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13.801947692300208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13.801947692300208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8.1001602564102626</v>
      </c>
      <c r="BD67" s="12">
        <f>IF('Données projet'!$A$88&gt;35,BD66+BC67-BL66,IF(A67&lt;'Données projet'!$A$88,$BA$205^A67,IF(A67='Données projet'!$A$88,'Données projet'!$B$88,BD66+BC67-BL66)))</f>
        <v>186.66426282051296</v>
      </c>
      <c r="BE67" s="13">
        <f>BD67*VLOOKUP('Données projet'!$B$11,Paramètres!$A$1:$I$89,3,0)*VLOOKUP('Données projet'!$B$11,Paramètres!$A$1:$I$89,5,0)</f>
        <v>125.2143875000001</v>
      </c>
      <c r="BF67" s="13">
        <f t="shared" si="37"/>
        <v>32.888142502171846</v>
      </c>
      <c r="BG67" s="20">
        <f t="shared" si="7"/>
        <v>275.36190642044943</v>
      </c>
      <c r="BH67" s="59">
        <f t="shared" si="8"/>
        <v>538.78625858000419</v>
      </c>
      <c r="BI67" s="59">
        <f ca="1">AVERAGE(OFFSET($BH$3,0,0,'Données projet'!$E$11+1,1))-AVERAGE(OFFSET($H$3,0,0,'Données projet'!$E$11+1,1))</f>
        <v>332.21938212432008</v>
      </c>
      <c r="BJ67" s="59">
        <f t="shared" si="38"/>
        <v>237.47732529948181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11.253895810644783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11.253895810644783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8.1001602564102626</v>
      </c>
      <c r="BY67" s="12">
        <f>IF('Données projet'!$A$114&gt;35,BY66+BX67-CG66,IF(A67&lt;'Données projet'!$A$114,$BV$205^A67,IF(A67='Données projet'!$A$114,'Données projet'!$B$114,BY66+BX67-CG66)))</f>
        <v>186.66426282051296</v>
      </c>
      <c r="BZ67" s="13">
        <f>BY67*VLOOKUP('Données projet'!$B$12,Paramètres!$A$1:$I$89,3,0)*VLOOKUP('Données projet'!$B$12,Paramètres!$A$1:$I$89,5,0)</f>
        <v>177.62971250000012</v>
      </c>
      <c r="CA67" s="13">
        <f t="shared" si="39"/>
        <v>44.794434719638716</v>
      </c>
      <c r="CB67" s="20">
        <f t="shared" si="10"/>
        <v>387.38872307420428</v>
      </c>
      <c r="CC67" s="59">
        <f t="shared" si="11"/>
        <v>650.81307523375904</v>
      </c>
      <c r="CD67" s="59">
        <f ca="1">AVERAGE(OFFSET($CC$3,0,0,'Données projet'!$E$12+1,1))-AVERAGE(OFFSET($H$3,0,0,'Données projet'!$E$12+1,1))</f>
        <v>439.09551305860475</v>
      </c>
      <c r="CE67" s="59">
        <f t="shared" si="40"/>
        <v>311.31528017256846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12.952597065081733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12.952597065081733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8.1001602564102626</v>
      </c>
      <c r="CT67" s="12">
        <f>IF('Données projet'!$A$140&gt;35,CT66+CS67-DB66,IF(A67&lt;'Données projet'!$A$140,$CQ$205^A67,IF(A67='Données projet'!$A$140,'Données projet'!$B$140,CT66+CS67-DB66)))</f>
        <v>186.66426282051296</v>
      </c>
      <c r="CU67" s="17">
        <f>CT67*VLOOKUP('Données projet'!$B$13,Paramètres!$A$1:$I$89,3,0)*VLOOKUP('Données projet'!$B$13,Paramètres!$A$1:$I$89,5,0)</f>
        <v>180.54167500000014</v>
      </c>
      <c r="CV67" s="13">
        <f t="shared" si="41"/>
        <v>45.44267779110703</v>
      </c>
      <c r="CW67" s="20">
        <f t="shared" si="13"/>
        <v>393.58941444451165</v>
      </c>
      <c r="CX67" s="59">
        <f t="shared" si="14"/>
        <v>657.0137666040664</v>
      </c>
      <c r="CY67" s="59">
        <f ca="1">AVERAGE(OFFSET($CX$3,0,0,'Données projet'!$E$13+1,1))-AVERAGE(OFFSET($H$3,0,0,'Données projet'!$E$13+1,1))</f>
        <v>445.01146841309549</v>
      </c>
      <c r="CZ67" s="59">
        <f t="shared" si="42"/>
        <v>315.40159257508969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13.16493472188635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13.16493472188635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-1.1368683772161603E-13</v>
      </c>
      <c r="DP67" s="17">
        <f>DO67*VLOOKUP('Données projet'!$B$14,Paramètres!$A$1:$I$89,3,0)*VLOOKUP('Données projet'!$B$14,Paramètres!$A$1:$I$89,5,0)</f>
        <v>-6.3550942286383367E-14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349.00268383833668</v>
      </c>
      <c r="DU67" s="59">
        <f t="shared" si="44"/>
        <v>459.94854391583749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189.65381363131942</v>
      </c>
      <c r="EB67" s="21">
        <f>EXP(-LN(2)/25)*EB66+(1-EXP(-LN(2)/25))/(LN(2)/25)*Calculateur!DW67*Calculateur!DY67*VLOOKUP('Données projet'!$B$14,Paramètres!$A$1:$I$89,3,0)*0.475*44/12</f>
        <v>44.885864074919347</v>
      </c>
      <c r="EC67" s="21">
        <f>EXP(-LN(2)/2)*EC66+(1-EXP(-LN(2)/2))/(LN(2)/2)*DW67*DZ67*VLOOKUP('Données projet'!$B$14,Paramètres!$A$1:$I$89,3,0)*0.475*44/12</f>
        <v>1.509730607217693</v>
      </c>
      <c r="ED67" s="22">
        <f t="shared" si="18"/>
        <v>236.04940831345647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8.6666666666666661</v>
      </c>
      <c r="EJ67" s="12">
        <f>IF('Données projet'!$A$192&gt;35,EJ66+EI67-ER66,IF(A67&lt;'Données projet'!$A$192,$EG$205^A67,IF(A67='Données projet'!$A$192,'Données projet'!$B$192,EJ66+EI67-ER66)))</f>
        <v>284.66666666666674</v>
      </c>
      <c r="EK67" s="17">
        <f>EJ67*VLOOKUP('Données projet'!$B$15,Paramètres!$A$1:$I$89,3,0)*VLOOKUP('Données projet'!$B$15,Paramètres!$A$1:$I$89,5,0)</f>
        <v>222.04000000000008</v>
      </c>
      <c r="EL67" s="13">
        <f t="shared" si="45"/>
        <v>54.558031180803596</v>
      </c>
      <c r="EM67" s="20">
        <f t="shared" si="19"/>
        <v>481.74157097323308</v>
      </c>
      <c r="EN67" s="59">
        <f t="shared" si="20"/>
        <v>745.16592313278784</v>
      </c>
      <c r="EO67" s="59">
        <f ca="1">AVERAGE(OFFSET($EN$3,0,0,'Données projet'!$E$15+1,1))-AVERAGE(OFFSET($H$3,0,0,'Données projet'!$E$15+1,1))</f>
        <v>308.82719216177946</v>
      </c>
      <c r="EP67" s="59">
        <f t="shared" si="46"/>
        <v>302.59481222418219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22.442367534348239</v>
      </c>
      <c r="EW67" s="21">
        <f>EXP(-LN(2)/25)*EW66+(1-EXP(-LN(2)/25))/(LN(2)/25)*Calculateur!ER67*Calculateur!ET67*VLOOKUP('Données projet'!$B$15,Paramètres!$A$1:$I$89,3,0)*0.475*44/12</f>
        <v>22.693027413901479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45.135394948249719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648.33540607772466</v>
      </c>
      <c r="S68" s="59">
        <f ca="1">AVERAGE(OFFSET($R$3,0,0,'Données projet'!$E$9+1,1))-AVERAGE(OFFSET($H$3,0,0,'Données projet'!$E$9+1,1))</f>
        <v>421.33534980160005</v>
      </c>
      <c r="T68" s="59">
        <f t="shared" si="34"/>
        <v>299.0473530693472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8.1001602564102626</v>
      </c>
      <c r="AI68" s="13">
        <f>IF('Données projet'!$A$62&gt;35,AI67+AH68-AQ67,IF(A68&lt;'Données projet'!$A$62,$AF$205^A68,IF(A68='Données projet'!$A$62,'Données projet'!$B$62,AI67+AH68-AQ67)))</f>
        <v>194.76442307692321</v>
      </c>
      <c r="AJ68" s="13">
        <f>AI68*VLOOKUP('Données projet'!$B$10,Paramètres!$A$1:$I$89,3,0)*VLOOKUP('Données projet'!$B$10,Paramètres!$A$1:$I$89,5,0)</f>
        <v>197.49112500000015</v>
      </c>
      <c r="AK68" s="13">
        <f t="shared" si="35"/>
        <v>49.192388495579841</v>
      </c>
      <c r="AL68" s="20">
        <f t="shared" ref="AL68:AL131" si="58">(AJ68+AK68)*0.475*44/12</f>
        <v>429.64045267146849</v>
      </c>
      <c r="AM68" s="59">
        <f t="shared" ref="AM68:AM131" si="59">AL68+(AD68+AE68)*44/12</f>
        <v>693.5836587879237</v>
      </c>
      <c r="AN68" s="59">
        <f ca="1">AVERAGE(OFFSET($AM$3,0,0,'Données projet'!$E$10+1,1))-AVERAGE(OFFSET($H$3,0,0,'Données projet'!$E$10+1,1))</f>
        <v>462.74754756814662</v>
      </c>
      <c r="AO68" s="59">
        <f t="shared" si="36"/>
        <v>327.65191293226667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13.531299916411051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13.531299916411051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8.1001602564102626</v>
      </c>
      <c r="BD68" s="12">
        <f>IF('Données projet'!$A$88&gt;35,BD67+BC68-BL67,IF(A68&lt;'Données projet'!$A$88,$BA$205^A68,IF(A68='Données projet'!$A$88,'Données projet'!$B$88,BD67+BC68-BL67)))</f>
        <v>194.76442307692321</v>
      </c>
      <c r="BE68" s="13">
        <f>BD68*VLOOKUP('Données projet'!$B$11,Paramètres!$A$1:$I$89,3,0)*VLOOKUP('Données projet'!$B$11,Paramètres!$A$1:$I$89,5,0)</f>
        <v>130.64797500000009</v>
      </c>
      <c r="BF68" s="13">
        <f t="shared" si="37"/>
        <v>34.146043975082897</v>
      </c>
      <c r="BG68" s="20">
        <f t="shared" ref="BG68:BG131" si="61">(BE68+BF68)*0.475*44/12</f>
        <v>287.01624971493624</v>
      </c>
      <c r="BH68" s="59">
        <f t="shared" ref="BH68:BH131" si="62">BG68+(AY68+AZ68)*44/12</f>
        <v>550.95945583139144</v>
      </c>
      <c r="BI68" s="59">
        <f ca="1">AVERAGE(OFFSET($BH$3,0,0,'Données projet'!$E$11+1,1))-AVERAGE(OFFSET($H$3,0,0,'Données projet'!$E$11+1,1))</f>
        <v>332.21938212432008</v>
      </c>
      <c r="BJ68" s="59">
        <f t="shared" si="38"/>
        <v>237.47732529948181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11.0332137779967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11.0332137779967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8.1001602564102626</v>
      </c>
      <c r="BY68" s="12">
        <f>IF('Données projet'!$A$114&gt;35,BY67+BX68-CG67,IF(A68&lt;'Données projet'!$A$114,$BV$205^A68,IF(A68='Données projet'!$A$114,'Données projet'!$B$114,BY67+BX68-CG67)))</f>
        <v>194.76442307692321</v>
      </c>
      <c r="BZ68" s="13">
        <f>BY68*VLOOKUP('Données projet'!$B$12,Paramètres!$A$1:$I$89,3,0)*VLOOKUP('Données projet'!$B$12,Paramètres!$A$1:$I$89,5,0)</f>
        <v>185.33782500000012</v>
      </c>
      <c r="CA68" s="13">
        <f t="shared" si="39"/>
        <v>46.50772653623585</v>
      </c>
      <c r="CB68" s="20">
        <f t="shared" ref="CB68:CB131" si="64">(BZ68+CA68)*0.475*44/12</f>
        <v>403.79766892561094</v>
      </c>
      <c r="CC68" s="59">
        <f t="shared" ref="CC68:CC131" si="65">CB68+(BT68+BU68)*44/12</f>
        <v>667.74087504206614</v>
      </c>
      <c r="CD68" s="59">
        <f ca="1">AVERAGE(OFFSET($CC$3,0,0,'Données projet'!$E$12+1,1))-AVERAGE(OFFSET($H$3,0,0,'Données projet'!$E$12+1,1))</f>
        <v>439.09551305860475</v>
      </c>
      <c r="CE68" s="59">
        <f t="shared" si="40"/>
        <v>311.31528017256846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12.6986045369396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12.6986045369396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8.1001602564102626</v>
      </c>
      <c r="CT68" s="12">
        <f>IF('Données projet'!$A$140&gt;35,CT67+CS68-DB67,IF(A68&lt;'Données projet'!$A$140,$CQ$205^A68,IF(A68='Données projet'!$A$140,'Données projet'!$B$140,CT67+CS68-DB67)))</f>
        <v>194.76442307692321</v>
      </c>
      <c r="CU68" s="17">
        <f>CT68*VLOOKUP('Données projet'!$B$13,Paramètres!$A$1:$I$89,3,0)*VLOOKUP('Données projet'!$B$13,Paramètres!$A$1:$I$89,5,0)</f>
        <v>188.37615000000014</v>
      </c>
      <c r="CV68" s="13">
        <f t="shared" si="41"/>
        <v>47.180763525887613</v>
      </c>
      <c r="CW68" s="20">
        <f t="shared" ref="CW68:CW131" si="67">(CU68+CV68)*0.475*44/12</f>
        <v>410.26162439092121</v>
      </c>
      <c r="CX68" s="59">
        <f t="shared" ref="CX68:CX131" si="68">CW68+(CO68+CP68)*44/12</f>
        <v>674.20483050737641</v>
      </c>
      <c r="CY68" s="59">
        <f ca="1">AVERAGE(OFFSET($CX$3,0,0,'Données projet'!$E$13+1,1))-AVERAGE(OFFSET($H$3,0,0,'Données projet'!$E$13+1,1))</f>
        <v>445.01146841309549</v>
      </c>
      <c r="CZ68" s="59">
        <f t="shared" si="42"/>
        <v>315.40159257508969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12.906778381807461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12.906778381807461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-1.1368683772161603E-13</v>
      </c>
      <c r="DP68" s="17">
        <f>DO68*VLOOKUP('Données projet'!$B$14,Paramètres!$A$1:$I$89,3,0)*VLOOKUP('Données projet'!$B$14,Paramètres!$A$1:$I$89,5,0)</f>
        <v>-6.3550942286383367E-14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349.00268383833668</v>
      </c>
      <c r="DU68" s="59">
        <f t="shared" si="44"/>
        <v>459.94854391583749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185.93481802341336</v>
      </c>
      <c r="EB68" s="21">
        <f>EXP(-LN(2)/25)*EB67+(1-EXP(-LN(2)/25))/(LN(2)/25)*Calculateur!DW68*Calculateur!DY68*VLOOKUP('Données projet'!$B$14,Paramètres!$A$1:$I$89,3,0)*0.475*44/12</f>
        <v>43.658457761345673</v>
      </c>
      <c r="EC68" s="21">
        <f>EXP(-LN(2)/2)*EC67+(1-EXP(-LN(2)/2))/(LN(2)/2)*DW68*DZ68*VLOOKUP('Données projet'!$B$14,Paramètres!$A$1:$I$89,3,0)*0.475*44/12</f>
        <v>1.0675407501285148</v>
      </c>
      <c r="ED68" s="22">
        <f t="shared" ref="ED68:ED131" si="72">SUM(EA68:EC68)</f>
        <v>230.66081653488754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8.6666666666666661</v>
      </c>
      <c r="EJ68" s="12">
        <f>IF('Données projet'!$A$192&gt;35,EJ67+EI68-ER67,IF(A68&lt;'Données projet'!$A$192,$EG$205^A68,IF(A68='Données projet'!$A$192,'Données projet'!$B$192,EJ67+EI68-ER67)))</f>
        <v>293.33333333333343</v>
      </c>
      <c r="EK68" s="17">
        <f>EJ68*VLOOKUP('Données projet'!$B$15,Paramètres!$A$1:$I$89,3,0)*VLOOKUP('Données projet'!$B$15,Paramètres!$A$1:$I$89,5,0)</f>
        <v>228.80000000000007</v>
      </c>
      <c r="EL68" s="13">
        <f t="shared" si="45"/>
        <v>56.023134533701196</v>
      </c>
      <c r="EM68" s="20">
        <f t="shared" ref="EM68:EM131" si="73">(EK68+EL68)*0.475*44/12</f>
        <v>496.06695931286299</v>
      </c>
      <c r="EN68" s="59">
        <f t="shared" ref="EN68:EN131" si="74">EM68+(EE68+EF68)*44/12</f>
        <v>760.01016542931825</v>
      </c>
      <c r="EO68" s="59">
        <f ca="1">AVERAGE(OFFSET($EN$3,0,0,'Données projet'!$E$15+1,1))-AVERAGE(OFFSET($H$3,0,0,'Données projet'!$E$15+1,1))</f>
        <v>308.82719216177946</v>
      </c>
      <c r="EP68" s="59">
        <f t="shared" si="46"/>
        <v>302.59481222418219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22.002286395492241</v>
      </c>
      <c r="EW68" s="21">
        <f>EXP(-LN(2)/25)*EW67+(1-EXP(-LN(2)/25))/(LN(2)/25)*Calculateur!ER68*Calculateur!ET68*VLOOKUP('Données projet'!$B$15,Paramètres!$A$1:$I$89,3,0)*0.475*44/12</f>
        <v>22.072485385893899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44.07477178138614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664.4501247781526</v>
      </c>
      <c r="S69" s="59">
        <f ca="1">AVERAGE(OFFSET($R$3,0,0,'Données projet'!$E$9+1,1))-AVERAGE(OFFSET($H$3,0,0,'Données projet'!$E$9+1,1))</f>
        <v>421.33534980160005</v>
      </c>
      <c r="T69" s="59">
        <f t="shared" ref="T69:T132" si="88">$T$3</f>
        <v>299.0473530693472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8.1001602564102626</v>
      </c>
      <c r="AI69" s="13">
        <f>IF('Données projet'!$A$62&gt;35,AI68+AH69-AQ68,IF(A69&lt;'Données projet'!$A$62,$AF$205^A69,IF(A69='Données projet'!$A$62,'Données projet'!$B$62,AI68+AH69-AQ68)))</f>
        <v>202.86458333333348</v>
      </c>
      <c r="AJ69" s="13">
        <f>AI69*VLOOKUP('Données projet'!$B$10,Paramètres!$A$1:$I$89,3,0)*VLOOKUP('Données projet'!$B$10,Paramètres!$A$1:$I$89,5,0)</f>
        <v>205.70468750000018</v>
      </c>
      <c r="AK69" s="13">
        <f t="shared" ref="AK69:AK132" si="89">EXP(-1.0587+0.8836*LN(AJ69)+0.284)</f>
        <v>50.995825886459762</v>
      </c>
      <c r="AL69" s="20">
        <f t="shared" si="58"/>
        <v>447.08672748141771</v>
      </c>
      <c r="AM69" s="59">
        <f t="shared" si="59"/>
        <v>711.53978659860479</v>
      </c>
      <c r="AN69" s="59">
        <f ca="1">AVERAGE(OFFSET($AM$3,0,0,'Données projet'!$E$10+1,1))-AVERAGE(OFFSET($H$3,0,0,'Données projet'!$E$10+1,1))</f>
        <v>462.74754756814662</v>
      </c>
      <c r="AO69" s="59">
        <f t="shared" ref="AO69:AO132" si="90">$AO$3</f>
        <v>327.65191293226667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13.265959378328235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13.265959378328235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8.1001602564102626</v>
      </c>
      <c r="BD69" s="12">
        <f>IF('Données projet'!$A$88&gt;35,BD68+BC69-BL68,IF(A69&lt;'Données projet'!$A$88,$BA$205^A69,IF(A69='Données projet'!$A$88,'Données projet'!$B$88,BD68+BC69-BL68)))</f>
        <v>202.86458333333348</v>
      </c>
      <c r="BE69" s="13">
        <f>BD69*VLOOKUP('Données projet'!$B$11,Paramètres!$A$1:$I$89,3,0)*VLOOKUP('Données projet'!$B$11,Paramètres!$A$1:$I$89,5,0)</f>
        <v>136.0815625000001</v>
      </c>
      <c r="BF69" s="13">
        <f t="shared" ref="BF69:BF132" si="91">EXP(-1.0587+0.8836*LN(BE69)+0.284)</f>
        <v>35.397868786574371</v>
      </c>
      <c r="BG69" s="20">
        <f t="shared" si="61"/>
        <v>298.66000949078386</v>
      </c>
      <c r="BH69" s="59">
        <f t="shared" si="62"/>
        <v>563.11306860797094</v>
      </c>
      <c r="BI69" s="59">
        <f ca="1">AVERAGE(OFFSET($BH$3,0,0,'Données projet'!$E$11+1,1))-AVERAGE(OFFSET($H$3,0,0,'Données projet'!$E$11+1,1))</f>
        <v>332.21938212432008</v>
      </c>
      <c r="BJ69" s="59">
        <f t="shared" ref="BJ69:BJ132" si="92">$BJ$3</f>
        <v>237.47732529948181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10.816859185406097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10.816859185406097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8.1001602564102626</v>
      </c>
      <c r="BY69" s="12">
        <f>IF('Données projet'!$A$114&gt;35,BY68+BX69-CG68,IF(A69&lt;'Données projet'!$A$114,$BV$205^A69,IF(A69='Données projet'!$A$114,'Données projet'!$B$114,BY68+BX69-CG68)))</f>
        <v>202.86458333333348</v>
      </c>
      <c r="BZ69" s="13">
        <f>BY69*VLOOKUP('Données projet'!$B$12,Paramètres!$A$1:$I$89,3,0)*VLOOKUP('Données projet'!$B$12,Paramètres!$A$1:$I$89,5,0)</f>
        <v>193.04593750000015</v>
      </c>
      <c r="CA69" s="13">
        <f t="shared" ref="CA69:CA132" si="93">EXP(-1.0587+0.8836*LN(BZ69)+0.284)</f>
        <v>48.212741795005009</v>
      </c>
      <c r="CB69" s="20">
        <f t="shared" si="64"/>
        <v>420.19219977213396</v>
      </c>
      <c r="CC69" s="59">
        <f t="shared" si="65"/>
        <v>684.64525888932098</v>
      </c>
      <c r="CD69" s="59">
        <f ca="1">AVERAGE(OFFSET($CC$3,0,0,'Données projet'!$E$12+1,1))-AVERAGE(OFFSET($H$3,0,0,'Données projet'!$E$12+1,1))</f>
        <v>439.09551305860475</v>
      </c>
      <c r="CE69" s="59">
        <f t="shared" ref="CE69:CE132" si="94">$CE$3</f>
        <v>311.31528017256846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12.449592647354189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12.449592647354189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8.1001602564102626</v>
      </c>
      <c r="CT69" s="12">
        <f>IF('Données projet'!$A$140&gt;35,CT68+CS69-DB68,IF(A69&lt;'Données projet'!$A$140,$CQ$205^A69,IF(A69='Données projet'!$A$140,'Données projet'!$B$140,CT68+CS69-DB68)))</f>
        <v>202.86458333333348</v>
      </c>
      <c r="CU69" s="17">
        <f>CT69*VLOOKUP('Données projet'!$B$13,Paramètres!$A$1:$I$89,3,0)*VLOOKUP('Données projet'!$B$13,Paramètres!$A$1:$I$89,5,0)</f>
        <v>196.21062500000014</v>
      </c>
      <c r="CV69" s="13">
        <f t="shared" ref="CV69:CV132" si="95">EXP(-1.0587+0.8836*LN(CU69)+0.284)</f>
        <v>48.910452928557959</v>
      </c>
      <c r="CW69" s="20">
        <f t="shared" si="67"/>
        <v>426.91921072557199</v>
      </c>
      <c r="CX69" s="59">
        <f t="shared" si="68"/>
        <v>691.37226984275912</v>
      </c>
      <c r="CY69" s="59">
        <f ca="1">AVERAGE(OFFSET($CX$3,0,0,'Données projet'!$E$13+1,1))-AVERAGE(OFFSET($H$3,0,0,'Données projet'!$E$13+1,1))</f>
        <v>445.01146841309549</v>
      </c>
      <c r="CZ69" s="59">
        <f t="shared" ref="CZ69:CZ132" si="96">$CZ$3</f>
        <v>315.40159257508969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12.653684330097699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12.653684330097699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-1.1368683772161603E-13</v>
      </c>
      <c r="DP69" s="17">
        <f>DO69*VLOOKUP('Données projet'!$B$14,Paramètres!$A$1:$I$89,3,0)*VLOOKUP('Données projet'!$B$14,Paramètres!$A$1:$I$89,5,0)</f>
        <v>-6.3550942286383367E-14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349.00268383833668</v>
      </c>
      <c r="DU69" s="59">
        <f t="shared" ref="DU69:DU132" si="98">$DU$3</f>
        <v>459.94854391583749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182.288749651015</v>
      </c>
      <c r="EB69" s="21">
        <f>EXP(-LN(2)/25)*EB68+(1-EXP(-LN(2)/25))/(LN(2)/25)*Calculateur!DW69*Calculateur!DY69*VLOOKUP('Données projet'!$B$14,Paramètres!$A$1:$I$89,3,0)*0.475*44/12</f>
        <v>42.464614937963162</v>
      </c>
      <c r="EC69" s="21">
        <f>EXP(-LN(2)/2)*EC68+(1-EXP(-LN(2)/2))/(LN(2)/2)*DW69*DZ69*VLOOKUP('Données projet'!$B$14,Paramètres!$A$1:$I$89,3,0)*0.475*44/12</f>
        <v>0.75486530360884652</v>
      </c>
      <c r="ED69" s="22">
        <f t="shared" si="72"/>
        <v>225.50822989258702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8.6666666666666661</v>
      </c>
      <c r="EJ69" s="12">
        <f>IF('Données projet'!$A$192&gt;35,EJ68+EI69-ER68,IF(A69&lt;'Données projet'!$A$192,$EG$205^A69,IF(A69='Données projet'!$A$192,'Données projet'!$B$192,EJ68+EI69-ER68)))</f>
        <v>302.00000000000011</v>
      </c>
      <c r="EK69" s="17">
        <f>EJ69*VLOOKUP('Données projet'!$B$15,Paramètres!$A$1:$I$89,3,0)*VLOOKUP('Données projet'!$B$15,Paramètres!$A$1:$I$89,5,0)</f>
        <v>235.56000000000009</v>
      </c>
      <c r="EL69" s="13">
        <f t="shared" ref="EL69:EL132" si="99">EXP(-1.0587+0.8836*LN(EK69)+0.284)</f>
        <v>57.483207143847771</v>
      </c>
      <c r="EM69" s="20">
        <f t="shared" si="73"/>
        <v>510.38358577553487</v>
      </c>
      <c r="EN69" s="59">
        <f t="shared" si="74"/>
        <v>774.83664489272201</v>
      </c>
      <c r="EO69" s="59">
        <f ca="1">AVERAGE(OFFSET($EN$3,0,0,'Données projet'!$E$15+1,1))-AVERAGE(OFFSET($H$3,0,0,'Données projet'!$E$15+1,1))</f>
        <v>308.82719216177946</v>
      </c>
      <c r="EP69" s="59">
        <f t="shared" ref="EP69:EP132" si="100">$EP$3</f>
        <v>302.59481222418219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21.57083497934622</v>
      </c>
      <c r="EW69" s="21">
        <f>EXP(-LN(2)/25)*EW68+(1-EXP(-LN(2)/25))/(LN(2)/25)*Calculateur!ER69*Calculateur!ET69*VLOOKUP('Données projet'!$B$15,Paramètres!$A$1:$I$89,3,0)*0.475*44/12</f>
        <v>21.468912112275071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43.039747091621294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680.54282537898598</v>
      </c>
      <c r="S70" s="59">
        <f ca="1">AVERAGE(OFFSET($R$3,0,0,'Données projet'!$E$9+1,1))-AVERAGE(OFFSET($H$3,0,0,'Données projet'!$E$9+1,1))</f>
        <v>421.33534980160005</v>
      </c>
      <c r="T70" s="59">
        <f t="shared" si="88"/>
        <v>299.0473530693472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8.1001602564102626</v>
      </c>
      <c r="AI70" s="13">
        <f>IF('Données projet'!$A$62&gt;35,AI69+AH70-AQ69,IF(A70&lt;'Données projet'!$A$62,$AF$205^A70,IF(A70='Données projet'!$A$62,'Données projet'!$B$62,AI69+AH70-AQ69)))</f>
        <v>210.96474358974376</v>
      </c>
      <c r="AJ70" s="13">
        <f>AI70*VLOOKUP('Données projet'!$B$10,Paramètres!$A$1:$I$89,3,0)*VLOOKUP('Données projet'!$B$10,Paramètres!$A$1:$I$89,5,0)</f>
        <v>213.91825000000017</v>
      </c>
      <c r="AK70" s="13">
        <f t="shared" si="89"/>
        <v>52.790898498252169</v>
      </c>
      <c r="AL70" s="20">
        <f t="shared" si="58"/>
        <v>464.51843363445613</v>
      </c>
      <c r="AM70" s="59">
        <f t="shared" si="59"/>
        <v>729.47250094267304</v>
      </c>
      <c r="AN70" s="59">
        <f ca="1">AVERAGE(OFFSET($AM$3,0,0,'Données projet'!$E$10+1,1))-AVERAGE(OFFSET($H$3,0,0,'Données projet'!$E$10+1,1))</f>
        <v>462.74754756814662</v>
      </c>
      <c r="AO70" s="59">
        <f t="shared" si="90"/>
        <v>327.65191293226667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13.005822006355476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13.005822006355476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8.1001602564102626</v>
      </c>
      <c r="BD70" s="12">
        <f>IF('Données projet'!$A$88&gt;35,BD69+BC70-BL69,IF(A70&lt;'Données projet'!$A$88,$BA$205^A70,IF(A70='Données projet'!$A$88,'Données projet'!$B$88,BD69+BC70-BL69)))</f>
        <v>210.96474358974376</v>
      </c>
      <c r="BE70" s="13">
        <f>BD70*VLOOKUP('Données projet'!$B$11,Paramètres!$A$1:$I$89,3,0)*VLOOKUP('Données projet'!$B$11,Paramètres!$A$1:$I$89,5,0)</f>
        <v>141.51515000000012</v>
      </c>
      <c r="BF70" s="13">
        <f t="shared" si="91"/>
        <v>36.64388733162302</v>
      </c>
      <c r="BG70" s="20">
        <f t="shared" si="61"/>
        <v>310.29365668591032</v>
      </c>
      <c r="BH70" s="59">
        <f t="shared" si="62"/>
        <v>575.24772399412723</v>
      </c>
      <c r="BI70" s="59">
        <f ca="1">AVERAGE(OFFSET($BH$3,0,0,'Données projet'!$E$11+1,1))-AVERAGE(OFFSET($H$3,0,0,'Données projet'!$E$11+1,1))</f>
        <v>332.21938212432008</v>
      </c>
      <c r="BJ70" s="59">
        <f t="shared" si="92"/>
        <v>237.47732529948181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10.604747174412925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10.604747174412925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8.1001602564102626</v>
      </c>
      <c r="BY70" s="12">
        <f>IF('Données projet'!$A$114&gt;35,BY69+BX70-CG69,IF(A70&lt;'Données projet'!$A$114,$BV$205^A70,IF(A70='Données projet'!$A$114,'Données projet'!$B$114,BY69+BX70-CG69)))</f>
        <v>210.96474358974376</v>
      </c>
      <c r="BZ70" s="13">
        <f>BY70*VLOOKUP('Données projet'!$B$12,Paramètres!$A$1:$I$89,3,0)*VLOOKUP('Données projet'!$B$12,Paramètres!$A$1:$I$89,5,0)</f>
        <v>200.75405000000018</v>
      </c>
      <c r="CA70" s="13">
        <f t="shared" si="93"/>
        <v>49.909848780355581</v>
      </c>
      <c r="CB70" s="20">
        <f t="shared" si="64"/>
        <v>436.57295704245297</v>
      </c>
      <c r="CC70" s="59">
        <f t="shared" si="65"/>
        <v>701.52702435066988</v>
      </c>
      <c r="CD70" s="59">
        <f ca="1">AVERAGE(OFFSET($CC$3,0,0,'Données projet'!$E$12+1,1))-AVERAGE(OFFSET($H$3,0,0,'Données projet'!$E$12+1,1))</f>
        <v>439.09551305860475</v>
      </c>
      <c r="CE70" s="59">
        <f t="shared" si="94"/>
        <v>311.31528017256846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12.205463729041291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12.205463729041291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8.1001602564102626</v>
      </c>
      <c r="CT70" s="12">
        <f>IF('Données projet'!$A$140&gt;35,CT69+CS70-DB69,IF(A70&lt;'Données projet'!$A$140,$CQ$205^A70,IF(A70='Données projet'!$A$140,'Données projet'!$B$140,CT69+CS70-DB69)))</f>
        <v>210.96474358974376</v>
      </c>
      <c r="CU70" s="17">
        <f>CT70*VLOOKUP('Données projet'!$B$13,Paramètres!$A$1:$I$89,3,0)*VLOOKUP('Données projet'!$B$13,Paramètres!$A$1:$I$89,5,0)</f>
        <v>204.04510000000019</v>
      </c>
      <c r="CV70" s="13">
        <f t="shared" si="95"/>
        <v>50.632119613158714</v>
      </c>
      <c r="CW70" s="20">
        <f t="shared" si="67"/>
        <v>443.56282415958503</v>
      </c>
      <c r="CX70" s="59">
        <f t="shared" si="68"/>
        <v>708.516891467802</v>
      </c>
      <c r="CY70" s="59">
        <f ca="1">AVERAGE(OFFSET($CX$3,0,0,'Données projet'!$E$13+1,1))-AVERAGE(OFFSET($H$3,0,0,'Données projet'!$E$13+1,1))</f>
        <v>445.01146841309549</v>
      </c>
      <c r="CZ70" s="59">
        <f t="shared" si="96"/>
        <v>315.40159257508969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12.405553298369837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12.405553298369837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-1.1368683772161603E-13</v>
      </c>
      <c r="DP70" s="17">
        <f>DO70*VLOOKUP('Données projet'!$B$14,Paramètres!$A$1:$I$89,3,0)*VLOOKUP('Données projet'!$B$14,Paramètres!$A$1:$I$89,5,0)</f>
        <v>-6.3550942286383367E-14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349.00268383833668</v>
      </c>
      <c r="DU70" s="59">
        <f t="shared" si="98"/>
        <v>459.94854391583749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178.71417845551724</v>
      </c>
      <c r="EB70" s="21">
        <f>EXP(-LN(2)/25)*EB69+(1-EXP(-LN(2)/25))/(LN(2)/25)*Calculateur!DW70*Calculateur!DY70*VLOOKUP('Données projet'!$B$14,Paramètres!$A$1:$I$89,3,0)*0.475*44/12</f>
        <v>41.303417809367517</v>
      </c>
      <c r="EC70" s="21">
        <f>EXP(-LN(2)/2)*EC69+(1-EXP(-LN(2)/2))/(LN(2)/2)*DW70*DZ70*VLOOKUP('Données projet'!$B$14,Paramètres!$A$1:$I$89,3,0)*0.475*44/12</f>
        <v>0.5337703750642574</v>
      </c>
      <c r="ED70" s="22">
        <f t="shared" si="72"/>
        <v>220.55136663994901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8.6666666666666661</v>
      </c>
      <c r="EJ70" s="12">
        <f>IF('Données projet'!$A$192&gt;35,EJ69+EI70-ER69,IF(A70&lt;'Données projet'!$A$192,$EG$205^A70,IF(A70='Données projet'!$A$192,'Données projet'!$B$192,EJ69+EI70-ER69)))</f>
        <v>310.6666666666668</v>
      </c>
      <c r="EK70" s="17">
        <f>EJ70*VLOOKUP('Données projet'!$B$15,Paramètres!$A$1:$I$89,3,0)*VLOOKUP('Données projet'!$B$15,Paramètres!$A$1:$I$89,5,0)</f>
        <v>242.32000000000011</v>
      </c>
      <c r="EL70" s="13">
        <f t="shared" si="99"/>
        <v>58.938409961900909</v>
      </c>
      <c r="EM70" s="20">
        <f t="shared" si="73"/>
        <v>524.69173068364421</v>
      </c>
      <c r="EN70" s="59">
        <f t="shared" si="74"/>
        <v>789.64579799186117</v>
      </c>
      <c r="EO70" s="59">
        <f ca="1">AVERAGE(OFFSET($EN$3,0,0,'Données projet'!$E$15+1,1))-AVERAGE(OFFSET($H$3,0,0,'Données projet'!$E$15+1,1))</f>
        <v>308.82719216177946</v>
      </c>
      <c r="EP70" s="59">
        <f t="shared" si="100"/>
        <v>302.59481222418219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21.147844062311442</v>
      </c>
      <c r="EW70" s="21">
        <f>EXP(-LN(2)/25)*EW69+(1-EXP(-LN(2)/25))/(LN(2)/25)*Calculateur!ER70*Calculateur!ET70*VLOOKUP('Données projet'!$B$15,Paramètres!$A$1:$I$89,3,0)*0.475*44/12</f>
        <v>20.881843581563889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42.029687643875334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696.61422501397965</v>
      </c>
      <c r="S71" s="59">
        <f ca="1">AVERAGE(OFFSET($R$3,0,0,'Données projet'!$E$9+1,1))-AVERAGE(OFFSET($H$3,0,0,'Données projet'!$E$9+1,1))</f>
        <v>421.33534980160005</v>
      </c>
      <c r="T71" s="59">
        <f t="shared" si="88"/>
        <v>299.0473530693472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8.1001602564102626</v>
      </c>
      <c r="AI71" s="13">
        <f>IF('Données projet'!$A$62&gt;35,AI70+AH71-AQ70,IF(A71&lt;'Données projet'!$A$62,$AF$205^A71,IF(A71='Données projet'!$A$62,'Données projet'!$B$62,AI70+AH71-AQ70)))</f>
        <v>219.06490384615404</v>
      </c>
      <c r="AJ71" s="13">
        <f>AI71*VLOOKUP('Données projet'!$B$10,Paramètres!$A$1:$I$89,3,0)*VLOOKUP('Données projet'!$B$10,Paramètres!$A$1:$I$89,5,0)</f>
        <v>222.13181250000019</v>
      </c>
      <c r="AK71" s="13">
        <f t="shared" si="89"/>
        <v>54.577964266842784</v>
      </c>
      <c r="AL71" s="20">
        <f t="shared" si="58"/>
        <v>481.93619453558489</v>
      </c>
      <c r="AM71" s="59">
        <f t="shared" si="59"/>
        <v>747.38257866280378</v>
      </c>
      <c r="AN71" s="59">
        <f ca="1">AVERAGE(OFFSET($AM$3,0,0,'Données projet'!$E$10+1,1))-AVERAGE(OFFSET($H$3,0,0,'Données projet'!$E$10+1,1))</f>
        <v>462.74754756814662</v>
      </c>
      <c r="AO71" s="59">
        <f t="shared" si="90"/>
        <v>327.65191293226667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12.750785769578973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12.750785769578973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8.1001602564102626</v>
      </c>
      <c r="BD71" s="12">
        <f>IF('Données projet'!$A$88&gt;35,BD70+BC71-BL70,IF(A71&lt;'Données projet'!$A$88,$BA$205^A71,IF(A71='Données projet'!$A$88,'Données projet'!$B$88,BD70+BC71-BL70)))</f>
        <v>219.06490384615404</v>
      </c>
      <c r="BE71" s="13">
        <f>BD71*VLOOKUP('Données projet'!$B$11,Paramètres!$A$1:$I$89,3,0)*VLOOKUP('Données projet'!$B$11,Paramètres!$A$1:$I$89,5,0)</f>
        <v>146.94873750000014</v>
      </c>
      <c r="BF71" s="13">
        <f t="shared" si="91"/>
        <v>37.884348065220969</v>
      </c>
      <c r="BG71" s="20">
        <f t="shared" si="61"/>
        <v>321.91762402609339</v>
      </c>
      <c r="BH71" s="59">
        <f t="shared" si="62"/>
        <v>587.36400815331217</v>
      </c>
      <c r="BI71" s="59">
        <f ca="1">AVERAGE(OFFSET($BH$3,0,0,'Données projet'!$E$11+1,1))-AVERAGE(OFFSET($H$3,0,0,'Données projet'!$E$11+1,1))</f>
        <v>332.21938212432008</v>
      </c>
      <c r="BJ71" s="59">
        <f t="shared" si="92"/>
        <v>237.47732529948181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10.396794550579775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10.396794550579775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8.1001602564102626</v>
      </c>
      <c r="BY71" s="12">
        <f>IF('Données projet'!$A$114&gt;35,BY70+BX71-CG70,IF(A71&lt;'Données projet'!$A$114,$BV$205^A71,IF(A71='Données projet'!$A$114,'Données projet'!$B$114,BY70+BX71-CG70)))</f>
        <v>219.06490384615404</v>
      </c>
      <c r="BZ71" s="13">
        <f>BY71*VLOOKUP('Données projet'!$B$12,Paramètres!$A$1:$I$89,3,0)*VLOOKUP('Données projet'!$B$12,Paramètres!$A$1:$I$89,5,0)</f>
        <v>208.4621625000002</v>
      </c>
      <c r="CA71" s="13">
        <f t="shared" si="93"/>
        <v>51.599385893914338</v>
      </c>
      <c r="CB71" s="20">
        <f t="shared" si="64"/>
        <v>452.94053011940122</v>
      </c>
      <c r="CC71" s="59">
        <f t="shared" si="65"/>
        <v>718.38691424662011</v>
      </c>
      <c r="CD71" s="59">
        <f ca="1">AVERAGE(OFFSET($CC$3,0,0,'Données projet'!$E$12+1,1))-AVERAGE(OFFSET($H$3,0,0,'Données projet'!$E$12+1,1))</f>
        <v>439.09551305860475</v>
      </c>
      <c r="CE71" s="59">
        <f t="shared" si="94"/>
        <v>311.31528017256846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11.966122029912574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11.966122029912574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8.1001602564102626</v>
      </c>
      <c r="CT71" s="12">
        <f>IF('Données projet'!$A$140&gt;35,CT70+CS71-DB70,IF(A71&lt;'Données projet'!$A$140,$CQ$205^A71,IF(A71='Données projet'!$A$140,'Données projet'!$B$140,CT70+CS71-DB70)))</f>
        <v>219.06490384615404</v>
      </c>
      <c r="CU71" s="17">
        <f>CT71*VLOOKUP('Données projet'!$B$13,Paramètres!$A$1:$I$89,3,0)*VLOOKUP('Données projet'!$B$13,Paramètres!$A$1:$I$89,5,0)</f>
        <v>211.87957500000022</v>
      </c>
      <c r="CV71" s="13">
        <f t="shared" si="95"/>
        <v>52.346106878498773</v>
      </c>
      <c r="CW71" s="20">
        <f t="shared" si="67"/>
        <v>460.19306260505238</v>
      </c>
      <c r="CX71" s="59">
        <f t="shared" si="68"/>
        <v>725.63944673227115</v>
      </c>
      <c r="CY71" s="59">
        <f ca="1">AVERAGE(OFFSET($CX$3,0,0,'Données projet'!$E$13+1,1))-AVERAGE(OFFSET($H$3,0,0,'Données projet'!$E$13+1,1))</f>
        <v>445.01146841309549</v>
      </c>
      <c r="CZ71" s="59">
        <f t="shared" si="96"/>
        <v>315.40159257508969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12.162287964829172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12.162287964829172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-1.1368683772161603E-13</v>
      </c>
      <c r="DP71" s="17">
        <f>DO71*VLOOKUP('Données projet'!$B$14,Paramètres!$A$1:$I$89,3,0)*VLOOKUP('Données projet'!$B$14,Paramètres!$A$1:$I$89,5,0)</f>
        <v>-6.3550942286383367E-14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349.00268383833668</v>
      </c>
      <c r="DU71" s="59">
        <f t="shared" si="98"/>
        <v>459.94854391583749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175.20970242089007</v>
      </c>
      <c r="EB71" s="21">
        <f>EXP(-LN(2)/25)*EB70+(1-EXP(-LN(2)/25))/(LN(2)/25)*Calculateur!DW71*Calculateur!DY71*VLOOKUP('Données projet'!$B$14,Paramètres!$A$1:$I$89,3,0)*0.475*44/12</f>
        <v>40.173973677318017</v>
      </c>
      <c r="EC71" s="21">
        <f>EXP(-LN(2)/2)*EC70+(1-EXP(-LN(2)/2))/(LN(2)/2)*DW71*DZ71*VLOOKUP('Données projet'!$B$14,Paramètres!$A$1:$I$89,3,0)*0.475*44/12</f>
        <v>0.37743265180442326</v>
      </c>
      <c r="ED71" s="22">
        <f t="shared" si="72"/>
        <v>215.76110875001248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8.6666666666666661</v>
      </c>
      <c r="EJ71" s="12">
        <f>IF('Données projet'!$A$192&gt;35,EJ70+EI71-ER70,IF(A71&lt;'Données projet'!$A$192,$EG$205^A71,IF(A71='Données projet'!$A$192,'Données projet'!$B$192,EJ70+EI71-ER70)))</f>
        <v>319.33333333333348</v>
      </c>
      <c r="EK71" s="17">
        <f>EJ71*VLOOKUP('Données projet'!$B$15,Paramètres!$A$1:$I$89,3,0)*VLOOKUP('Données projet'!$B$15,Paramètres!$A$1:$I$89,5,0)</f>
        <v>249.08000000000013</v>
      </c>
      <c r="EL71" s="13">
        <f t="shared" si="99"/>
        <v>60.388894447487857</v>
      </c>
      <c r="EM71" s="20">
        <f t="shared" si="73"/>
        <v>538.99165782937473</v>
      </c>
      <c r="EN71" s="59">
        <f t="shared" si="74"/>
        <v>804.43804195659357</v>
      </c>
      <c r="EO71" s="59">
        <f ca="1">AVERAGE(OFFSET($EN$3,0,0,'Données projet'!$E$15+1,1))-AVERAGE(OFFSET($H$3,0,0,'Données projet'!$E$15+1,1))</f>
        <v>308.82719216177946</v>
      </c>
      <c r="EP71" s="59">
        <f t="shared" si="100"/>
        <v>302.59481222418219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20.733147739160732</v>
      </c>
      <c r="EW71" s="21">
        <f>EXP(-LN(2)/25)*EW70+(1-EXP(-LN(2)/25))/(LN(2)/25)*Calculateur!ER71*Calculateur!ET71*VLOOKUP('Données projet'!$B$15,Paramètres!$A$1:$I$89,3,0)*0.475*44/12</f>
        <v>20.310828470697597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41.043976209858329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712.66499410654967</v>
      </c>
      <c r="S72" s="59">
        <f ca="1">AVERAGE(OFFSET($R$3,0,0,'Données projet'!$E$9+1,1))-AVERAGE(OFFSET($H$3,0,0,'Données projet'!$E$9+1,1))</f>
        <v>421.33534980160005</v>
      </c>
      <c r="T72" s="59">
        <f t="shared" si="88"/>
        <v>299.0473530693472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8.1001602564102626</v>
      </c>
      <c r="AI72" s="13">
        <f>IF('Données projet'!$A$62&gt;35,AI71+AH72-AQ71,IF(A72&lt;'Données projet'!$A$62,$AF$205^A72,IF(A72='Données projet'!$A$62,'Données projet'!$B$62,AI71+AH72-AQ71)))</f>
        <v>227.16506410256432</v>
      </c>
      <c r="AJ72" s="13">
        <f>AI72*VLOOKUP('Données projet'!$B$10,Paramètres!$A$1:$I$89,3,0)*VLOOKUP('Données projet'!$B$10,Paramètres!$A$1:$I$89,5,0)</f>
        <v>230.34537500000025</v>
      </c>
      <c r="AK72" s="13">
        <f t="shared" si="89"/>
        <v>56.35735315816531</v>
      </c>
      <c r="AL72" s="20">
        <f t="shared" si="58"/>
        <v>499.34058487547162</v>
      </c>
      <c r="AM72" s="59">
        <f t="shared" si="59"/>
        <v>765.27074522553812</v>
      </c>
      <c r="AN72" s="59">
        <f ca="1">AVERAGE(OFFSET($AM$3,0,0,'Données projet'!$E$10+1,1))-AVERAGE(OFFSET($H$3,0,0,'Données projet'!$E$10+1,1))</f>
        <v>462.74754756814662</v>
      </c>
      <c r="AO72" s="59">
        <f t="shared" si="90"/>
        <v>327.65191293226667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12.500750637848913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12.500750637848913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8.1001602564102626</v>
      </c>
      <c r="BD72" s="12">
        <f>IF('Données projet'!$A$88&gt;35,BD71+BC72-BL71,IF(A72&lt;'Données projet'!$A$88,$BA$205^A72,IF(A72='Données projet'!$A$88,'Données projet'!$B$88,BD71+BC72-BL71)))</f>
        <v>227.16506410256432</v>
      </c>
      <c r="BE72" s="13">
        <f>BD72*VLOOKUP('Données projet'!$B$11,Paramètres!$A$1:$I$89,3,0)*VLOOKUP('Données projet'!$B$11,Paramètres!$A$1:$I$89,5,0)</f>
        <v>152.38232500000012</v>
      </c>
      <c r="BF72" s="13">
        <f t="shared" si="91"/>
        <v>39.119480027502711</v>
      </c>
      <c r="BG72" s="20">
        <f t="shared" si="61"/>
        <v>333.53231042290076</v>
      </c>
      <c r="BH72" s="59">
        <f t="shared" si="62"/>
        <v>599.46247077296732</v>
      </c>
      <c r="BI72" s="59">
        <f ca="1">AVERAGE(OFFSET($BH$3,0,0,'Données projet'!$E$11+1,1))-AVERAGE(OFFSET($H$3,0,0,'Données projet'!$E$11+1,1))</f>
        <v>332.21938212432008</v>
      </c>
      <c r="BJ72" s="59">
        <f t="shared" si="92"/>
        <v>237.47732529948181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10.192919750861419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10.192919750861419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8.1001602564102626</v>
      </c>
      <c r="BY72" s="12">
        <f>IF('Données projet'!$A$114&gt;35,BY71+BX72-CG71,IF(A72&lt;'Données projet'!$A$114,$BV$205^A72,IF(A72='Données projet'!$A$114,'Données projet'!$B$114,BY71+BX72-CG71)))</f>
        <v>227.16506410256432</v>
      </c>
      <c r="BZ72" s="13">
        <f>BY72*VLOOKUP('Données projet'!$B$12,Paramètres!$A$1:$I$89,3,0)*VLOOKUP('Données projet'!$B$12,Paramètres!$A$1:$I$89,5,0)</f>
        <v>216.17027500000017</v>
      </c>
      <c r="CA72" s="13">
        <f t="shared" si="93"/>
        <v>53.28166509380884</v>
      </c>
      <c r="CB72" s="20">
        <f t="shared" si="64"/>
        <v>469.29546233005067</v>
      </c>
      <c r="CC72" s="59">
        <f t="shared" si="65"/>
        <v>735.22562268011723</v>
      </c>
      <c r="CD72" s="59">
        <f ca="1">AVERAGE(OFFSET($CC$3,0,0,'Données projet'!$E$12+1,1))-AVERAGE(OFFSET($H$3,0,0,'Données projet'!$E$12+1,1))</f>
        <v>439.09551305860475</v>
      </c>
      <c r="CE72" s="59">
        <f t="shared" si="94"/>
        <v>311.31528017256846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11.731473675519748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11.731473675519748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8.1001602564102626</v>
      </c>
      <c r="CT72" s="12">
        <f>IF('Données projet'!$A$140&gt;35,CT71+CS72-DB71,IF(A72&lt;'Données projet'!$A$140,$CQ$205^A72,IF(A72='Données projet'!$A$140,'Données projet'!$B$140,CT71+CS72-DB71)))</f>
        <v>227.16506410256432</v>
      </c>
      <c r="CU72" s="17">
        <f>CT72*VLOOKUP('Données projet'!$B$13,Paramètres!$A$1:$I$89,3,0)*VLOOKUP('Données projet'!$B$13,Paramètres!$A$1:$I$89,5,0)</f>
        <v>219.71405000000019</v>
      </c>
      <c r="CV72" s="13">
        <f t="shared" si="95"/>
        <v>54.052731197210612</v>
      </c>
      <c r="CW72" s="20">
        <f t="shared" si="67"/>
        <v>476.81047725180878</v>
      </c>
      <c r="CX72" s="59">
        <f t="shared" si="68"/>
        <v>742.74063760187528</v>
      </c>
      <c r="CY72" s="59">
        <f ca="1">AVERAGE(OFFSET($CX$3,0,0,'Données projet'!$E$13+1,1))-AVERAGE(OFFSET($H$3,0,0,'Données projet'!$E$13+1,1))</f>
        <v>445.01146841309549</v>
      </c>
      <c r="CZ72" s="59">
        <f t="shared" si="96"/>
        <v>315.40159257508969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11.923792916102038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11.923792916102038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-1.1368683772161603E-13</v>
      </c>
      <c r="DP72" s="17">
        <f>DO72*VLOOKUP('Données projet'!$B$14,Paramètres!$A$1:$I$89,3,0)*VLOOKUP('Données projet'!$B$14,Paramètres!$A$1:$I$89,5,0)</f>
        <v>-6.3550942286383367E-14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349.00268383833668</v>
      </c>
      <c r="DU72" s="59">
        <f t="shared" si="98"/>
        <v>459.94854391583749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171.77394702378263</v>
      </c>
      <c r="EB72" s="21">
        <f>EXP(-LN(2)/25)*EB71+(1-EXP(-LN(2)/25))/(LN(2)/25)*Calculateur!DW72*Calculateur!DY72*VLOOKUP('Données projet'!$B$14,Paramètres!$A$1:$I$89,3,0)*0.475*44/12</f>
        <v>39.075414254454301</v>
      </c>
      <c r="EC72" s="21">
        <f>EXP(-LN(2)/2)*EC71+(1-EXP(-LN(2)/2))/(LN(2)/2)*DW72*DZ72*VLOOKUP('Données projet'!$B$14,Paramètres!$A$1:$I$89,3,0)*0.475*44/12</f>
        <v>0.2668851875321287</v>
      </c>
      <c r="ED72" s="22">
        <f t="shared" si="72"/>
        <v>211.11624646576905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328</v>
      </c>
      <c r="EH72" s="12">
        <f>VLOOKUP(A72,'Données projet'!$A$191:$I$211,9,0)</f>
        <v>8.6666666666666661</v>
      </c>
      <c r="EI72" s="12">
        <f t="array" ref="EI72">INDEX(EH:EH,MIN(IF(ISNUMBER(EH72:EH268),ROW(EH72:EH268),"")))</f>
        <v>8.6666666666666661</v>
      </c>
      <c r="EJ72" s="12">
        <f>IF('Données projet'!$A$192&gt;35,EJ71+EI72-ER71,IF(A72&lt;'Données projet'!$A$192,$EG$205^A72,IF(A72='Données projet'!$A$192,'Données projet'!$B$192,EJ71+EI72-ER71)))</f>
        <v>328.00000000000017</v>
      </c>
      <c r="EK72" s="17">
        <f>EJ72*VLOOKUP('Données projet'!$B$15,Paramètres!$A$1:$I$89,3,0)*VLOOKUP('Données projet'!$B$15,Paramètres!$A$1:$I$89,5,0)</f>
        <v>255.84000000000015</v>
      </c>
      <c r="EL72" s="13">
        <f t="shared" si="99"/>
        <v>61.834803371075886</v>
      </c>
      <c r="EM72" s="20">
        <f t="shared" si="73"/>
        <v>553.28361587129086</v>
      </c>
      <c r="EN72" s="59">
        <f t="shared" si="74"/>
        <v>819.21377622135742</v>
      </c>
      <c r="EO72" s="59">
        <f ca="1">AVERAGE(OFFSET($EN$3,0,0,'Données projet'!$E$15+1,1))-AVERAGE(OFFSET($H$3,0,0,'Données projet'!$E$15+1,1))</f>
        <v>308.82719216177946</v>
      </c>
      <c r="EP72" s="59">
        <f t="shared" si="100"/>
        <v>302.59481222418219</v>
      </c>
      <c r="EQ72" s="15" t="str">
        <f>IF(ISNA(VLOOKUP(A72,'Données projet'!$A$191:$I$211,3,0)),0,VLOOKUP(A72,'Données projet'!$A$191:$I$211,3,0))</f>
        <v>CR</v>
      </c>
      <c r="ER72" s="15">
        <f>IF(ISNA(VLOOKUP(A72,'Données projet'!$A$191:$I$211,4,0)),0,VLOOKUP(A72,'Données projet'!$A$191:$I$211,4,0))</f>
        <v>328</v>
      </c>
      <c r="ES72" s="16">
        <f>IF(ISNA(VLOOKUP(A72,'Données projet'!$A$191:$I$211,5,0)),0%,VLOOKUP(A72,'Données projet'!$A$191:$I$211,5,0)*VLOOKUP('Données projet'!$B$15,Paramètres!$A$1:$I$89,7,0))</f>
        <v>0.215</v>
      </c>
      <c r="ET72" s="16">
        <f>IF(ISNA(VLOOKUP(A72,'Données projet'!$A$191:$I$211,6,0)),0%,VLOOKUP(A72,'Données projet'!$A$191:$I$211,6,0)*VLOOKUP('Données projet'!$B$15,Paramètres!$A$1:$I$89,7,0))</f>
        <v>0.17200000000000001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81.133644866404865</v>
      </c>
      <c r="EW72" s="21">
        <f>EXP(-LN(2)/25)*EW71+(1-EXP(-LN(2)/25))/(LN(2)/25)*Calculateur!ER72*Calculateur!ET72*VLOOKUP('Données projet'!$B$15,Paramètres!$A$1:$I$89,3,0)*0.475*44/12</f>
        <v>68.209540548443968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149.34318541484885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728.69576130487826</v>
      </c>
      <c r="S73" s="59">
        <f ca="1">AVERAGE(OFFSET($R$3,0,0,'Données projet'!$E$9+1,1))-AVERAGE(OFFSET($H$3,0,0,'Données projet'!$E$9+1,1))</f>
        <v>421.33534980160005</v>
      </c>
      <c r="T73" s="59">
        <f t="shared" si="88"/>
        <v>299.0473530693472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8.1001602564102626</v>
      </c>
      <c r="AI73" s="13">
        <f>IF('Données projet'!$A$62&gt;35,AI72+AH73-AQ72,IF(A73&lt;'Données projet'!$A$62,$AF$205^A73,IF(A73='Données projet'!$A$62,'Données projet'!$B$62,AI72+AH73-AQ72)))</f>
        <v>235.26522435897459</v>
      </c>
      <c r="AJ73" s="13">
        <f>AI73*VLOOKUP('Données projet'!$B$10,Paramètres!$A$1:$I$89,3,0)*VLOOKUP('Données projet'!$B$10,Paramètres!$A$1:$I$89,5,0)</f>
        <v>238.55893750000027</v>
      </c>
      <c r="AK73" s="13">
        <f t="shared" si="89"/>
        <v>58.129370272573652</v>
      </c>
      <c r="AL73" s="20">
        <f t="shared" si="58"/>
        <v>516.73213603723286</v>
      </c>
      <c r="AM73" s="59">
        <f t="shared" si="59"/>
        <v>783.1376801742424</v>
      </c>
      <c r="AN73" s="59">
        <f ca="1">AVERAGE(OFFSET($AM$3,0,0,'Données projet'!$E$10+1,1))-AVERAGE(OFFSET($H$3,0,0,'Données projet'!$E$10+1,1))</f>
        <v>462.74754756814662</v>
      </c>
      <c r="AO73" s="59">
        <f t="shared" si="90"/>
        <v>327.65191293226667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12.255618542545708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12.255618542545708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8.1001602564102626</v>
      </c>
      <c r="BD73" s="12">
        <f>IF('Données projet'!$A$88&gt;35,BD72+BC73-BL72,IF(A73&lt;'Données projet'!$A$88,$BA$205^A73,IF(A73='Données projet'!$A$88,'Données projet'!$B$88,BD72+BC73-BL72)))</f>
        <v>235.26522435897459</v>
      </c>
      <c r="BE73" s="13">
        <f>BD73*VLOOKUP('Données projet'!$B$11,Paramètres!$A$1:$I$89,3,0)*VLOOKUP('Données projet'!$B$11,Paramètres!$A$1:$I$89,5,0)</f>
        <v>157.81591250000014</v>
      </c>
      <c r="BF73" s="13">
        <f t="shared" si="91"/>
        <v>40.349494998591652</v>
      </c>
      <c r="BG73" s="20">
        <f t="shared" si="61"/>
        <v>345.138084726714</v>
      </c>
      <c r="BH73" s="59">
        <f t="shared" si="62"/>
        <v>611.54362886372348</v>
      </c>
      <c r="BI73" s="59">
        <f ca="1">AVERAGE(OFFSET($BH$3,0,0,'Données projet'!$E$11+1,1))-AVERAGE(OFFSET($H$3,0,0,'Données projet'!$E$11+1,1))</f>
        <v>332.21938212432008</v>
      </c>
      <c r="BJ73" s="59">
        <f t="shared" si="92"/>
        <v>237.47732529948181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9.9930428116141901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9.9930428116141901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8.1001602564102626</v>
      </c>
      <c r="BY73" s="12">
        <f>IF('Données projet'!$A$114&gt;35,BY72+BX73-CG72,IF(A73&lt;'Données projet'!$A$114,$BV$205^A73,IF(A73='Données projet'!$A$114,'Données projet'!$B$114,BY72+BX73-CG72)))</f>
        <v>235.26522435897459</v>
      </c>
      <c r="BZ73" s="13">
        <f>BY73*VLOOKUP('Données projet'!$B$12,Paramètres!$A$1:$I$89,3,0)*VLOOKUP('Données projet'!$B$12,Paramètres!$A$1:$I$89,5,0)</f>
        <v>223.8783875000002</v>
      </c>
      <c r="CA73" s="13">
        <f t="shared" si="93"/>
        <v>54.956974829619661</v>
      </c>
      <c r="CB73" s="20">
        <f t="shared" si="64"/>
        <v>485.63825605742119</v>
      </c>
      <c r="CC73" s="59">
        <f t="shared" si="65"/>
        <v>752.04380019443067</v>
      </c>
      <c r="CD73" s="59">
        <f ca="1">AVERAGE(OFFSET($CC$3,0,0,'Données projet'!$E$12+1,1))-AVERAGE(OFFSET($H$3,0,0,'Données projet'!$E$12+1,1))</f>
        <v>439.09551305860475</v>
      </c>
      <c r="CE73" s="59">
        <f t="shared" si="94"/>
        <v>311.31528017256846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11.501426632235201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11.501426632235201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8.1001602564102626</v>
      </c>
      <c r="CT73" s="12">
        <f>IF('Données projet'!$A$140&gt;35,CT72+CS73-DB72,IF(A73&lt;'Données projet'!$A$140,$CQ$205^A73,IF(A73='Données projet'!$A$140,'Données projet'!$B$140,CT72+CS73-DB72)))</f>
        <v>235.26522435897459</v>
      </c>
      <c r="CU73" s="17">
        <f>CT73*VLOOKUP('Données projet'!$B$13,Paramètres!$A$1:$I$89,3,0)*VLOOKUP('Données projet'!$B$13,Paramètres!$A$1:$I$89,5,0)</f>
        <v>227.54852500000021</v>
      </c>
      <c r="CV73" s="13">
        <f t="shared" si="95"/>
        <v>55.752285193175616</v>
      </c>
      <c r="CW73" s="20">
        <f t="shared" si="67"/>
        <v>493.41557775311458</v>
      </c>
      <c r="CX73" s="59">
        <f t="shared" si="68"/>
        <v>759.821121890124</v>
      </c>
      <c r="CY73" s="59">
        <f ca="1">AVERAGE(OFFSET($CX$3,0,0,'Données projet'!$E$13+1,1))-AVERAGE(OFFSET($H$3,0,0,'Données projet'!$E$13+1,1))</f>
        <v>445.01146841309549</v>
      </c>
      <c r="CZ73" s="59">
        <f t="shared" si="96"/>
        <v>315.40159257508969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11.689974609812827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11.689974609812827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-1.1368683772161603E-13</v>
      </c>
      <c r="DP73" s="17">
        <f>DO73*VLOOKUP('Données projet'!$B$14,Paramètres!$A$1:$I$89,3,0)*VLOOKUP('Données projet'!$B$14,Paramètres!$A$1:$I$89,5,0)</f>
        <v>-6.3550942286383367E-14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349.00268383833668</v>
      </c>
      <c r="DU73" s="59">
        <f t="shared" si="98"/>
        <v>459.94854391583749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168.40556469440858</v>
      </c>
      <c r="EB73" s="21">
        <f>EXP(-LN(2)/25)*EB72+(1-EXP(-LN(2)/25))/(LN(2)/25)*Calculateur!DW73*Calculateur!DY73*VLOOKUP('Données projet'!$B$14,Paramètres!$A$1:$I$89,3,0)*0.475*44/12</f>
        <v>38.006894996779522</v>
      </c>
      <c r="EC73" s="21">
        <f>EXP(-LN(2)/2)*EC72+(1-EXP(-LN(2)/2))/(LN(2)/2)*DW73*DZ73*VLOOKUP('Données projet'!$B$14,Paramètres!$A$1:$I$89,3,0)*0.475*44/12</f>
        <v>0.18871632590221163</v>
      </c>
      <c r="ED73" s="22">
        <f t="shared" si="72"/>
        <v>206.60117601709032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1.7053025658242404E-13</v>
      </c>
      <c r="EK73" s="17">
        <f>EJ73*VLOOKUP('Données projet'!$B$15,Paramètres!$A$1:$I$89,3,0)*VLOOKUP('Données projet'!$B$15,Paramètres!$A$1:$I$89,5,0)</f>
        <v>1.3301360013429075E-13</v>
      </c>
      <c r="EL73" s="13">
        <f t="shared" si="99"/>
        <v>1.9329766731057041E-12</v>
      </c>
      <c r="EM73" s="20">
        <f t="shared" si="73"/>
        <v>3.5982663925596575E-12</v>
      </c>
      <c r="EN73" s="59">
        <f t="shared" si="74"/>
        <v>266.40554413701307</v>
      </c>
      <c r="EO73" s="59">
        <f ca="1">AVERAGE(OFFSET($EN$3,0,0,'Données projet'!$E$15+1,1))-AVERAGE(OFFSET($H$3,0,0,'Données projet'!$E$15+1,1))</f>
        <v>308.82719216177946</v>
      </c>
      <c r="EP73" s="59">
        <f t="shared" si="100"/>
        <v>302.59481222418219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79.542663577211641</v>
      </c>
      <c r="EW73" s="21">
        <f>EXP(-LN(2)/25)*EW72+(1-EXP(-LN(2)/25))/(LN(2)/25)*Calculateur!ER73*Calculateur!ET73*VLOOKUP('Données projet'!$B$15,Paramètres!$A$1:$I$89,3,0)*0.475*44/12</f>
        <v>66.344347075162929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145.88701065237456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744.70711772399864</v>
      </c>
      <c r="S74" s="59">
        <f ca="1">AVERAGE(OFFSET($R$3,0,0,'Données projet'!$E$9+1,1))-AVERAGE(OFFSET($H$3,0,0,'Données projet'!$E$9+1,1))</f>
        <v>421.33534980160005</v>
      </c>
      <c r="T74" s="59">
        <f t="shared" si="88"/>
        <v>299.0473530693472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243.36538461538464</v>
      </c>
      <c r="AG74" s="12">
        <f>VLOOKUP(A74,'Données projet'!$A$61:$I$81,9,0)</f>
        <v>8.1001602564102626</v>
      </c>
      <c r="AH74" s="12">
        <f t="array" ref="AH74">INDEX(AG:AG,MIN(IF(ISNUMBER(AG74:AG270),ROW(AG74:AG270),"")))</f>
        <v>8.1001602564102626</v>
      </c>
      <c r="AI74" s="13">
        <f>IF('Données projet'!$A$62&gt;35,AI73+AH74-AQ73,IF(A74&lt;'Données projet'!$A$62,$AF$205^A74,IF(A74='Données projet'!$A$62,'Données projet'!$B$62,AI73+AH74-AQ73)))</f>
        <v>243.36538461538487</v>
      </c>
      <c r="AJ74" s="13">
        <f>AI74*VLOOKUP('Données projet'!$B$10,Paramètres!$A$1:$I$89,3,0)*VLOOKUP('Données projet'!$B$10,Paramètres!$A$1:$I$89,5,0)</f>
        <v>246.77250000000026</v>
      </c>
      <c r="AK74" s="13">
        <f t="shared" si="89"/>
        <v>59.894298509670598</v>
      </c>
      <c r="AL74" s="20">
        <f t="shared" si="58"/>
        <v>534.11134073767676</v>
      </c>
      <c r="AM74" s="59">
        <f t="shared" si="59"/>
        <v>800.98402181572465</v>
      </c>
      <c r="AN74" s="59">
        <f ca="1">AVERAGE(OFFSET($AM$3,0,0,'Données projet'!$E$10+1,1))-AVERAGE(OFFSET($H$3,0,0,'Données projet'!$E$10+1,1))</f>
        <v>462.74754756814662</v>
      </c>
      <c r="AO74" s="59">
        <f t="shared" si="90"/>
        <v>327.65191293226667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39.935897435897431</v>
      </c>
      <c r="AR74" s="16">
        <f>IF(ISNA(VLOOKUP(A74,'Données projet'!$A$61:$I$81,5,0)),0%,VLOOKUP(A74,'Données projet'!$A$61:$I$81,5,0)*VLOOKUP('Données projet'!$B$10,Paramètres!$A$1:$I$89,7,0))</f>
        <v>0.30099999999999999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25.489866266890814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25.489866266890814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243.36538461538464</v>
      </c>
      <c r="BB74" s="12">
        <f>VLOOKUP(A74,'Données projet'!$A$87:$I$107,9,0)</f>
        <v>8.1001602564102626</v>
      </c>
      <c r="BC74" s="12">
        <f t="array" ref="BC74">INDEX(BB:BB,MIN(IF(ISNUMBER(BB74:BB270),ROW(BB74:BB270),"")))</f>
        <v>8.1001602564102626</v>
      </c>
      <c r="BD74" s="12">
        <f>IF('Données projet'!$A$88&gt;35,BD73+BC74-BL73,IF(A74&lt;'Données projet'!$A$88,$BA$205^A74,IF(A74='Données projet'!$A$88,'Données projet'!$B$88,BD73+BC74-BL73)))</f>
        <v>243.36538461538487</v>
      </c>
      <c r="BE74" s="13">
        <f>BD74*VLOOKUP('Données projet'!$B$11,Paramètres!$A$1:$I$89,3,0)*VLOOKUP('Données projet'!$B$11,Paramètres!$A$1:$I$89,5,0)</f>
        <v>163.24950000000018</v>
      </c>
      <c r="BF74" s="13">
        <f t="shared" si="91"/>
        <v>41.574589348344425</v>
      </c>
      <c r="BG74" s="20">
        <f t="shared" si="61"/>
        <v>356.73528894836682</v>
      </c>
      <c r="BH74" s="59">
        <f t="shared" si="62"/>
        <v>623.6079700264147</v>
      </c>
      <c r="BI74" s="59">
        <f ca="1">AVERAGE(OFFSET($BH$3,0,0,'Données projet'!$E$11+1,1))-AVERAGE(OFFSET($H$3,0,0,'Données projet'!$E$11+1,1))</f>
        <v>332.21938212432008</v>
      </c>
      <c r="BJ74" s="59">
        <f t="shared" si="92"/>
        <v>237.47732529948181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39.935897435897431</v>
      </c>
      <c r="BM74" s="16">
        <f>IF(ISNA(VLOOKUP(A74,'Données projet'!$A$87:$I$107,5,0)),0%,VLOOKUP(A74,'Données projet'!$A$87:$I$107,5,0)*VLOOKUP('Données projet'!$B$11,Paramètres!$A$1:$I$89,7,0))</f>
        <v>0.371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20.784044802234046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20.784044802234046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243.36538461538464</v>
      </c>
      <c r="BW74" s="12">
        <f>VLOOKUP(A74,'Données projet'!$A$113:$I$133,9,0)</f>
        <v>8.1001602564102626</v>
      </c>
      <c r="BX74" s="12">
        <f t="array" ref="BX74">INDEX(BW:BW,MIN(IF(ISNUMBER(BW74:BW270),ROW(BW74:BW270),"")))</f>
        <v>8.1001602564102626</v>
      </c>
      <c r="BY74" s="12">
        <f>IF('Données projet'!$A$114&gt;35,BY73+BX74-CG73,IF(A74&lt;'Données projet'!$A$114,$BV$205^A74,IF(A74='Données projet'!$A$114,'Données projet'!$B$114,BY73+BX74-CG73)))</f>
        <v>243.36538461538487</v>
      </c>
      <c r="BZ74" s="13">
        <f>BY74*VLOOKUP('Données projet'!$B$12,Paramètres!$A$1:$I$89,3,0)*VLOOKUP('Données projet'!$B$12,Paramètres!$A$1:$I$89,5,0)</f>
        <v>231.58650000000023</v>
      </c>
      <c r="CA74" s="13">
        <f t="shared" si="93"/>
        <v>56.625582561776412</v>
      </c>
      <c r="CB74" s="20">
        <f t="shared" si="64"/>
        <v>501.96937712842765</v>
      </c>
      <c r="CC74" s="59">
        <f t="shared" si="65"/>
        <v>768.8420582064756</v>
      </c>
      <c r="CD74" s="59">
        <f ca="1">AVERAGE(OFFSET($CC$3,0,0,'Données projet'!$E$12+1,1))-AVERAGE(OFFSET($H$3,0,0,'Données projet'!$E$12+1,1))</f>
        <v>439.09551305860475</v>
      </c>
      <c r="CE74" s="59">
        <f t="shared" si="94"/>
        <v>311.31528017256846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39.935897435897431</v>
      </c>
      <c r="CH74" s="16">
        <f>IF(ISNA(VLOOKUP(A74,'Données projet'!$A$113:$I$133,5,0)),0%,VLOOKUP(A74,'Données projet'!$A$113:$I$133,5,0)*VLOOKUP('Données projet'!$B$12,Paramètres!$A$1:$I$89,7,0))</f>
        <v>0.30099999999999999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23.921259112005224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23.921259112005224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243.36538461538464</v>
      </c>
      <c r="CR74" s="12">
        <f>VLOOKUP(A74,'Données projet'!$A$139:$I$159,9,0)</f>
        <v>8.1001602564102626</v>
      </c>
      <c r="CS74" s="12">
        <f t="array" ref="CS74">INDEX(CR:CR,MIN(IF(ISNUMBER(CR74:CR270),ROW(CR74:CR270),"")))</f>
        <v>8.1001602564102626</v>
      </c>
      <c r="CT74" s="12">
        <f>IF('Données projet'!$A$140&gt;35,CT73+CS74-DB73,IF(A74&lt;'Données projet'!$A$140,$CQ$205^A74,IF(A74='Données projet'!$A$140,'Données projet'!$B$140,CT73+CS74-DB73)))</f>
        <v>243.36538461538487</v>
      </c>
      <c r="CU74" s="17">
        <f>CT74*VLOOKUP('Données projet'!$B$13,Paramètres!$A$1:$I$89,3,0)*VLOOKUP('Données projet'!$B$13,Paramètres!$A$1:$I$89,5,0)</f>
        <v>235.38300000000024</v>
      </c>
      <c r="CV74" s="13">
        <f t="shared" si="95"/>
        <v>57.44504019737942</v>
      </c>
      <c r="CW74" s="20">
        <f t="shared" si="67"/>
        <v>510.00883667710286</v>
      </c>
      <c r="CX74" s="59">
        <f t="shared" si="68"/>
        <v>776.88151775515075</v>
      </c>
      <c r="CY74" s="59">
        <f ca="1">AVERAGE(OFFSET($CX$3,0,0,'Données projet'!$E$13+1,1))-AVERAGE(OFFSET($H$3,0,0,'Données projet'!$E$13+1,1))</f>
        <v>445.01146841309549</v>
      </c>
      <c r="CZ74" s="59">
        <f t="shared" si="96"/>
        <v>315.40159257508969</v>
      </c>
      <c r="DA74" s="15">
        <f>IF(ISNA(VLOOKUP(A74,'Données projet'!$A$139:$I$159,3,0)),0,VLOOKUP(A74,'Données projet'!$A$139:$I$159,3,0))</f>
        <v>6</v>
      </c>
      <c r="DB74" s="15">
        <f>IF(ISNA(VLOOKUP(A74,'Données projet'!$A$139:$I$159,4,0)),0,VLOOKUP(A74,'Données projet'!$A$139:$I$159,4,0))</f>
        <v>39.935897435897431</v>
      </c>
      <c r="DC74" s="16">
        <f>IF(ISNA(VLOOKUP(A74,'Données projet'!$A$139:$I$159,5,0)),0%,VLOOKUP(A74,'Données projet'!$A$139:$I$159,5,0)*VLOOKUP('Données projet'!$B$13,Paramètres!$A$1:$I$89,7,0))</f>
        <v>0.30099999999999999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24.31341090072662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24.31341090072662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-1.1368683772161603E-13</v>
      </c>
      <c r="DP74" s="17">
        <f>DO74*VLOOKUP('Données projet'!$B$14,Paramètres!$A$1:$I$89,3,0)*VLOOKUP('Données projet'!$B$14,Paramètres!$A$1:$I$89,5,0)</f>
        <v>-6.3550942286383367E-14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349.00268383833668</v>
      </c>
      <c r="DU74" s="59">
        <f t="shared" si="98"/>
        <v>459.94854391583749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165.10323428800319</v>
      </c>
      <c r="EB74" s="21">
        <f>EXP(-LN(2)/25)*EB73+(1-EXP(-LN(2)/25))/(LN(2)/25)*Calculateur!DW74*Calculateur!DY74*VLOOKUP('Données projet'!$B$14,Paramètres!$A$1:$I$89,3,0)*0.475*44/12</f>
        <v>36.967594454396846</v>
      </c>
      <c r="EC74" s="21">
        <f>EXP(-LN(2)/2)*EC73+(1-EXP(-LN(2)/2))/(LN(2)/2)*DW74*DZ74*VLOOKUP('Données projet'!$B$14,Paramètres!$A$1:$I$89,3,0)*0.475*44/12</f>
        <v>0.13344259376606435</v>
      </c>
      <c r="ED74" s="22">
        <f t="shared" si="72"/>
        <v>202.2042713361661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1.7053025658242404E-13</v>
      </c>
      <c r="EK74" s="17">
        <f>EJ74*VLOOKUP('Données projet'!$B$15,Paramètres!$A$1:$I$89,3,0)*VLOOKUP('Données projet'!$B$15,Paramètres!$A$1:$I$89,5,0)</f>
        <v>1.3301360013429075E-13</v>
      </c>
      <c r="EL74" s="13">
        <f t="shared" si="99"/>
        <v>1.9329766731057041E-12</v>
      </c>
      <c r="EM74" s="20">
        <f t="shared" si="73"/>
        <v>3.5982663925596575E-12</v>
      </c>
      <c r="EN74" s="59">
        <f t="shared" si="74"/>
        <v>266.87268107805153</v>
      </c>
      <c r="EO74" s="59">
        <f ca="1">AVERAGE(OFFSET($EN$3,0,0,'Données projet'!$E$15+1,1))-AVERAGE(OFFSET($H$3,0,0,'Données projet'!$E$15+1,1))</f>
        <v>308.82719216177946</v>
      </c>
      <c r="EP74" s="59">
        <f t="shared" si="100"/>
        <v>302.59481222418219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77.98288046069672</v>
      </c>
      <c r="EW74" s="21">
        <f>EXP(-LN(2)/25)*EW73+(1-EXP(-LN(2)/25))/(LN(2)/25)*Calculateur!ER74*Calculateur!ET74*VLOOKUP('Données projet'!$B$15,Paramètres!$A$1:$I$89,3,0)*0.475*44/12</f>
        <v>64.530157415495012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142.51303787619173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683.51180040884117</v>
      </c>
      <c r="S75" s="59">
        <f ca="1">AVERAGE(OFFSET($R$3,0,0,'Données projet'!$E$9+1,1))-AVERAGE(OFFSET($H$3,0,0,'Données projet'!$E$9+1,1))</f>
        <v>421.33534980160005</v>
      </c>
      <c r="T75" s="59">
        <f t="shared" si="88"/>
        <v>299.0473530693472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7.8425925925925934</v>
      </c>
      <c r="AI75" s="13">
        <f>IF('Données projet'!$A$62&gt;35,AI74+AH75-AQ74,IF(A75&lt;'Données projet'!$A$62,$AF$205^A75,IF(A75='Données projet'!$A$62,'Données projet'!$B$62,AI74+AH75-AQ74)))</f>
        <v>211.27207977208002</v>
      </c>
      <c r="AJ75" s="13">
        <f>AI75*VLOOKUP('Données projet'!$B$10,Paramètres!$A$1:$I$89,3,0)*VLOOKUP('Données projet'!$B$10,Paramètres!$A$1:$I$89,5,0)</f>
        <v>214.22988888888915</v>
      </c>
      <c r="AK75" s="13">
        <f t="shared" si="89"/>
        <v>52.858847294468234</v>
      </c>
      <c r="AL75" s="20">
        <f t="shared" si="58"/>
        <v>465.17954885268068</v>
      </c>
      <c r="AM75" s="59">
        <f t="shared" si="59"/>
        <v>732.51126309020174</v>
      </c>
      <c r="AN75" s="59">
        <f ca="1">AVERAGE(OFFSET($AM$3,0,0,'Données projet'!$E$10+1,1))-AVERAGE(OFFSET($H$3,0,0,'Données projet'!$E$10+1,1))</f>
        <v>462.74754756814662</v>
      </c>
      <c r="AO75" s="59">
        <f t="shared" si="90"/>
        <v>327.65191293226667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24.990025536680342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24.990025536680342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7.8425925925925934</v>
      </c>
      <c r="BD75" s="12">
        <f>IF('Données projet'!$A$88&gt;35,BD74+BC75-BL74,IF(A75&lt;'Données projet'!$A$88,$BA$205^A75,IF(A75='Données projet'!$A$88,'Données projet'!$B$88,BD74+BC75-BL74)))</f>
        <v>211.27207977208002</v>
      </c>
      <c r="BE75" s="13">
        <f>BD75*VLOOKUP('Données projet'!$B$11,Paramètres!$A$1:$I$89,3,0)*VLOOKUP('Données projet'!$B$11,Paramètres!$A$1:$I$89,5,0)</f>
        <v>141.72131111111128</v>
      </c>
      <c r="BF75" s="13">
        <f t="shared" si="91"/>
        <v>36.69105281097066</v>
      </c>
      <c r="BG75" s="20">
        <f t="shared" si="61"/>
        <v>310.73486716429267</v>
      </c>
      <c r="BH75" s="59">
        <f t="shared" si="62"/>
        <v>578.06658140181378</v>
      </c>
      <c r="BI75" s="59">
        <f ca="1">AVERAGE(OFFSET($BH$3,0,0,'Données projet'!$E$11+1,1))-AVERAGE(OFFSET($H$3,0,0,'Données projet'!$E$11+1,1))</f>
        <v>332.21938212432008</v>
      </c>
      <c r="BJ75" s="59">
        <f t="shared" si="92"/>
        <v>237.47732529948181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20.376482360677816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20.376482360677816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7.8425925925925934</v>
      </c>
      <c r="BY75" s="12">
        <f>IF('Données projet'!$A$114&gt;35,BY74+BX75-CG74,IF(A75&lt;'Données projet'!$A$114,$BV$205^A75,IF(A75='Données projet'!$A$114,'Données projet'!$B$114,BY74+BX75-CG74)))</f>
        <v>211.27207977208002</v>
      </c>
      <c r="BZ75" s="13">
        <f>BY75*VLOOKUP('Données projet'!$B$12,Paramètres!$A$1:$I$89,3,0)*VLOOKUP('Données projet'!$B$12,Paramètres!$A$1:$I$89,5,0)</f>
        <v>201.04651111111136</v>
      </c>
      <c r="CA75" s="13">
        <f t="shared" si="93"/>
        <v>49.974089288481544</v>
      </c>
      <c r="CB75" s="20">
        <f t="shared" si="64"/>
        <v>437.19421236262428</v>
      </c>
      <c r="CC75" s="59">
        <f t="shared" si="65"/>
        <v>704.52592660014534</v>
      </c>
      <c r="CD75" s="59">
        <f ca="1">AVERAGE(OFFSET($CC$3,0,0,'Données projet'!$E$12+1,1))-AVERAGE(OFFSET($H$3,0,0,'Données projet'!$E$12+1,1))</f>
        <v>439.09551305860475</v>
      </c>
      <c r="CE75" s="59">
        <f t="shared" si="94"/>
        <v>311.31528017256846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23.452177811346164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23.452177811346164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7.8425925925925934</v>
      </c>
      <c r="CT75" s="12">
        <f>IF('Données projet'!$A$140&gt;35,CT74+CS75-DB74,IF(A75&lt;'Données projet'!$A$140,$CQ$205^A75,IF(A75='Données projet'!$A$140,'Données projet'!$B$140,CT74+CS75-DB74)))</f>
        <v>211.27207977208002</v>
      </c>
      <c r="CU75" s="17">
        <f>CT75*VLOOKUP('Données projet'!$B$13,Paramètres!$A$1:$I$89,3,0)*VLOOKUP('Données projet'!$B$13,Paramètres!$A$1:$I$89,5,0)</f>
        <v>204.3423555555558</v>
      </c>
      <c r="CV75" s="13">
        <f t="shared" si="95"/>
        <v>50.697289778385127</v>
      </c>
      <c r="CW75" s="20">
        <f t="shared" si="67"/>
        <v>444.19404895661381</v>
      </c>
      <c r="CX75" s="59">
        <f t="shared" si="68"/>
        <v>711.52576319413492</v>
      </c>
      <c r="CY75" s="59">
        <f ca="1">AVERAGE(OFFSET($CX$3,0,0,'Données projet'!$E$13+1,1))-AVERAGE(OFFSET($H$3,0,0,'Données projet'!$E$13+1,1))</f>
        <v>445.01146841309549</v>
      </c>
      <c r="CZ75" s="59">
        <f t="shared" si="96"/>
        <v>315.40159257508969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23.836639742679708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23.836639742679708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-1.1368683772161603E-13</v>
      </c>
      <c r="DP75" s="17">
        <f>DO75*VLOOKUP('Données projet'!$B$14,Paramètres!$A$1:$I$89,3,0)*VLOOKUP('Données projet'!$B$14,Paramètres!$A$1:$I$89,5,0)</f>
        <v>-6.3550942286383367E-14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349.00268383833668</v>
      </c>
      <c r="DU75" s="59">
        <f t="shared" si="98"/>
        <v>459.94854391583749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161.86566056664478</v>
      </c>
      <c r="EB75" s="21">
        <f>EXP(-LN(2)/25)*EB74+(1-EXP(-LN(2)/25))/(LN(2)/25)*Calculateur!DW75*Calculateur!DY75*VLOOKUP('Données projet'!$B$14,Paramètres!$A$1:$I$89,3,0)*0.475*44/12</f>
        <v>35.956713640000061</v>
      </c>
      <c r="EC75" s="21">
        <f>EXP(-LN(2)/2)*EC74+(1-EXP(-LN(2)/2))/(LN(2)/2)*DW75*DZ75*VLOOKUP('Données projet'!$B$14,Paramètres!$A$1:$I$89,3,0)*0.475*44/12</f>
        <v>9.4358162951105815E-2</v>
      </c>
      <c r="ED75" s="22">
        <f t="shared" si="72"/>
        <v>197.91673236959593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1.7053025658242404E-13</v>
      </c>
      <c r="EK75" s="17">
        <f>EJ75*VLOOKUP('Données projet'!$B$15,Paramètres!$A$1:$I$89,3,0)*VLOOKUP('Données projet'!$B$15,Paramètres!$A$1:$I$89,5,0)</f>
        <v>1.3301360013429075E-13</v>
      </c>
      <c r="EL75" s="13">
        <f t="shared" si="99"/>
        <v>1.9329766731057041E-12</v>
      </c>
      <c r="EM75" s="20">
        <f t="shared" si="73"/>
        <v>3.5982663925596575E-12</v>
      </c>
      <c r="EN75" s="59">
        <f t="shared" si="74"/>
        <v>267.33171423752469</v>
      </c>
      <c r="EO75" s="59">
        <f ca="1">AVERAGE(OFFSET($EN$3,0,0,'Données projet'!$E$15+1,1))-AVERAGE(OFFSET($H$3,0,0,'Données projet'!$E$15+1,1))</f>
        <v>308.82719216177946</v>
      </c>
      <c r="EP75" s="59">
        <f t="shared" si="100"/>
        <v>302.59481222418219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76.453683739722905</v>
      </c>
      <c r="EW75" s="21">
        <f>EXP(-LN(2)/25)*EW74+(1-EXP(-LN(2)/25))/(LN(2)/25)*Calculateur!ER75*Calculateur!ET75*VLOOKUP('Données projet'!$B$15,Paramètres!$A$1:$I$89,3,0)*0.475*44/12</f>
        <v>62.765576867474806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139.21926060719773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699.04630726990899</v>
      </c>
      <c r="S76" s="59">
        <f ca="1">AVERAGE(OFFSET($R$3,0,0,'Données projet'!$E$9+1,1))-AVERAGE(OFFSET($H$3,0,0,'Données projet'!$E$9+1,1))</f>
        <v>421.33534980160005</v>
      </c>
      <c r="T76" s="59">
        <f t="shared" si="88"/>
        <v>299.0473530693472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7.8425925925925934</v>
      </c>
      <c r="AI76" s="13">
        <f>IF('Données projet'!$A$62&gt;35,AI75+AH76-AQ75,IF(A76&lt;'Données projet'!$A$62,$AF$205^A76,IF(A76='Données projet'!$A$62,'Données projet'!$B$62,AI75+AH76-AQ75)))</f>
        <v>219.1146723646726</v>
      </c>
      <c r="AJ76" s="13">
        <f>AI76*VLOOKUP('Données projet'!$B$10,Paramètres!$A$1:$I$89,3,0)*VLOOKUP('Données projet'!$B$10,Paramètres!$A$1:$I$89,5,0)</f>
        <v>222.18227777777804</v>
      </c>
      <c r="AK76" s="13">
        <f t="shared" si="89"/>
        <v>54.588920195757851</v>
      </c>
      <c r="AL76" s="20">
        <f t="shared" si="58"/>
        <v>482.04316980390831</v>
      </c>
      <c r="AM76" s="59">
        <f t="shared" si="59"/>
        <v>749.82595400183004</v>
      </c>
      <c r="AN76" s="59">
        <f ca="1">AVERAGE(OFFSET($AM$3,0,0,'Données projet'!$E$10+1,1))-AVERAGE(OFFSET($H$3,0,0,'Données projet'!$E$10+1,1))</f>
        <v>462.74754756814662</v>
      </c>
      <c r="AO76" s="59">
        <f t="shared" si="90"/>
        <v>327.65191293226667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24.499986378316557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24.499986378316557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7.8425925925925934</v>
      </c>
      <c r="BD76" s="12">
        <f>IF('Données projet'!$A$88&gt;35,BD75+BC76-BL75,IF(A76&lt;'Données projet'!$A$88,$BA$205^A76,IF(A76='Données projet'!$A$88,'Données projet'!$B$88,BD75+BC76-BL75)))</f>
        <v>219.1146723646726</v>
      </c>
      <c r="BE76" s="13">
        <f>BD76*VLOOKUP('Données projet'!$B$11,Paramètres!$A$1:$I$89,3,0)*VLOOKUP('Données projet'!$B$11,Paramètres!$A$1:$I$89,5,0)</f>
        <v>146.98212222222239</v>
      </c>
      <c r="BF76" s="13">
        <f t="shared" si="91"/>
        <v>37.891952933412185</v>
      </c>
      <c r="BG76" s="20">
        <f t="shared" si="61"/>
        <v>321.98901422939684</v>
      </c>
      <c r="BH76" s="59">
        <f t="shared" si="62"/>
        <v>589.77179842731857</v>
      </c>
      <c r="BI76" s="59">
        <f ca="1">AVERAGE(OFFSET($BH$3,0,0,'Données projet'!$E$11+1,1))-AVERAGE(OFFSET($H$3,0,0,'Données projet'!$E$11+1,1))</f>
        <v>332.21938212432008</v>
      </c>
      <c r="BJ76" s="59">
        <f t="shared" si="92"/>
        <v>237.47732529948181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19.976911970011958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19.976911970011958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7.8425925925925934</v>
      </c>
      <c r="BY76" s="12">
        <f>IF('Données projet'!$A$114&gt;35,BY75+BX76-CG75,IF(A76&lt;'Données projet'!$A$114,$BV$205^A76,IF(A76='Données projet'!$A$114,'Données projet'!$B$114,BY75+BX76-CG75)))</f>
        <v>219.1146723646726</v>
      </c>
      <c r="BZ76" s="13">
        <f>BY76*VLOOKUP('Données projet'!$B$12,Paramètres!$A$1:$I$89,3,0)*VLOOKUP('Données projet'!$B$12,Paramètres!$A$1:$I$89,5,0)</f>
        <v>208.50952222222242</v>
      </c>
      <c r="CA76" s="13">
        <f t="shared" si="93"/>
        <v>51.609743905824573</v>
      </c>
      <c r="CB76" s="20">
        <f t="shared" si="64"/>
        <v>453.0410551730152</v>
      </c>
      <c r="CC76" s="59">
        <f t="shared" si="65"/>
        <v>720.82383937093698</v>
      </c>
      <c r="CD76" s="59">
        <f ca="1">AVERAGE(OFFSET($CC$3,0,0,'Données projet'!$E$12+1,1))-AVERAGE(OFFSET($H$3,0,0,'Données projet'!$E$12+1,1))</f>
        <v>439.09551305860475</v>
      </c>
      <c r="CE76" s="59">
        <f t="shared" si="94"/>
        <v>311.31528017256846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22.992294908881686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22.992294908881686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7.8425925925925934</v>
      </c>
      <c r="CT76" s="12">
        <f>IF('Données projet'!$A$140&gt;35,CT75+CS76-DB75,IF(A76&lt;'Données projet'!$A$140,$CQ$205^A76,IF(A76='Données projet'!$A$140,'Données projet'!$B$140,CT75+CS76-DB75)))</f>
        <v>219.1146723646726</v>
      </c>
      <c r="CU76" s="17">
        <f>CT76*VLOOKUP('Données projet'!$B$13,Paramètres!$A$1:$I$89,3,0)*VLOOKUP('Données projet'!$B$13,Paramètres!$A$1:$I$89,5,0)</f>
        <v>211.92771111111134</v>
      </c>
      <c r="CV76" s="13">
        <f t="shared" si="95"/>
        <v>52.356614786473038</v>
      </c>
      <c r="CW76" s="20">
        <f t="shared" si="67"/>
        <v>460.29520093829274</v>
      </c>
      <c r="CX76" s="59">
        <f t="shared" si="68"/>
        <v>728.07798513621447</v>
      </c>
      <c r="CY76" s="59">
        <f ca="1">AVERAGE(OFFSET($CX$3,0,0,'Données projet'!$E$13+1,1))-AVERAGE(OFFSET($H$3,0,0,'Données projet'!$E$13+1,1))</f>
        <v>445.01146841309549</v>
      </c>
      <c r="CZ76" s="59">
        <f t="shared" si="96"/>
        <v>315.40159257508969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23.369217776240404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23.369217776240404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-1.1368683772161603E-13</v>
      </c>
      <c r="DP76" s="17">
        <f>DO76*VLOOKUP('Données projet'!$B$14,Paramètres!$A$1:$I$89,3,0)*VLOOKUP('Données projet'!$B$14,Paramètres!$A$1:$I$89,5,0)</f>
        <v>-6.3550942286383367E-14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349.00268383833668</v>
      </c>
      <c r="DU76" s="59">
        <f t="shared" si="98"/>
        <v>459.94854391583749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158.69157369123721</v>
      </c>
      <c r="EB76" s="21">
        <f>EXP(-LN(2)/25)*EB75+(1-EXP(-LN(2)/25))/(LN(2)/25)*Calculateur!DW76*Calculateur!DY76*VLOOKUP('Données projet'!$B$14,Paramètres!$A$1:$I$89,3,0)*0.475*44/12</f>
        <v>34.973475414632865</v>
      </c>
      <c r="EC76" s="21">
        <f>EXP(-LN(2)/2)*EC75+(1-EXP(-LN(2)/2))/(LN(2)/2)*DW76*DZ76*VLOOKUP('Données projet'!$B$14,Paramètres!$A$1:$I$89,3,0)*0.475*44/12</f>
        <v>6.6721296883032175E-2</v>
      </c>
      <c r="ED76" s="22">
        <f t="shared" si="72"/>
        <v>193.73177040275311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1.7053025658242404E-13</v>
      </c>
      <c r="EK76" s="17">
        <f>EJ76*VLOOKUP('Données projet'!$B$15,Paramètres!$A$1:$I$89,3,0)*VLOOKUP('Données projet'!$B$15,Paramètres!$A$1:$I$89,5,0)</f>
        <v>1.3301360013429075E-13</v>
      </c>
      <c r="EL76" s="13">
        <f t="shared" si="99"/>
        <v>1.9329766731057041E-12</v>
      </c>
      <c r="EM76" s="20">
        <f t="shared" si="73"/>
        <v>3.5982663925596575E-12</v>
      </c>
      <c r="EN76" s="59">
        <f t="shared" si="74"/>
        <v>267.78278419792537</v>
      </c>
      <c r="EO76" s="59">
        <f ca="1">AVERAGE(OFFSET($EN$3,0,0,'Données projet'!$E$15+1,1))-AVERAGE(OFFSET($H$3,0,0,'Données projet'!$E$15+1,1))</f>
        <v>308.82719216177946</v>
      </c>
      <c r="EP76" s="59">
        <f t="shared" si="100"/>
        <v>302.59481222418219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74.954473633729478</v>
      </c>
      <c r="EW76" s="21">
        <f>EXP(-LN(2)/25)*EW75+(1-EXP(-LN(2)/25))/(LN(2)/25)*Calculateur!ER76*Calculateur!ET76*VLOOKUP('Données projet'!$B$15,Paramètres!$A$1:$I$89,3,0)*0.475*44/12</f>
        <v>61.049248867335471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136.00372250106494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714.56165883983886</v>
      </c>
      <c r="S77" s="59">
        <f ca="1">AVERAGE(OFFSET($R$3,0,0,'Données projet'!$E$9+1,1))-AVERAGE(OFFSET($H$3,0,0,'Données projet'!$E$9+1,1))</f>
        <v>421.33534980160005</v>
      </c>
      <c r="T77" s="59">
        <f t="shared" si="88"/>
        <v>299.0473530693472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7.8425925925925934</v>
      </c>
      <c r="AI77" s="13">
        <f>IF('Données projet'!$A$62&gt;35,AI76+AH77-AQ76,IF(A77&lt;'Données projet'!$A$62,$AF$205^A77,IF(A77='Données projet'!$A$62,'Données projet'!$B$62,AI76+AH77-AQ76)))</f>
        <v>226.95726495726518</v>
      </c>
      <c r="AJ77" s="13">
        <f>AI77*VLOOKUP('Données projet'!$B$10,Paramètres!$A$1:$I$89,3,0)*VLOOKUP('Données projet'!$B$10,Paramètres!$A$1:$I$89,5,0)</f>
        <v>230.13466666666693</v>
      </c>
      <c r="AK77" s="13">
        <f t="shared" si="89"/>
        <v>56.311798620954782</v>
      </c>
      <c r="AL77" s="20">
        <f t="shared" si="58"/>
        <v>498.89426037594109</v>
      </c>
      <c r="AM77" s="59">
        <f t="shared" si="59"/>
        <v>767.12028947889189</v>
      </c>
      <c r="AN77" s="59">
        <f ca="1">AVERAGE(OFFSET($AM$3,0,0,'Données projet'!$E$10+1,1))-AVERAGE(OFFSET($H$3,0,0,'Données projet'!$E$10+1,1))</f>
        <v>462.74754756814662</v>
      </c>
      <c r="AO77" s="59">
        <f t="shared" si="90"/>
        <v>327.65191293226667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24.019556588953911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24.019556588953911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7.8425925925925934</v>
      </c>
      <c r="BD77" s="12">
        <f>IF('Données projet'!$A$88&gt;35,BD76+BC77-BL76,IF(A77&lt;'Données projet'!$A$88,$BA$205^A77,IF(A77='Données projet'!$A$88,'Données projet'!$B$88,BD76+BC77-BL76)))</f>
        <v>226.95726495726518</v>
      </c>
      <c r="BE77" s="13">
        <f>BD77*VLOOKUP('Données projet'!$B$11,Paramètres!$A$1:$I$89,3,0)*VLOOKUP('Données projet'!$B$11,Paramètres!$A$1:$I$89,5,0)</f>
        <v>152.2429333333335</v>
      </c>
      <c r="BF77" s="13">
        <f t="shared" si="91"/>
        <v>39.087859134953582</v>
      </c>
      <c r="BG77" s="20">
        <f t="shared" si="61"/>
        <v>333.23446354893332</v>
      </c>
      <c r="BH77" s="59">
        <f t="shared" si="62"/>
        <v>601.46049265188412</v>
      </c>
      <c r="BI77" s="59">
        <f ca="1">AVERAGE(OFFSET($BH$3,0,0,'Données projet'!$E$11+1,1))-AVERAGE(OFFSET($H$3,0,0,'Données projet'!$E$11+1,1))</f>
        <v>332.21938212432008</v>
      </c>
      <c r="BJ77" s="59">
        <f t="shared" si="92"/>
        <v>237.47732529948181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19.585176910993184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19.585176910993184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7.8425925925925934</v>
      </c>
      <c r="BY77" s="12">
        <f>IF('Données projet'!$A$114&gt;35,BY76+BX77-CG76,IF(A77&lt;'Données projet'!$A$114,$BV$205^A77,IF(A77='Données projet'!$A$114,'Données projet'!$B$114,BY76+BX77-CG76)))</f>
        <v>226.95726495726518</v>
      </c>
      <c r="BZ77" s="13">
        <f>BY77*VLOOKUP('Données projet'!$B$12,Paramètres!$A$1:$I$89,3,0)*VLOOKUP('Données projet'!$B$12,Paramètres!$A$1:$I$89,5,0)</f>
        <v>215.97253333333353</v>
      </c>
      <c r="CA77" s="13">
        <f t="shared" si="93"/>
        <v>53.238596683758736</v>
      </c>
      <c r="CB77" s="20">
        <f t="shared" si="64"/>
        <v>468.87605144643567</v>
      </c>
      <c r="CC77" s="59">
        <f t="shared" si="65"/>
        <v>737.10208054938653</v>
      </c>
      <c r="CD77" s="59">
        <f ca="1">AVERAGE(OFFSET($CC$3,0,0,'Données projet'!$E$12+1,1))-AVERAGE(OFFSET($H$3,0,0,'Données projet'!$E$12+1,1))</f>
        <v>439.09551305860475</v>
      </c>
      <c r="CE77" s="59">
        <f t="shared" si="94"/>
        <v>311.31528017256846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22.541430029633663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22.541430029633663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7.8425925925925934</v>
      </c>
      <c r="CT77" s="12">
        <f>IF('Données projet'!$A$140&gt;35,CT76+CS77-DB76,IF(A77&lt;'Données projet'!$A$140,$CQ$205^A77,IF(A77='Données projet'!$A$140,'Données projet'!$B$140,CT76+CS77-DB76)))</f>
        <v>226.95726495726518</v>
      </c>
      <c r="CU77" s="17">
        <f>CT77*VLOOKUP('Données projet'!$B$13,Paramètres!$A$1:$I$89,3,0)*VLOOKUP('Données projet'!$B$13,Paramètres!$A$1:$I$89,5,0)</f>
        <v>219.5130666666669</v>
      </c>
      <c r="CV77" s="13">
        <f t="shared" si="95"/>
        <v>54.009039522270811</v>
      </c>
      <c r="CW77" s="20">
        <f t="shared" si="67"/>
        <v>476.38433494573314</v>
      </c>
      <c r="CX77" s="59">
        <f t="shared" si="68"/>
        <v>744.610364048684</v>
      </c>
      <c r="CY77" s="59">
        <f ca="1">AVERAGE(OFFSET($CX$3,0,0,'Données projet'!$E$13+1,1))-AVERAGE(OFFSET($H$3,0,0,'Données projet'!$E$13+1,1))</f>
        <v>445.01146841309549</v>
      </c>
      <c r="CZ77" s="59">
        <f t="shared" si="96"/>
        <v>315.40159257508969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22.910961669463727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22.910961669463727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-1.1368683772161603E-13</v>
      </c>
      <c r="DP77" s="17">
        <f>DO77*VLOOKUP('Données projet'!$B$14,Paramètres!$A$1:$I$89,3,0)*VLOOKUP('Données projet'!$B$14,Paramètres!$A$1:$I$89,5,0)</f>
        <v>-6.3550942286383367E-14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349.00268383833668</v>
      </c>
      <c r="DU77" s="59">
        <f t="shared" si="98"/>
        <v>459.94854391583749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155.57972872345456</v>
      </c>
      <c r="EB77" s="21">
        <f>EXP(-LN(2)/25)*EB76+(1-EXP(-LN(2)/25))/(LN(2)/25)*Calculateur!DW77*Calculateur!DY77*VLOOKUP('Données projet'!$B$14,Paramètres!$A$1:$I$89,3,0)*0.475*44/12</f>
        <v>34.017123890244591</v>
      </c>
      <c r="EC77" s="21">
        <f>EXP(-LN(2)/2)*EC76+(1-EXP(-LN(2)/2))/(LN(2)/2)*DW77*DZ77*VLOOKUP('Données projet'!$B$14,Paramètres!$A$1:$I$89,3,0)*0.475*44/12</f>
        <v>4.7179081475552907E-2</v>
      </c>
      <c r="ED77" s="22">
        <f t="shared" si="72"/>
        <v>189.6440316951747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1.7053025658242404E-13</v>
      </c>
      <c r="EK77" s="17">
        <f>EJ77*VLOOKUP('Données projet'!$B$15,Paramètres!$A$1:$I$89,3,0)*VLOOKUP('Données projet'!$B$15,Paramètres!$A$1:$I$89,5,0)</f>
        <v>1.3301360013429075E-13</v>
      </c>
      <c r="EL77" s="13">
        <f t="shared" si="99"/>
        <v>1.9329766731057041E-12</v>
      </c>
      <c r="EM77" s="20">
        <f t="shared" si="73"/>
        <v>3.5982663925596575E-12</v>
      </c>
      <c r="EN77" s="59">
        <f t="shared" si="74"/>
        <v>268.22602910295444</v>
      </c>
      <c r="EO77" s="59">
        <f ca="1">AVERAGE(OFFSET($EN$3,0,0,'Données projet'!$E$15+1,1))-AVERAGE(OFFSET($H$3,0,0,'Données projet'!$E$15+1,1))</f>
        <v>308.82719216177946</v>
      </c>
      <c r="EP77" s="59">
        <f t="shared" si="100"/>
        <v>302.59481222418219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73.484662123486714</v>
      </c>
      <c r="EW77" s="21">
        <f>EXP(-LN(2)/25)*EW76+(1-EXP(-LN(2)/25))/(LN(2)/25)*Calculateur!ER77*Calculateur!ET77*VLOOKUP('Données projet'!$B$15,Paramètres!$A$1:$I$89,3,0)*0.475*44/12</f>
        <v>59.379853946617715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132.86451607010443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730.05842725797515</v>
      </c>
      <c r="S78" s="59">
        <f ca="1">AVERAGE(OFFSET($R$3,0,0,'Données projet'!$E$9+1,1))-AVERAGE(OFFSET($H$3,0,0,'Données projet'!$E$9+1,1))</f>
        <v>421.33534980160005</v>
      </c>
      <c r="T78" s="59">
        <f t="shared" si="88"/>
        <v>299.0473530693472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7.8425925925925934</v>
      </c>
      <c r="AI78" s="13">
        <f>IF('Données projet'!$A$62&gt;35,AI77+AH78-AQ77,IF(A78&lt;'Données projet'!$A$62,$AF$205^A78,IF(A78='Données projet'!$A$62,'Données projet'!$B$62,AI77+AH78-AQ77)))</f>
        <v>234.79985754985776</v>
      </c>
      <c r="AJ78" s="13">
        <f>AI78*VLOOKUP('Données projet'!$B$10,Paramètres!$A$1:$I$89,3,0)*VLOOKUP('Données projet'!$B$10,Paramètres!$A$1:$I$89,5,0)</f>
        <v>238.08705555555576</v>
      </c>
      <c r="AK78" s="13">
        <f t="shared" si="89"/>
        <v>58.027759670447097</v>
      </c>
      <c r="AL78" s="20">
        <f t="shared" si="58"/>
        <v>515.73330318528826</v>
      </c>
      <c r="AM78" s="59">
        <f t="shared" si="59"/>
        <v>784.39488788511312</v>
      </c>
      <c r="AN78" s="59">
        <f ca="1">AVERAGE(OFFSET($AM$3,0,0,'Données projet'!$E$10+1,1))-AVERAGE(OFFSET($H$3,0,0,'Données projet'!$E$10+1,1))</f>
        <v>462.74754756814662</v>
      </c>
      <c r="AO78" s="59">
        <f t="shared" si="90"/>
        <v>327.65191293226667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23.548547734727428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23.548547734727428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7.8425925925925934</v>
      </c>
      <c r="BD78" s="12">
        <f>IF('Données projet'!$A$88&gt;35,BD77+BC78-BL77,IF(A78&lt;'Données projet'!$A$88,$BA$205^A78,IF(A78='Données projet'!$A$88,'Données projet'!$B$88,BD77+BC78-BL77)))</f>
        <v>234.79985754985776</v>
      </c>
      <c r="BE78" s="13">
        <f>BD78*VLOOKUP('Données projet'!$B$11,Paramètres!$A$1:$I$89,3,0)*VLOOKUP('Données projet'!$B$11,Paramètres!$A$1:$I$89,5,0)</f>
        <v>157.50374444444461</v>
      </c>
      <c r="BF78" s="13">
        <f t="shared" si="91"/>
        <v>40.278963760026976</v>
      </c>
      <c r="BG78" s="20">
        <f t="shared" si="61"/>
        <v>344.47155012278796</v>
      </c>
      <c r="BH78" s="59">
        <f t="shared" si="62"/>
        <v>613.13313482261276</v>
      </c>
      <c r="BI78" s="59">
        <f ca="1">AVERAGE(OFFSET($BH$3,0,0,'Données projet'!$E$11+1,1))-AVERAGE(OFFSET($H$3,0,0,'Données projet'!$E$11+1,1))</f>
        <v>332.21938212432008</v>
      </c>
      <c r="BJ78" s="59">
        <f t="shared" si="92"/>
        <v>237.47732529948181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19.201123537546977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19.201123537546977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7.8425925925925934</v>
      </c>
      <c r="BY78" s="12">
        <f>IF('Données projet'!$A$114&gt;35,BY77+BX78-CG77,IF(A78&lt;'Données projet'!$A$114,$BV$205^A78,IF(A78='Données projet'!$A$114,'Données projet'!$B$114,BY77+BX78-CG77)))</f>
        <v>234.79985754985776</v>
      </c>
      <c r="BZ78" s="13">
        <f>BY78*VLOOKUP('Données projet'!$B$12,Paramètres!$A$1:$I$89,3,0)*VLOOKUP('Données projet'!$B$12,Paramètres!$A$1:$I$89,5,0)</f>
        <v>223.43554444444464</v>
      </c>
      <c r="CA78" s="13">
        <f t="shared" si="93"/>
        <v>54.860909599989448</v>
      </c>
      <c r="CB78" s="20">
        <f t="shared" si="64"/>
        <v>484.69965746072268</v>
      </c>
      <c r="CC78" s="59">
        <f t="shared" si="65"/>
        <v>753.36124216054748</v>
      </c>
      <c r="CD78" s="59">
        <f ca="1">AVERAGE(OFFSET($CC$3,0,0,'Données projet'!$E$12+1,1))-AVERAGE(OFFSET($H$3,0,0,'Données projet'!$E$12+1,1))</f>
        <v>439.09551305860475</v>
      </c>
      <c r="CE78" s="59">
        <f t="shared" si="94"/>
        <v>311.31528017256846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22.099406335667272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22.099406335667272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7.8425925925925934</v>
      </c>
      <c r="CT78" s="12">
        <f>IF('Données projet'!$A$140&gt;35,CT77+CS78-DB77,IF(A78&lt;'Données projet'!$A$140,$CQ$205^A78,IF(A78='Données projet'!$A$140,'Données projet'!$B$140,CT77+CS78-DB77)))</f>
        <v>234.79985754985776</v>
      </c>
      <c r="CU78" s="17">
        <f>CT78*VLOOKUP('Données projet'!$B$13,Paramètres!$A$1:$I$89,3,0)*VLOOKUP('Données projet'!$B$13,Paramètres!$A$1:$I$89,5,0)</f>
        <v>227.09842222222244</v>
      </c>
      <c r="CV78" s="13">
        <f t="shared" si="95"/>
        <v>55.65482975469677</v>
      </c>
      <c r="CW78" s="20">
        <f t="shared" si="67"/>
        <v>492.46191385980097</v>
      </c>
      <c r="CX78" s="59">
        <f t="shared" si="68"/>
        <v>761.12349855962577</v>
      </c>
      <c r="CY78" s="59">
        <f ca="1">AVERAGE(OFFSET($CX$3,0,0,'Données projet'!$E$13+1,1))-AVERAGE(OFFSET($H$3,0,0,'Données projet'!$E$13+1,1))</f>
        <v>445.01146841309549</v>
      </c>
      <c r="CZ78" s="59">
        <f t="shared" si="96"/>
        <v>315.40159257508969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22.461691685432314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22.461691685432314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-1.1368683772161603E-13</v>
      </c>
      <c r="DP78" s="17">
        <f>DO78*VLOOKUP('Données projet'!$B$14,Paramètres!$A$1:$I$89,3,0)*VLOOKUP('Données projet'!$B$14,Paramètres!$A$1:$I$89,5,0)</f>
        <v>-6.3550942286383367E-14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349.00268383833668</v>
      </c>
      <c r="DU78" s="59">
        <f t="shared" si="98"/>
        <v>459.94854391583749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152.52890513745211</v>
      </c>
      <c r="EB78" s="21">
        <f>EXP(-LN(2)/25)*EB77+(1-EXP(-LN(2)/25))/(LN(2)/25)*Calculateur!DW78*Calculateur!DY78*VLOOKUP('Données projet'!$B$14,Paramètres!$A$1:$I$89,3,0)*0.475*44/12</f>
        <v>33.086923848583055</v>
      </c>
      <c r="EC78" s="21">
        <f>EXP(-LN(2)/2)*EC77+(1-EXP(-LN(2)/2))/(LN(2)/2)*DW78*DZ78*VLOOKUP('Données projet'!$B$14,Paramètres!$A$1:$I$89,3,0)*0.475*44/12</f>
        <v>3.3360648441516087E-2</v>
      </c>
      <c r="ED78" s="22">
        <f t="shared" si="72"/>
        <v>185.6491896344767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1.7053025658242404E-13</v>
      </c>
      <c r="EK78" s="17">
        <f>EJ78*VLOOKUP('Données projet'!$B$15,Paramètres!$A$1:$I$89,3,0)*VLOOKUP('Données projet'!$B$15,Paramètres!$A$1:$I$89,5,0)</f>
        <v>1.3301360013429075E-13</v>
      </c>
      <c r="EL78" s="13">
        <f t="shared" si="99"/>
        <v>1.9329766731057041E-12</v>
      </c>
      <c r="EM78" s="20">
        <f t="shared" si="73"/>
        <v>3.5982663925596575E-12</v>
      </c>
      <c r="EN78" s="59">
        <f t="shared" si="74"/>
        <v>268.66158469982838</v>
      </c>
      <c r="EO78" s="59">
        <f ca="1">AVERAGE(OFFSET($EN$3,0,0,'Données projet'!$E$15+1,1))-AVERAGE(OFFSET($H$3,0,0,'Données projet'!$E$15+1,1))</f>
        <v>308.82719216177946</v>
      </c>
      <c r="EP78" s="59">
        <f t="shared" si="100"/>
        <v>302.59481222418219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72.043672720463306</v>
      </c>
      <c r="EW78" s="21">
        <f>EXP(-LN(2)/25)*EW77+(1-EXP(-LN(2)/25))/(LN(2)/25)*Calculateur!ER78*Calculateur!ET78*VLOOKUP('Données projet'!$B$15,Paramètres!$A$1:$I$89,3,0)*0.475*44/12</f>
        <v>57.75610871779665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129.79978143825997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745.53715150254902</v>
      </c>
      <c r="S79" s="59">
        <f ca="1">AVERAGE(OFFSET($R$3,0,0,'Données projet'!$E$9+1,1))-AVERAGE(OFFSET($H$3,0,0,'Données projet'!$E$9+1,1))</f>
        <v>421.33534980160005</v>
      </c>
      <c r="T79" s="59">
        <f t="shared" si="88"/>
        <v>299.0473530693472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7.8425925925925934</v>
      </c>
      <c r="AI79" s="13">
        <f>IF('Données projet'!$A$62&gt;35,AI78+AH79-AQ78,IF(A79&lt;'Données projet'!$A$62,$AF$205^A79,IF(A79='Données projet'!$A$62,'Données projet'!$B$62,AI78+AH79-AQ78)))</f>
        <v>242.64245014245034</v>
      </c>
      <c r="AJ79" s="13">
        <f>AI79*VLOOKUP('Données projet'!$B$10,Paramètres!$A$1:$I$89,3,0)*VLOOKUP('Données projet'!$B$10,Paramètres!$A$1:$I$89,5,0)</f>
        <v>246.03944444444465</v>
      </c>
      <c r="AK79" s="13">
        <f t="shared" si="89"/>
        <v>59.737060883292813</v>
      </c>
      <c r="AL79" s="20">
        <f t="shared" si="58"/>
        <v>532.56074677914273</v>
      </c>
      <c r="AM79" s="59">
        <f t="shared" si="59"/>
        <v>801.65033115999222</v>
      </c>
      <c r="AN79" s="59">
        <f ca="1">AVERAGE(OFFSET($AM$3,0,0,'Données projet'!$E$10+1,1))-AVERAGE(OFFSET($H$3,0,0,'Données projet'!$E$10+1,1))</f>
        <v>462.74754756814662</v>
      </c>
      <c r="AO79" s="59">
        <f t="shared" si="90"/>
        <v>327.65191293226667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23.086775076845292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23.086775076845292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7.8425925925925934</v>
      </c>
      <c r="BD79" s="12">
        <f>IF('Données projet'!$A$88&gt;35,BD78+BC79-BL78,IF(A79&lt;'Données projet'!$A$88,$BA$205^A79,IF(A79='Données projet'!$A$88,'Données projet'!$B$88,BD78+BC79-BL78)))</f>
        <v>242.64245014245034</v>
      </c>
      <c r="BE79" s="13">
        <f>BD79*VLOOKUP('Données projet'!$B$11,Paramètres!$A$1:$I$89,3,0)*VLOOKUP('Données projet'!$B$11,Paramètres!$A$1:$I$89,5,0)</f>
        <v>162.76455555555569</v>
      </c>
      <c r="BF79" s="13">
        <f t="shared" si="91"/>
        <v>41.465445574906497</v>
      </c>
      <c r="BG79" s="20">
        <f t="shared" si="61"/>
        <v>355.70058530222167</v>
      </c>
      <c r="BH79" s="59">
        <f t="shared" si="62"/>
        <v>624.7901696830711</v>
      </c>
      <c r="BI79" s="59">
        <f ca="1">AVERAGE(OFFSET($BH$3,0,0,'Données projet'!$E$11+1,1))-AVERAGE(OFFSET($H$3,0,0,'Données projet'!$E$11+1,1))</f>
        <v>332.21938212432008</v>
      </c>
      <c r="BJ79" s="59">
        <f t="shared" si="92"/>
        <v>237.47732529948181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18.824601216504622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18.824601216504622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7.8425925925925934</v>
      </c>
      <c r="BY79" s="12">
        <f>IF('Données projet'!$A$114&gt;35,BY78+BX79-CG78,IF(A79&lt;'Données projet'!$A$114,$BV$205^A79,IF(A79='Données projet'!$A$114,'Données projet'!$B$114,BY78+BX79-CG78)))</f>
        <v>242.64245014245034</v>
      </c>
      <c r="BZ79" s="13">
        <f>BY79*VLOOKUP('Données projet'!$B$12,Paramètres!$A$1:$I$89,3,0)*VLOOKUP('Données projet'!$B$12,Paramètres!$A$1:$I$89,5,0)</f>
        <v>230.89855555555573</v>
      </c>
      <c r="CA79" s="13">
        <f t="shared" si="93"/>
        <v>56.47692613844702</v>
      </c>
      <c r="CB79" s="20">
        <f t="shared" si="64"/>
        <v>500.51229728372147</v>
      </c>
      <c r="CC79" s="59">
        <f t="shared" si="65"/>
        <v>769.6018816645709</v>
      </c>
      <c r="CD79" s="59">
        <f ca="1">AVERAGE(OFFSET($CC$3,0,0,'Données projet'!$E$12+1,1))-AVERAGE(OFFSET($H$3,0,0,'Données projet'!$E$12+1,1))</f>
        <v>439.09551305860475</v>
      </c>
      <c r="CE79" s="59">
        <f t="shared" si="94"/>
        <v>311.31528017256846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21.666050456731732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21.666050456731732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7.8425925925925934</v>
      </c>
      <c r="CT79" s="12">
        <f>IF('Données projet'!$A$140&gt;35,CT78+CS79-DB78,IF(A79&lt;'Données projet'!$A$140,$CQ$205^A79,IF(A79='Données projet'!$A$140,'Données projet'!$B$140,CT78+CS79-DB78)))</f>
        <v>242.64245014245034</v>
      </c>
      <c r="CU79" s="17">
        <f>CT79*VLOOKUP('Données projet'!$B$13,Paramètres!$A$1:$I$89,3,0)*VLOOKUP('Données projet'!$B$13,Paramètres!$A$1:$I$89,5,0)</f>
        <v>234.68377777777798</v>
      </c>
      <c r="CV79" s="13">
        <f t="shared" si="95"/>
        <v>57.294232491261091</v>
      </c>
      <c r="CW79" s="20">
        <f t="shared" si="67"/>
        <v>508.52836788524309</v>
      </c>
      <c r="CX79" s="59">
        <f t="shared" si="68"/>
        <v>777.61795226609252</v>
      </c>
      <c r="CY79" s="59">
        <f ca="1">AVERAGE(OFFSET($CX$3,0,0,'Données projet'!$E$13+1,1))-AVERAGE(OFFSET($H$3,0,0,'Données projet'!$E$13+1,1))</f>
        <v>445.01146841309549</v>
      </c>
      <c r="CZ79" s="59">
        <f t="shared" si="96"/>
        <v>315.40159257508969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22.021231611760125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22.021231611760125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-1.1368683772161603E-13</v>
      </c>
      <c r="DP79" s="17">
        <f>DO79*VLOOKUP('Données projet'!$B$14,Paramètres!$A$1:$I$89,3,0)*VLOOKUP('Données projet'!$B$14,Paramètres!$A$1:$I$89,5,0)</f>
        <v>-6.3550942286383367E-14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349.00268383833668</v>
      </c>
      <c r="DU79" s="59">
        <f t="shared" si="98"/>
        <v>459.94854391583749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149.53790634115254</v>
      </c>
      <c r="EB79" s="21">
        <f>EXP(-LN(2)/25)*EB78+(1-EXP(-LN(2)/25))/(LN(2)/25)*Calculateur!DW79*Calculateur!DY79*VLOOKUP('Données projet'!$B$14,Paramètres!$A$1:$I$89,3,0)*0.475*44/12</f>
        <v>32.182160175977849</v>
      </c>
      <c r="EC79" s="21">
        <f>EXP(-LN(2)/2)*EC78+(1-EXP(-LN(2)/2))/(LN(2)/2)*DW79*DZ79*VLOOKUP('Données projet'!$B$14,Paramètres!$A$1:$I$89,3,0)*0.475*44/12</f>
        <v>2.3589540737776454E-2</v>
      </c>
      <c r="ED79" s="22">
        <f t="shared" si="72"/>
        <v>181.74365605786818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1.7053025658242404E-13</v>
      </c>
      <c r="EK79" s="17">
        <f>EJ79*VLOOKUP('Données projet'!$B$15,Paramètres!$A$1:$I$89,3,0)*VLOOKUP('Données projet'!$B$15,Paramètres!$A$1:$I$89,5,0)</f>
        <v>1.3301360013429075E-13</v>
      </c>
      <c r="EL79" s="13">
        <f t="shared" si="99"/>
        <v>1.9329766731057041E-12</v>
      </c>
      <c r="EM79" s="20">
        <f t="shared" si="73"/>
        <v>3.5982663925596575E-12</v>
      </c>
      <c r="EN79" s="59">
        <f t="shared" si="74"/>
        <v>269.08958438085301</v>
      </c>
      <c r="EO79" s="59">
        <f ca="1">AVERAGE(OFFSET($EN$3,0,0,'Données projet'!$E$15+1,1))-AVERAGE(OFFSET($H$3,0,0,'Données projet'!$E$15+1,1))</f>
        <v>308.82719216177946</v>
      </c>
      <c r="EP79" s="59">
        <f t="shared" si="100"/>
        <v>302.59481222418219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70.630940240716441</v>
      </c>
      <c r="EW79" s="21">
        <f>EXP(-LN(2)/25)*EW78+(1-EXP(-LN(2)/25))/(LN(2)/25)*Calculateur!ER79*Calculateur!ET79*VLOOKUP('Données projet'!$B$15,Paramètres!$A$1:$I$89,3,0)*0.475*44/12</f>
        <v>56.176764887646748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126.80770512836318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760.99834053092263</v>
      </c>
      <c r="S80" s="59">
        <f ca="1">AVERAGE(OFFSET($R$3,0,0,'Données projet'!$E$9+1,1))-AVERAGE(OFFSET($H$3,0,0,'Données projet'!$E$9+1,1))</f>
        <v>421.33534980160005</v>
      </c>
      <c r="T80" s="59">
        <f t="shared" si="88"/>
        <v>299.0473530693472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7.8425925925925934</v>
      </c>
      <c r="AI80" s="13">
        <f>IF('Données projet'!$A$62&gt;35,AI79+AH80-AQ79,IF(A80&lt;'Données projet'!$A$62,$AF$205^A80,IF(A80='Données projet'!$A$62,'Données projet'!$B$62,AI79+AH80-AQ79)))</f>
        <v>250.48504273504292</v>
      </c>
      <c r="AJ80" s="13">
        <f>AI80*VLOOKUP('Données projet'!$B$10,Paramètres!$A$1:$I$89,3,0)*VLOOKUP('Données projet'!$B$10,Paramètres!$A$1:$I$89,5,0)</f>
        <v>253.99183333333355</v>
      </c>
      <c r="AK80" s="13">
        <f t="shared" si="89"/>
        <v>61.439942205271571</v>
      </c>
      <c r="AL80" s="20">
        <f t="shared" si="58"/>
        <v>549.37700906307055</v>
      </c>
      <c r="AM80" s="59">
        <f t="shared" si="59"/>
        <v>818.88716828734277</v>
      </c>
      <c r="AN80" s="59">
        <f ca="1">AVERAGE(OFFSET($AM$3,0,0,'Données projet'!$E$10+1,1))-AVERAGE(OFFSET($H$3,0,0,'Données projet'!$E$10+1,1))</f>
        <v>462.74754756814662</v>
      </c>
      <c r="AO80" s="59">
        <f t="shared" si="90"/>
        <v>327.65191293226667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22.634057499130716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22.634057499130716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7.8425925925925934</v>
      </c>
      <c r="BD80" s="12">
        <f>IF('Données projet'!$A$88&gt;35,BD79+BC80-BL79,IF(A80&lt;'Données projet'!$A$88,$BA$205^A80,IF(A80='Données projet'!$A$88,'Données projet'!$B$88,BD79+BC80-BL79)))</f>
        <v>250.48504273504292</v>
      </c>
      <c r="BE80" s="13">
        <f>BD80*VLOOKUP('Données projet'!$B$11,Paramètres!$A$1:$I$89,3,0)*VLOOKUP('Données projet'!$B$11,Paramètres!$A$1:$I$89,5,0)</f>
        <v>168.0253666666668</v>
      </c>
      <c r="BF80" s="13">
        <f t="shared" si="91"/>
        <v>42.647471133796707</v>
      </c>
      <c r="BG80" s="20">
        <f t="shared" si="61"/>
        <v>366.92185916914059</v>
      </c>
      <c r="BH80" s="59">
        <f t="shared" si="62"/>
        <v>636.43201839341282</v>
      </c>
      <c r="BI80" s="59">
        <f ca="1">AVERAGE(OFFSET($BH$3,0,0,'Données projet'!$E$11+1,1))-AVERAGE(OFFSET($H$3,0,0,'Données projet'!$E$11+1,1))</f>
        <v>332.21938212432008</v>
      </c>
      <c r="BJ80" s="59">
        <f t="shared" si="92"/>
        <v>237.47732529948181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18.455462268521966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18.455462268521966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7.8425925925925934</v>
      </c>
      <c r="BY80" s="12">
        <f>IF('Données projet'!$A$114&gt;35,BY79+BX80-CG79,IF(A80&lt;'Données projet'!$A$114,$BV$205^A80,IF(A80='Données projet'!$A$114,'Données projet'!$B$114,BY79+BX80-CG79)))</f>
        <v>250.48504273504292</v>
      </c>
      <c r="BZ80" s="13">
        <f>BY80*VLOOKUP('Données projet'!$B$12,Paramètres!$A$1:$I$89,3,0)*VLOOKUP('Données projet'!$B$12,Paramètres!$A$1:$I$89,5,0)</f>
        <v>238.36156666666685</v>
      </c>
      <c r="CA80" s="13">
        <f t="shared" si="93"/>
        <v>58.086873149931648</v>
      </c>
      <c r="CB80" s="20">
        <f t="shared" si="64"/>
        <v>516.31436601390897</v>
      </c>
      <c r="CC80" s="59">
        <f t="shared" si="65"/>
        <v>785.8245252381812</v>
      </c>
      <c r="CD80" s="59">
        <f ca="1">AVERAGE(OFFSET($CC$3,0,0,'Données projet'!$E$12+1,1))-AVERAGE(OFFSET($H$3,0,0,'Données projet'!$E$12+1,1))</f>
        <v>439.09551305860475</v>
      </c>
      <c r="CE80" s="59">
        <f t="shared" si="94"/>
        <v>311.31528017256846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21.241192422261129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21.241192422261129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7.8425925925925934</v>
      </c>
      <c r="CT80" s="12">
        <f>IF('Données projet'!$A$140&gt;35,CT79+CS80-DB79,IF(A80&lt;'Données projet'!$A$140,$CQ$205^A80,IF(A80='Données projet'!$A$140,'Données projet'!$B$140,CT79+CS80-DB79)))</f>
        <v>250.48504273504292</v>
      </c>
      <c r="CU80" s="17">
        <f>CT80*VLOOKUP('Données projet'!$B$13,Paramètres!$A$1:$I$89,3,0)*VLOOKUP('Données projet'!$B$13,Paramètres!$A$1:$I$89,5,0)</f>
        <v>242.26913333333354</v>
      </c>
      <c r="CV80" s="13">
        <f t="shared" si="95"/>
        <v>58.9274778656374</v>
      </c>
      <c r="CW80" s="20">
        <f t="shared" si="67"/>
        <v>524.58409783820764</v>
      </c>
      <c r="CX80" s="59">
        <f t="shared" si="68"/>
        <v>794.09425706247998</v>
      </c>
      <c r="CY80" s="59">
        <f ca="1">AVERAGE(OFFSET($CX$3,0,0,'Données projet'!$E$13+1,1))-AVERAGE(OFFSET($H$3,0,0,'Données projet'!$E$13+1,1))</f>
        <v>445.01146841309549</v>
      </c>
      <c r="CZ80" s="59">
        <f t="shared" si="96"/>
        <v>315.40159257508969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21.589408691478528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21.589408691478528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-1.1368683772161603E-13</v>
      </c>
      <c r="DP80" s="17">
        <f>DO80*VLOOKUP('Données projet'!$B$14,Paramètres!$A$1:$I$89,3,0)*VLOOKUP('Données projet'!$B$14,Paramètres!$A$1:$I$89,5,0)</f>
        <v>-6.3550942286383367E-14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349.00268383833668</v>
      </c>
      <c r="DU80" s="59">
        <f t="shared" si="98"/>
        <v>459.94854391583749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146.60555920691925</v>
      </c>
      <c r="EB80" s="21">
        <f>EXP(-LN(2)/25)*EB79+(1-EXP(-LN(2)/25))/(LN(2)/25)*Calculateur!DW80*Calculateur!DY80*VLOOKUP('Données projet'!$B$14,Paramètres!$A$1:$I$89,3,0)*0.475*44/12</f>
        <v>31.302137313579482</v>
      </c>
      <c r="EC80" s="21">
        <f>EXP(-LN(2)/2)*EC79+(1-EXP(-LN(2)/2))/(LN(2)/2)*DW80*DZ80*VLOOKUP('Données projet'!$B$14,Paramètres!$A$1:$I$89,3,0)*0.475*44/12</f>
        <v>1.6680324220758044E-2</v>
      </c>
      <c r="ED80" s="22">
        <f t="shared" si="72"/>
        <v>177.92437684471952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1.7053025658242404E-13</v>
      </c>
      <c r="EK80" s="17">
        <f>EJ80*VLOOKUP('Données projet'!$B$15,Paramètres!$A$1:$I$89,3,0)*VLOOKUP('Données projet'!$B$15,Paramètres!$A$1:$I$89,5,0)</f>
        <v>1.3301360013429075E-13</v>
      </c>
      <c r="EL80" s="13">
        <f t="shared" si="99"/>
        <v>1.9329766731057041E-12</v>
      </c>
      <c r="EM80" s="20">
        <f t="shared" si="73"/>
        <v>3.5982663925596575E-12</v>
      </c>
      <c r="EN80" s="59">
        <f t="shared" si="74"/>
        <v>269.51015922427587</v>
      </c>
      <c r="EO80" s="59">
        <f ca="1">AVERAGE(OFFSET($EN$3,0,0,'Données projet'!$E$15+1,1))-AVERAGE(OFFSET($H$3,0,0,'Données projet'!$E$15+1,1))</f>
        <v>308.82719216177946</v>
      </c>
      <c r="EP80" s="59">
        <f t="shared" si="100"/>
        <v>302.59481222418219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69.245910583215675</v>
      </c>
      <c r="EW80" s="21">
        <f>EXP(-LN(2)/25)*EW79+(1-EXP(-LN(2)/25))/(LN(2)/25)*Calculateur!ER80*Calculateur!ET80*VLOOKUP('Données projet'!$B$15,Paramètres!$A$1:$I$89,3,0)*0.475*44/12</f>
        <v>54.640608297586375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123.88651888080204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776.44247602005385</v>
      </c>
      <c r="S81" s="59">
        <f ca="1">AVERAGE(OFFSET($R$3,0,0,'Données projet'!$E$9+1,1))-AVERAGE(OFFSET($H$3,0,0,'Données projet'!$E$9+1,1))</f>
        <v>421.33534980160005</v>
      </c>
      <c r="T81" s="59">
        <f t="shared" si="88"/>
        <v>299.0473530693472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7.8425925925925934</v>
      </c>
      <c r="AI81" s="13">
        <f>IF('Données projet'!$A$62&gt;35,AI80+AH81-AQ80,IF(A81&lt;'Données projet'!$A$62,$AF$205^A81,IF(A81='Données projet'!$A$62,'Données projet'!$B$62,AI80+AH81-AQ80)))</f>
        <v>258.32763532763551</v>
      </c>
      <c r="AJ81" s="13">
        <f>AI81*VLOOKUP('Données projet'!$B$10,Paramètres!$A$1:$I$89,3,0)*VLOOKUP('Données projet'!$B$10,Paramètres!$A$1:$I$89,5,0)</f>
        <v>261.94422222222244</v>
      </c>
      <c r="AK81" s="13">
        <f t="shared" si="89"/>
        <v>63.136627703535865</v>
      </c>
      <c r="AL81" s="20">
        <f t="shared" si="58"/>
        <v>566.18248028736241</v>
      </c>
      <c r="AM81" s="59">
        <f t="shared" si="59"/>
        <v>836.10591832178864</v>
      </c>
      <c r="AN81" s="59">
        <f ca="1">AVERAGE(OFFSET($AM$3,0,0,'Données projet'!$E$10+1,1))-AVERAGE(OFFSET($H$3,0,0,'Données projet'!$E$10+1,1))</f>
        <v>462.74754756814662</v>
      </c>
      <c r="AO81" s="59">
        <f t="shared" si="90"/>
        <v>327.65191293226667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22.190217436984664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22.190217436984664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7.8425925925925934</v>
      </c>
      <c r="BD81" s="12">
        <f>IF('Données projet'!$A$88&gt;35,BD80+BC81-BL80,IF(A81&lt;'Données projet'!$A$88,$BA$205^A81,IF(A81='Données projet'!$A$88,'Données projet'!$B$88,BD80+BC81-BL80)))</f>
        <v>258.32763532763551</v>
      </c>
      <c r="BE81" s="13">
        <f>BD81*VLOOKUP('Données projet'!$B$11,Paramètres!$A$1:$I$89,3,0)*VLOOKUP('Données projet'!$B$11,Paramètres!$A$1:$I$89,5,0)</f>
        <v>173.28617777777791</v>
      </c>
      <c r="BF81" s="13">
        <f t="shared" si="91"/>
        <v>43.825195969028606</v>
      </c>
      <c r="BG81" s="20">
        <f t="shared" si="61"/>
        <v>378.13564260902132</v>
      </c>
      <c r="BH81" s="59">
        <f t="shared" si="62"/>
        <v>648.05908064344749</v>
      </c>
      <c r="BI81" s="59">
        <f ca="1">AVERAGE(OFFSET($BH$3,0,0,'Données projet'!$E$11+1,1))-AVERAGE(OFFSET($H$3,0,0,'Données projet'!$E$11+1,1))</f>
        <v>332.21938212432008</v>
      </c>
      <c r="BJ81" s="59">
        <f t="shared" si="92"/>
        <v>237.47732529948181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18.093561910156726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18.093561910156726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7.8425925925925934</v>
      </c>
      <c r="BY81" s="12">
        <f>IF('Données projet'!$A$114&gt;35,BY80+BX81-CG80,IF(A81&lt;'Données projet'!$A$114,$BV$205^A81,IF(A81='Données projet'!$A$114,'Données projet'!$B$114,BY80+BX81-CG80)))</f>
        <v>258.32763532763551</v>
      </c>
      <c r="BZ81" s="13">
        <f>BY81*VLOOKUP('Données projet'!$B$12,Paramètres!$A$1:$I$89,3,0)*VLOOKUP('Données projet'!$B$12,Paramètres!$A$1:$I$89,5,0)</f>
        <v>245.82457777777793</v>
      </c>
      <c r="CA81" s="13">
        <f t="shared" si="93"/>
        <v>59.690962473188755</v>
      </c>
      <c r="CB81" s="20">
        <f t="shared" si="64"/>
        <v>532.1062326037669</v>
      </c>
      <c r="CC81" s="59">
        <f t="shared" si="65"/>
        <v>802.02967063819312</v>
      </c>
      <c r="CD81" s="59">
        <f ca="1">AVERAGE(OFFSET($CC$3,0,0,'Données projet'!$E$12+1,1))-AVERAGE(OFFSET($H$3,0,0,'Données projet'!$E$12+1,1))</f>
        <v>439.09551305860475</v>
      </c>
      <c r="CE81" s="59">
        <f t="shared" si="94"/>
        <v>311.31528017256846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20.824665594708684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20.824665594708684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7.8425925925925934</v>
      </c>
      <c r="CT81" s="12">
        <f>IF('Données projet'!$A$140&gt;35,CT80+CS81-DB80,IF(A81&lt;'Données projet'!$A$140,$CQ$205^A81,IF(A81='Données projet'!$A$140,'Données projet'!$B$140,CT80+CS81-DB80)))</f>
        <v>258.32763532763551</v>
      </c>
      <c r="CU81" s="17">
        <f>CT81*VLOOKUP('Données projet'!$B$13,Paramètres!$A$1:$I$89,3,0)*VLOOKUP('Données projet'!$B$13,Paramètres!$A$1:$I$89,5,0)</f>
        <v>249.85448888888908</v>
      </c>
      <c r="CV81" s="13">
        <f t="shared" si="95"/>
        <v>60.554780782197525</v>
      </c>
      <c r="CW81" s="20">
        <f t="shared" si="67"/>
        <v>540.62947801047574</v>
      </c>
      <c r="CX81" s="59">
        <f t="shared" si="68"/>
        <v>810.55291604490196</v>
      </c>
      <c r="CY81" s="59">
        <f ca="1">AVERAGE(OFFSET($CX$3,0,0,'Données projet'!$E$13+1,1))-AVERAGE(OFFSET($H$3,0,0,'Données projet'!$E$13+1,1))</f>
        <v>445.01146841309549</v>
      </c>
      <c r="CZ81" s="59">
        <f t="shared" si="96"/>
        <v>315.40159257508969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21.166053555277681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21.166053555277681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-1.1368683772161603E-13</v>
      </c>
      <c r="DP81" s="17">
        <f>DO81*VLOOKUP('Données projet'!$B$14,Paramètres!$A$1:$I$89,3,0)*VLOOKUP('Données projet'!$B$14,Paramètres!$A$1:$I$89,5,0)</f>
        <v>-6.3550942286383367E-14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349.00268383833668</v>
      </c>
      <c r="DU81" s="59">
        <f t="shared" si="98"/>
        <v>459.94854391583749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143.73071361143315</v>
      </c>
      <c r="EB81" s="21">
        <f>EXP(-LN(2)/25)*EB80+(1-EXP(-LN(2)/25))/(LN(2)/25)*Calculateur!DW81*Calculateur!DY81*VLOOKUP('Données projet'!$B$14,Paramètres!$A$1:$I$89,3,0)*0.475*44/12</f>
        <v>30.446178722631792</v>
      </c>
      <c r="EC81" s="21">
        <f>EXP(-LN(2)/2)*EC80+(1-EXP(-LN(2)/2))/(LN(2)/2)*DW81*DZ81*VLOOKUP('Données projet'!$B$14,Paramètres!$A$1:$I$89,3,0)*0.475*44/12</f>
        <v>1.1794770368888227E-2</v>
      </c>
      <c r="ED81" s="22">
        <f t="shared" si="72"/>
        <v>174.18868710443382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1.7053025658242404E-13</v>
      </c>
      <c r="EK81" s="17">
        <f>EJ81*VLOOKUP('Données projet'!$B$15,Paramètres!$A$1:$I$89,3,0)*VLOOKUP('Données projet'!$B$15,Paramètres!$A$1:$I$89,5,0)</f>
        <v>1.3301360013429075E-13</v>
      </c>
      <c r="EL81" s="13">
        <f t="shared" si="99"/>
        <v>1.9329766731057041E-12</v>
      </c>
      <c r="EM81" s="20">
        <f t="shared" si="73"/>
        <v>3.5982663925596575E-12</v>
      </c>
      <c r="EN81" s="59">
        <f t="shared" si="74"/>
        <v>269.92343803442981</v>
      </c>
      <c r="EO81" s="59">
        <f ca="1">AVERAGE(OFFSET($EN$3,0,0,'Données projet'!$E$15+1,1))-AVERAGE(OFFSET($H$3,0,0,'Données projet'!$E$15+1,1))</f>
        <v>308.82719216177946</v>
      </c>
      <c r="EP81" s="59">
        <f t="shared" si="100"/>
        <v>302.59481222418219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67.888040512513825</v>
      </c>
      <c r="EW81" s="21">
        <f>EXP(-LN(2)/25)*EW80+(1-EXP(-LN(2)/25))/(LN(2)/25)*Calculateur!ER81*Calculateur!ET81*VLOOKUP('Données projet'!$B$15,Paramètres!$A$1:$I$89,3,0)*0.475*44/12</f>
        <v>53.146457990264167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121.03449850277799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791.87001476913679</v>
      </c>
      <c r="S82" s="59">
        <f ca="1">AVERAGE(OFFSET($R$3,0,0,'Données projet'!$E$9+1,1))-AVERAGE(OFFSET($H$3,0,0,'Données projet'!$E$9+1,1))</f>
        <v>421.33534980160005</v>
      </c>
      <c r="T82" s="59">
        <f t="shared" si="88"/>
        <v>299.0473530693472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7.8425925925925934</v>
      </c>
      <c r="AI82" s="13">
        <f>IF('Données projet'!$A$62&gt;35,AI81+AH82-AQ81,IF(A82&lt;'Données projet'!$A$62,$AF$205^A82,IF(A82='Données projet'!$A$62,'Données projet'!$B$62,AI81+AH82-AQ81)))</f>
        <v>266.17022792022811</v>
      </c>
      <c r="AJ82" s="13">
        <f>AI82*VLOOKUP('Données projet'!$B$10,Paramètres!$A$1:$I$89,3,0)*VLOOKUP('Données projet'!$B$10,Paramètres!$A$1:$I$89,5,0)</f>
        <v>269.89661111111133</v>
      </c>
      <c r="AK82" s="13">
        <f t="shared" si="89"/>
        <v>64.82732706719186</v>
      </c>
      <c r="AL82" s="20">
        <f t="shared" si="58"/>
        <v>582.97752566054464</v>
      </c>
      <c r="AM82" s="59">
        <f t="shared" si="59"/>
        <v>853.30707304172165</v>
      </c>
      <c r="AN82" s="59">
        <f ca="1">AVERAGE(OFFSET($AM$3,0,0,'Données projet'!$E$10+1,1))-AVERAGE(OFFSET($H$3,0,0,'Données projet'!$E$10+1,1))</f>
        <v>462.74754756814662</v>
      </c>
      <c r="AO82" s="59">
        <f t="shared" si="90"/>
        <v>327.65191293226667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21.755080807741592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21.755080807741592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7.8425925925925934</v>
      </c>
      <c r="BD82" s="12">
        <f>IF('Données projet'!$A$88&gt;35,BD81+BC82-BL81,IF(A82&lt;'Données projet'!$A$88,$BA$205^A82,IF(A82='Données projet'!$A$88,'Données projet'!$B$88,BD81+BC82-BL81)))</f>
        <v>266.17022792022811</v>
      </c>
      <c r="BE82" s="13">
        <f>BD82*VLOOKUP('Données projet'!$B$11,Paramètres!$A$1:$I$89,3,0)*VLOOKUP('Données projet'!$B$11,Paramètres!$A$1:$I$89,5,0)</f>
        <v>178.54698888888902</v>
      </c>
      <c r="BF82" s="13">
        <f t="shared" si="91"/>
        <v>44.998765632661168</v>
      </c>
      <c r="BG82" s="20">
        <f t="shared" si="61"/>
        <v>389.3421891250332</v>
      </c>
      <c r="BH82" s="59">
        <f t="shared" si="62"/>
        <v>659.67173650621021</v>
      </c>
      <c r="BI82" s="59">
        <f ca="1">AVERAGE(OFFSET($BH$3,0,0,'Données projet'!$E$11+1,1))-AVERAGE(OFFSET($H$3,0,0,'Données projet'!$E$11+1,1))</f>
        <v>332.21938212432008</v>
      </c>
      <c r="BJ82" s="59">
        <f t="shared" si="92"/>
        <v>237.47732529948181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17.738758197081605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17.738758197081605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7.8425925925925934</v>
      </c>
      <c r="BY82" s="12">
        <f>IF('Données projet'!$A$114&gt;35,BY81+BX82-CG81,IF(A82&lt;'Données projet'!$A$114,$BV$205^A82,IF(A82='Données projet'!$A$114,'Données projet'!$B$114,BY81+BX82-CG81)))</f>
        <v>266.17022792022811</v>
      </c>
      <c r="BZ82" s="13">
        <f>BY82*VLOOKUP('Données projet'!$B$12,Paramètres!$A$1:$I$89,3,0)*VLOOKUP('Données projet'!$B$12,Paramètres!$A$1:$I$89,5,0)</f>
        <v>253.28758888888908</v>
      </c>
      <c r="CA82" s="13">
        <f t="shared" si="93"/>
        <v>61.289392353595275</v>
      </c>
      <c r="CB82" s="20">
        <f t="shared" si="64"/>
        <v>547.8882423306602</v>
      </c>
      <c r="CC82" s="59">
        <f t="shared" si="65"/>
        <v>818.21778971183721</v>
      </c>
      <c r="CD82" s="59">
        <f ca="1">AVERAGE(OFFSET($CC$3,0,0,'Données projet'!$E$12+1,1))-AVERAGE(OFFSET($H$3,0,0,'Données projet'!$E$12+1,1))</f>
        <v>439.09551305860475</v>
      </c>
      <c r="CE82" s="59">
        <f t="shared" si="94"/>
        <v>311.31528017256846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20.416306604188261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20.416306604188261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7.8425925925925934</v>
      </c>
      <c r="CT82" s="12">
        <f>IF('Données projet'!$A$140&gt;35,CT81+CS82-DB81,IF(A82&lt;'Données projet'!$A$140,$CQ$205^A82,IF(A82='Données projet'!$A$140,'Données projet'!$B$140,CT81+CS82-DB81)))</f>
        <v>266.17022792022811</v>
      </c>
      <c r="CU82" s="17">
        <f>CT82*VLOOKUP('Données projet'!$B$13,Paramètres!$A$1:$I$89,3,0)*VLOOKUP('Données projet'!$B$13,Paramètres!$A$1:$I$89,5,0)</f>
        <v>257.43984444444465</v>
      </c>
      <c r="CV82" s="13">
        <f t="shared" si="95"/>
        <v>62.176342355228016</v>
      </c>
      <c r="CW82" s="20">
        <f t="shared" si="67"/>
        <v>556.66485867609651</v>
      </c>
      <c r="CX82" s="59">
        <f t="shared" si="68"/>
        <v>826.99440605727341</v>
      </c>
      <c r="CY82" s="59">
        <f ca="1">AVERAGE(OFFSET($CX$3,0,0,'Données projet'!$E$13+1,1))-AVERAGE(OFFSET($H$3,0,0,'Données projet'!$E$13+1,1))</f>
        <v>445.01146841309549</v>
      </c>
      <c r="CZ82" s="59">
        <f t="shared" si="96"/>
        <v>315.40159257508969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20.751000155076596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20.751000155076596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-1.1368683772161603E-13</v>
      </c>
      <c r="DP82" s="17">
        <f>DO82*VLOOKUP('Données projet'!$B$14,Paramètres!$A$1:$I$89,3,0)*VLOOKUP('Données projet'!$B$14,Paramètres!$A$1:$I$89,5,0)</f>
        <v>-6.3550942286383367E-14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349.00268383833668</v>
      </c>
      <c r="DU82" s="59">
        <f t="shared" si="98"/>
        <v>459.94854391583749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140.91224198459184</v>
      </c>
      <c r="EB82" s="21">
        <f>EXP(-LN(2)/25)*EB81+(1-EXP(-LN(2)/25))/(LN(2)/25)*Calculateur!DW82*Calculateur!DY82*VLOOKUP('Données projet'!$B$14,Paramètres!$A$1:$I$89,3,0)*0.475*44/12</f>
        <v>29.613626364366471</v>
      </c>
      <c r="EC82" s="21">
        <f>EXP(-LN(2)/2)*EC81+(1-EXP(-LN(2)/2))/(LN(2)/2)*DW82*DZ82*VLOOKUP('Données projet'!$B$14,Paramètres!$A$1:$I$89,3,0)*0.475*44/12</f>
        <v>8.3401621103790218E-3</v>
      </c>
      <c r="ED82" s="22">
        <f t="shared" si="72"/>
        <v>170.5342085110687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1.7053025658242404E-13</v>
      </c>
      <c r="EK82" s="17">
        <f>EJ82*VLOOKUP('Données projet'!$B$15,Paramètres!$A$1:$I$89,3,0)*VLOOKUP('Données projet'!$B$15,Paramètres!$A$1:$I$89,5,0)</f>
        <v>1.3301360013429075E-13</v>
      </c>
      <c r="EL82" s="13">
        <f t="shared" si="99"/>
        <v>1.9329766731057041E-12</v>
      </c>
      <c r="EM82" s="20">
        <f t="shared" si="73"/>
        <v>3.5982663925596575E-12</v>
      </c>
      <c r="EN82" s="59">
        <f t="shared" si="74"/>
        <v>270.32954738118053</v>
      </c>
      <c r="EO82" s="59">
        <f ca="1">AVERAGE(OFFSET($EN$3,0,0,'Données projet'!$E$15+1,1))-AVERAGE(OFFSET($H$3,0,0,'Données projet'!$E$15+1,1))</f>
        <v>308.82719216177946</v>
      </c>
      <c r="EP82" s="59">
        <f t="shared" si="100"/>
        <v>302.59481222418219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66.556797445679479</v>
      </c>
      <c r="EW82" s="21">
        <f>EXP(-LN(2)/25)*EW81+(1-EXP(-LN(2)/25))/(LN(2)/25)*Calculateur!ER82*Calculateur!ET82*VLOOKUP('Données projet'!$B$15,Paramètres!$A$1:$I$89,3,0)*0.475*44/12</f>
        <v>51.693165301669637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118.24996274734912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807.28139081520931</v>
      </c>
      <c r="S83" s="59">
        <f ca="1">AVERAGE(OFFSET($R$3,0,0,'Données projet'!$E$9+1,1))-AVERAGE(OFFSET($H$3,0,0,'Données projet'!$E$9+1,1))</f>
        <v>421.33534980160005</v>
      </c>
      <c r="T83" s="59">
        <f t="shared" si="88"/>
        <v>299.0473530693472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274.01282051282055</v>
      </c>
      <c r="AG83" s="12">
        <f>VLOOKUP(A83,'Données projet'!$A$61:$I$81,9,0)</f>
        <v>7.8425925925925934</v>
      </c>
      <c r="AH83" s="12">
        <f t="array" ref="AH83">INDEX(AG:AG,MIN(IF(ISNUMBER(AG83:AG279),ROW(AG83:AG279),"")))</f>
        <v>7.8425925925925934</v>
      </c>
      <c r="AI83" s="13">
        <f>IF('Données projet'!$A$62&gt;35,AI82+AH83-AQ82,IF(A83&lt;'Données projet'!$A$62,$AF$205^A83,IF(A83='Données projet'!$A$62,'Données projet'!$B$62,AI82+AH83-AQ82)))</f>
        <v>274.01282051282072</v>
      </c>
      <c r="AJ83" s="13">
        <f>AI83*VLOOKUP('Données projet'!$B$10,Paramètres!$A$1:$I$89,3,0)*VLOOKUP('Données projet'!$B$10,Paramètres!$A$1:$I$89,5,0)</f>
        <v>277.84900000000027</v>
      </c>
      <c r="AK83" s="13">
        <f t="shared" si="89"/>
        <v>66.512236926053845</v>
      </c>
      <c r="AL83" s="20">
        <f t="shared" si="58"/>
        <v>599.76248764621096</v>
      </c>
      <c r="AM83" s="59">
        <f t="shared" si="59"/>
        <v>870.49109928489702</v>
      </c>
      <c r="AN83" s="59">
        <f ca="1">AVERAGE(OFFSET($AM$3,0,0,'Données projet'!$E$10+1,1))-AVERAGE(OFFSET($H$3,0,0,'Données projet'!$E$10+1,1))</f>
        <v>462.74754756814662</v>
      </c>
      <c r="AO83" s="59">
        <f t="shared" si="90"/>
        <v>327.65191293226667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45.608974358974358</v>
      </c>
      <c r="AR83" s="16">
        <f>IF(ISNA(VLOOKUP(A83,'Données projet'!$A$61:$I$81,5,0)),0%,VLOOKUP(A83,'Données projet'!$A$61:$I$81,5,0)*VLOOKUP('Données projet'!$B$10,Paramètres!$A$1:$I$89,7,0))</f>
        <v>0.30099999999999999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36.717174597003321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36.717174597003321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274.01282051282055</v>
      </c>
      <c r="BB83" s="12">
        <f>VLOOKUP(A83,'Données projet'!$A$87:$I$107,9,0)</f>
        <v>7.8425925925925934</v>
      </c>
      <c r="BC83" s="12">
        <f t="array" ref="BC83">INDEX(BB:BB,MIN(IF(ISNUMBER(BB83:BB279),ROW(BB83:BB279),"")))</f>
        <v>7.8425925925925934</v>
      </c>
      <c r="BD83" s="12">
        <f>IF('Données projet'!$A$88&gt;35,BD82+BC83-BL82,IF(A83&lt;'Données projet'!$A$88,$BA$205^A83,IF(A83='Données projet'!$A$88,'Données projet'!$B$88,BD82+BC83-BL82)))</f>
        <v>274.01282051282072</v>
      </c>
      <c r="BE83" s="13">
        <f>BD83*VLOOKUP('Données projet'!$B$11,Paramètres!$A$1:$I$89,3,0)*VLOOKUP('Données projet'!$B$11,Paramètres!$A$1:$I$89,5,0)</f>
        <v>183.80780000000016</v>
      </c>
      <c r="BF83" s="13">
        <f t="shared" si="91"/>
        <v>46.168316611872598</v>
      </c>
      <c r="BG83" s="20">
        <f t="shared" si="61"/>
        <v>400.54173643234503</v>
      </c>
      <c r="BH83" s="59">
        <f t="shared" si="62"/>
        <v>671.27034807103109</v>
      </c>
      <c r="BI83" s="59">
        <f ca="1">AVERAGE(OFFSET($BH$3,0,0,'Données projet'!$E$11+1,1))-AVERAGE(OFFSET($H$3,0,0,'Données projet'!$E$11+1,1))</f>
        <v>332.21938212432008</v>
      </c>
      <c r="BJ83" s="59">
        <f t="shared" si="92"/>
        <v>237.47732529948181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45.608974358974358</v>
      </c>
      <c r="BM83" s="16">
        <f>IF(ISNA(VLOOKUP(A83,'Données projet'!$A$87:$I$107,5,0)),0%,VLOOKUP(A83,'Données projet'!$A$87:$I$107,5,0)*VLOOKUP('Données projet'!$B$11,Paramètres!$A$1:$I$89,7,0))</f>
        <v>0.371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29.938619286787322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29.938619286787322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274.01282051282055</v>
      </c>
      <c r="BW83" s="12">
        <f>VLOOKUP(A83,'Données projet'!$A$113:$I$133,9,0)</f>
        <v>7.8425925925925934</v>
      </c>
      <c r="BX83" s="12">
        <f t="array" ref="BX83">INDEX(BW:BW,MIN(IF(ISNUMBER(BW83:BW279),ROW(BW83:BW279),"")))</f>
        <v>7.8425925925925934</v>
      </c>
      <c r="BY83" s="12">
        <f>IF('Données projet'!$A$114&gt;35,BY82+BX83-CG82,IF(A83&lt;'Données projet'!$A$114,$BV$205^A83,IF(A83='Données projet'!$A$114,'Données projet'!$B$114,BY82+BX83-CG82)))</f>
        <v>274.01282051282072</v>
      </c>
      <c r="BZ83" s="13">
        <f>BY83*VLOOKUP('Données projet'!$B$12,Paramètres!$A$1:$I$89,3,0)*VLOOKUP('Données projet'!$B$12,Paramètres!$A$1:$I$89,5,0)</f>
        <v>260.75060000000019</v>
      </c>
      <c r="CA83" s="13">
        <f t="shared" si="93"/>
        <v>62.882348689943989</v>
      </c>
      <c r="CB83" s="20">
        <f t="shared" si="64"/>
        <v>563.66071896831943</v>
      </c>
      <c r="CC83" s="59">
        <f t="shared" si="65"/>
        <v>834.3893306070056</v>
      </c>
      <c r="CD83" s="59">
        <f ca="1">AVERAGE(OFFSET($CC$3,0,0,'Données projet'!$E$12+1,1))-AVERAGE(OFFSET($H$3,0,0,'Données projet'!$E$12+1,1))</f>
        <v>439.09551305860475</v>
      </c>
      <c r="CE83" s="59">
        <f t="shared" si="94"/>
        <v>311.31528017256846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45.608974358974358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34.457656160264648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34.457656160264648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274.01282051282055</v>
      </c>
      <c r="CR83" s="12">
        <f>VLOOKUP(A83,'Données projet'!$A$139:$I$159,9,0)</f>
        <v>7.8425925925925934</v>
      </c>
      <c r="CS83" s="12">
        <f t="array" ref="CS83">INDEX(CR:CR,MIN(IF(ISNUMBER(CR83:CR279),ROW(CR83:CR279),"")))</f>
        <v>7.8425925925925934</v>
      </c>
      <c r="CT83" s="12">
        <f>IF('Données projet'!$A$140&gt;35,CT82+CS83-DB82,IF(A83&lt;'Données projet'!$A$140,$CQ$205^A83,IF(A83='Données projet'!$A$140,'Données projet'!$B$140,CT82+CS83-DB82)))</f>
        <v>274.01282051282072</v>
      </c>
      <c r="CU83" s="17">
        <f>CT83*VLOOKUP('Données projet'!$B$13,Paramètres!$A$1:$I$89,3,0)*VLOOKUP('Données projet'!$B$13,Paramètres!$A$1:$I$89,5,0)</f>
        <v>265.02520000000021</v>
      </c>
      <c r="CV83" s="13">
        <f t="shared" si="95"/>
        <v>63.792351173757886</v>
      </c>
      <c r="CW83" s="20">
        <f t="shared" si="67"/>
        <v>572.6905682942953</v>
      </c>
      <c r="CX83" s="59">
        <f t="shared" si="68"/>
        <v>843.41917993298148</v>
      </c>
      <c r="CY83" s="59">
        <f ca="1">AVERAGE(OFFSET($CX$3,0,0,'Données projet'!$E$13+1,1))-AVERAGE(OFFSET($H$3,0,0,'Données projet'!$E$13+1,1))</f>
        <v>445.01146841309549</v>
      </c>
      <c r="CZ83" s="59">
        <f t="shared" si="96"/>
        <v>315.40159257508969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45.608974358974358</v>
      </c>
      <c r="DC83" s="16">
        <f>IF(ISNA(VLOOKUP(A83,'Données projet'!$A$139:$I$159,5,0)),0%,VLOOKUP(A83,'Données projet'!$A$139:$I$159,5,0)*VLOOKUP('Données projet'!$B$13,Paramètres!$A$1:$I$89,7,0))</f>
        <v>0.30099999999999999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35.02253576944932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35.02253576944932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-1.1368683772161603E-13</v>
      </c>
      <c r="DP83" s="17">
        <f>DO83*VLOOKUP('Données projet'!$B$14,Paramètres!$A$1:$I$89,3,0)*VLOOKUP('Données projet'!$B$14,Paramètres!$A$1:$I$89,5,0)</f>
        <v>-6.3550942286383367E-14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349.00268383833668</v>
      </c>
      <c r="DU83" s="59">
        <f t="shared" si="98"/>
        <v>459.94854391583749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138.14903886725494</v>
      </c>
      <c r="EB83" s="21">
        <f>EXP(-LN(2)/25)*EB82+(1-EXP(-LN(2)/25))/(LN(2)/25)*Calculateur!DW83*Calculateur!DY83*VLOOKUP('Données projet'!$B$14,Paramètres!$A$1:$I$89,3,0)*0.475*44/12</f>
        <v>28.803840194119942</v>
      </c>
      <c r="EC83" s="21">
        <f>EXP(-LN(2)/2)*EC82+(1-EXP(-LN(2)/2))/(LN(2)/2)*DW83*DZ83*VLOOKUP('Données projet'!$B$14,Paramètres!$A$1:$I$89,3,0)*0.475*44/12</f>
        <v>5.8973851844441134E-3</v>
      </c>
      <c r="ED83" s="22">
        <f t="shared" si="72"/>
        <v>166.95877644655934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1.7053025658242404E-13</v>
      </c>
      <c r="EK83" s="17">
        <f>EJ83*VLOOKUP('Données projet'!$B$15,Paramètres!$A$1:$I$89,3,0)*VLOOKUP('Données projet'!$B$15,Paramètres!$A$1:$I$89,5,0)</f>
        <v>1.3301360013429075E-13</v>
      </c>
      <c r="EL83" s="13">
        <f t="shared" si="99"/>
        <v>1.9329766731057041E-12</v>
      </c>
      <c r="EM83" s="20">
        <f t="shared" si="73"/>
        <v>3.5982663925596575E-12</v>
      </c>
      <c r="EN83" s="59">
        <f t="shared" si="74"/>
        <v>270.7286116386897</v>
      </c>
      <c r="EO83" s="59">
        <f ca="1">AVERAGE(OFFSET($EN$3,0,0,'Données projet'!$E$15+1,1))-AVERAGE(OFFSET($H$3,0,0,'Données projet'!$E$15+1,1))</f>
        <v>308.82719216177946</v>
      </c>
      <c r="EP83" s="59">
        <f t="shared" si="100"/>
        <v>302.59481222418219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65.251659243407659</v>
      </c>
      <c r="EW83" s="21">
        <f>EXP(-LN(2)/25)*EW82+(1-EXP(-LN(2)/25))/(LN(2)/25)*Calculateur!ER83*Calculateur!ET83*VLOOKUP('Données projet'!$B$15,Paramètres!$A$1:$I$89,3,0)*0.475*44/12</f>
        <v>50.279612978070062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115.53127222147772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734.627315626106</v>
      </c>
      <c r="S84" s="59">
        <f ca="1">AVERAGE(OFFSET($R$3,0,0,'Données projet'!$E$9+1,1))-AVERAGE(OFFSET($H$3,0,0,'Données projet'!$E$9+1,1))</f>
        <v>421.33534980160005</v>
      </c>
      <c r="T84" s="59">
        <f t="shared" si="88"/>
        <v>299.0473530693472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7.4950142450142421</v>
      </c>
      <c r="AI84" s="13">
        <f>IF('Données projet'!$A$62&gt;35,AI83+AH84-AQ83,IF(A84&lt;'Données projet'!$A$62,$AF$205^A84,IF(A84='Données projet'!$A$62,'Données projet'!$B$62,AI83+AH84-AQ83)))</f>
        <v>235.89886039886062</v>
      </c>
      <c r="AJ84" s="13">
        <f>AI84*VLOOKUP('Données projet'!$B$10,Paramètres!$A$1:$I$89,3,0)*VLOOKUP('Données projet'!$B$10,Paramètres!$A$1:$I$89,5,0)</f>
        <v>239.20144444444466</v>
      </c>
      <c r="AK84" s="13">
        <f t="shared" si="89"/>
        <v>58.267684051527382</v>
      </c>
      <c r="AL84" s="20">
        <f t="shared" si="58"/>
        <v>518.0920654638179</v>
      </c>
      <c r="AM84" s="59">
        <f t="shared" si="59"/>
        <v>789.21281848731928</v>
      </c>
      <c r="AN84" s="59">
        <f ca="1">AVERAGE(OFFSET($AM$3,0,0,'Données projet'!$E$10+1,1))-AVERAGE(OFFSET($H$3,0,0,'Données projet'!$E$10+1,1))</f>
        <v>462.74754756814662</v>
      </c>
      <c r="AO84" s="59">
        <f t="shared" si="90"/>
        <v>327.65191293226667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35.997173198421244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35.997173198421244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7.4950142450142421</v>
      </c>
      <c r="BD84" s="12">
        <f>IF('Données projet'!$A$88&gt;35,BD83+BC84-BL83,IF(A84&lt;'Données projet'!$A$88,$BA$205^A84,IF(A84='Données projet'!$A$88,'Données projet'!$B$88,BD83+BC84-BL83)))</f>
        <v>235.89886039886062</v>
      </c>
      <c r="BE84" s="13">
        <f>BD84*VLOOKUP('Données projet'!$B$11,Paramètres!$A$1:$I$89,3,0)*VLOOKUP('Données projet'!$B$11,Paramètres!$A$1:$I$89,5,0)</f>
        <v>158.2409555555557</v>
      </c>
      <c r="BF84" s="13">
        <f t="shared" si="91"/>
        <v>40.445503111288602</v>
      </c>
      <c r="BG84" s="20">
        <f t="shared" si="61"/>
        <v>346.04558217808716</v>
      </c>
      <c r="BH84" s="59">
        <f t="shared" si="62"/>
        <v>617.16633520158859</v>
      </c>
      <c r="BI84" s="59">
        <f ca="1">AVERAGE(OFFSET($BH$3,0,0,'Données projet'!$E$11+1,1))-AVERAGE(OFFSET($H$3,0,0,'Données projet'!$E$11+1,1))</f>
        <v>332.21938212432008</v>
      </c>
      <c r="BJ84" s="59">
        <f t="shared" si="92"/>
        <v>237.47732529948181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29.351541223328088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29.351541223328088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7.4950142450142421</v>
      </c>
      <c r="BY84" s="12">
        <f>IF('Données projet'!$A$114&gt;35,BY83+BX84-CG83,IF(A84&lt;'Données projet'!$A$114,$BV$205^A84,IF(A84='Données projet'!$A$114,'Données projet'!$B$114,BY83+BX84-CG83)))</f>
        <v>235.89886039886062</v>
      </c>
      <c r="BZ84" s="13">
        <f>BY84*VLOOKUP('Données projet'!$B$12,Paramètres!$A$1:$I$89,3,0)*VLOOKUP('Données projet'!$B$12,Paramètres!$A$1:$I$89,5,0)</f>
        <v>224.48135555555575</v>
      </c>
      <c r="CA84" s="13">
        <f t="shared" si="93"/>
        <v>55.087740169634642</v>
      </c>
      <c r="CB84" s="20">
        <f t="shared" si="64"/>
        <v>486.91617505470657</v>
      </c>
      <c r="CC84" s="59">
        <f t="shared" si="65"/>
        <v>758.03692807820801</v>
      </c>
      <c r="CD84" s="59">
        <f ca="1">AVERAGE(OFFSET($CC$3,0,0,'Données projet'!$E$12+1,1))-AVERAGE(OFFSET($H$3,0,0,'Données projet'!$E$12+1,1))</f>
        <v>439.09551305860475</v>
      </c>
      <c r="CE84" s="59">
        <f t="shared" si="94"/>
        <v>311.31528017256846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33.781962540056853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33.781962540056853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7.4950142450142421</v>
      </c>
      <c r="CT84" s="12">
        <f>IF('Données projet'!$A$140&gt;35,CT83+CS84-DB83,IF(A84&lt;'Données projet'!$A$140,$CQ$205^A84,IF(A84='Données projet'!$A$140,'Données projet'!$B$140,CT83+CS84-DB83)))</f>
        <v>235.89886039886062</v>
      </c>
      <c r="CU84" s="17">
        <f>CT84*VLOOKUP('Données projet'!$B$13,Paramètres!$A$1:$I$89,3,0)*VLOOKUP('Données projet'!$B$13,Paramètres!$A$1:$I$89,5,0)</f>
        <v>228.161377777778</v>
      </c>
      <c r="CV84" s="13">
        <f t="shared" si="95"/>
        <v>55.884942905003825</v>
      </c>
      <c r="CW84" s="20">
        <f t="shared" si="67"/>
        <v>494.71400852251162</v>
      </c>
      <c r="CX84" s="59">
        <f t="shared" si="68"/>
        <v>765.83476154601306</v>
      </c>
      <c r="CY84" s="59">
        <f ca="1">AVERAGE(OFFSET($CX$3,0,0,'Données projet'!$E$13+1,1))-AVERAGE(OFFSET($H$3,0,0,'Données projet'!$E$13+1,1))</f>
        <v>445.01146841309549</v>
      </c>
      <c r="CZ84" s="59">
        <f t="shared" si="96"/>
        <v>315.40159257508969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34.335765204647949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34.335765204647949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-1.1368683772161603E-13</v>
      </c>
      <c r="DP84" s="17">
        <f>DO84*VLOOKUP('Données projet'!$B$14,Paramètres!$A$1:$I$89,3,0)*VLOOKUP('Données projet'!$B$14,Paramètres!$A$1:$I$89,5,0)</f>
        <v>-6.3550942286383367E-14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349.00268383833668</v>
      </c>
      <c r="DU84" s="59">
        <f t="shared" si="98"/>
        <v>459.94854391583749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135.44002047766153</v>
      </c>
      <c r="EB84" s="21">
        <f>EXP(-LN(2)/25)*EB83+(1-EXP(-LN(2)/25))/(LN(2)/25)*Calculateur!DW84*Calculateur!DY84*VLOOKUP('Données projet'!$B$14,Paramètres!$A$1:$I$89,3,0)*0.475*44/12</f>
        <v>28.01619766928361</v>
      </c>
      <c r="EC84" s="21">
        <f>EXP(-LN(2)/2)*EC83+(1-EXP(-LN(2)/2))/(LN(2)/2)*DW84*DZ84*VLOOKUP('Données projet'!$B$14,Paramètres!$A$1:$I$89,3,0)*0.475*44/12</f>
        <v>4.1700810551895109E-3</v>
      </c>
      <c r="ED84" s="22">
        <f t="shared" si="72"/>
        <v>163.46038822800031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1.7053025658242404E-13</v>
      </c>
      <c r="EK84" s="17">
        <f>EJ84*VLOOKUP('Données projet'!$B$15,Paramètres!$A$1:$I$89,3,0)*VLOOKUP('Données projet'!$B$15,Paramètres!$A$1:$I$89,5,0)</f>
        <v>1.3301360013429075E-13</v>
      </c>
      <c r="EL84" s="13">
        <f t="shared" si="99"/>
        <v>1.9329766731057041E-12</v>
      </c>
      <c r="EM84" s="20">
        <f t="shared" si="73"/>
        <v>3.5982663925596575E-12</v>
      </c>
      <c r="EN84" s="59">
        <f t="shared" si="74"/>
        <v>271.12075302350502</v>
      </c>
      <c r="EO84" s="59">
        <f ca="1">AVERAGE(OFFSET($EN$3,0,0,'Données projet'!$E$15+1,1))-AVERAGE(OFFSET($H$3,0,0,'Données projet'!$E$15+1,1))</f>
        <v>308.82719216177946</v>
      </c>
      <c r="EP84" s="59">
        <f t="shared" si="100"/>
        <v>302.59481222418219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63.972114005226693</v>
      </c>
      <c r="EW84" s="21">
        <f>EXP(-LN(2)/25)*EW83+(1-EXP(-LN(2)/25))/(LN(2)/25)*Calculateur!ER84*Calculateur!ET84*VLOOKUP('Données projet'!$B$15,Paramètres!$A$1:$I$89,3,0)*0.475*44/12</f>
        <v>48.904714317094808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112.8768283223215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749.39518147935985</v>
      </c>
      <c r="S85" s="59">
        <f ca="1">AVERAGE(OFFSET($R$3,0,0,'Données projet'!$E$9+1,1))-AVERAGE(OFFSET($H$3,0,0,'Données projet'!$E$9+1,1))</f>
        <v>421.33534980160005</v>
      </c>
      <c r="T85" s="59">
        <f t="shared" si="88"/>
        <v>299.0473530693472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7.4950142450142421</v>
      </c>
      <c r="AI85" s="13">
        <f>IF('Données projet'!$A$62&gt;35,AI84+AH85-AQ84,IF(A85&lt;'Données projet'!$A$62,$AF$205^A85,IF(A85='Données projet'!$A$62,'Données projet'!$B$62,AI84+AH85-AQ84)))</f>
        <v>243.39387464387485</v>
      </c>
      <c r="AJ85" s="13">
        <f>AI85*VLOOKUP('Données projet'!$B$10,Paramètres!$A$1:$I$89,3,0)*VLOOKUP('Données projet'!$B$10,Paramètres!$A$1:$I$89,5,0)</f>
        <v>246.80138888888911</v>
      </c>
      <c r="AK85" s="13">
        <f t="shared" si="89"/>
        <v>59.900493951858735</v>
      </c>
      <c r="AL85" s="20">
        <f t="shared" si="58"/>
        <v>534.17244594763577</v>
      </c>
      <c r="AM85" s="59">
        <f t="shared" si="59"/>
        <v>805.6785375796228</v>
      </c>
      <c r="AN85" s="59">
        <f ca="1">AVERAGE(OFFSET($AM$3,0,0,'Données projet'!$E$10+1,1))-AVERAGE(OFFSET($H$3,0,0,'Données projet'!$E$10+1,1))</f>
        <v>462.74754756814662</v>
      </c>
      <c r="AO85" s="59">
        <f t="shared" si="90"/>
        <v>327.65191293226667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35.29129058810787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35.29129058810787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7.4950142450142421</v>
      </c>
      <c r="BD85" s="12">
        <f>IF('Données projet'!$A$88&gt;35,BD84+BC85-BL84,IF(A85&lt;'Données projet'!$A$88,$BA$205^A85,IF(A85='Données projet'!$A$88,'Données projet'!$B$88,BD84+BC85-BL84)))</f>
        <v>243.39387464387485</v>
      </c>
      <c r="BE85" s="13">
        <f>BD85*VLOOKUP('Données projet'!$B$11,Paramètres!$A$1:$I$89,3,0)*VLOOKUP('Données projet'!$B$11,Paramètres!$A$1:$I$89,5,0)</f>
        <v>163.26861111111126</v>
      </c>
      <c r="BF85" s="13">
        <f t="shared" si="91"/>
        <v>41.578889807172928</v>
      </c>
      <c r="BG85" s="20">
        <f t="shared" si="61"/>
        <v>356.77606409934492</v>
      </c>
      <c r="BH85" s="59">
        <f t="shared" si="62"/>
        <v>628.28215573133195</v>
      </c>
      <c r="BI85" s="59">
        <f ca="1">AVERAGE(OFFSET($BH$3,0,0,'Données projet'!$E$11+1,1))-AVERAGE(OFFSET($H$3,0,0,'Données projet'!$E$11+1,1))</f>
        <v>332.21938212432008</v>
      </c>
      <c r="BJ85" s="59">
        <f t="shared" si="92"/>
        <v>237.47732529948181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28.775975402611028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28.775975402611028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7.4950142450142421</v>
      </c>
      <c r="BY85" s="12">
        <f>IF('Données projet'!$A$114&gt;35,BY84+BX85-CG84,IF(A85&lt;'Données projet'!$A$114,$BV$205^A85,IF(A85='Données projet'!$A$114,'Données projet'!$B$114,BY84+BX85-CG84)))</f>
        <v>243.39387464387485</v>
      </c>
      <c r="BZ85" s="13">
        <f>BY85*VLOOKUP('Données projet'!$B$12,Paramètres!$A$1:$I$89,3,0)*VLOOKUP('Données projet'!$B$12,Paramètres!$A$1:$I$89,5,0)</f>
        <v>231.61361111111131</v>
      </c>
      <c r="CA85" s="13">
        <f t="shared" si="93"/>
        <v>56.631439889299457</v>
      </c>
      <c r="CB85" s="20">
        <f t="shared" si="64"/>
        <v>502.02679715904873</v>
      </c>
      <c r="CC85" s="59">
        <f t="shared" si="65"/>
        <v>773.5328887910357</v>
      </c>
      <c r="CD85" s="59">
        <f ca="1">AVERAGE(OFFSET($CC$3,0,0,'Données projet'!$E$12+1,1))-AVERAGE(OFFSET($H$3,0,0,'Données projet'!$E$12+1,1))</f>
        <v>439.09551305860475</v>
      </c>
      <c r="CE85" s="59">
        <f t="shared" si="94"/>
        <v>311.31528017256846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33.119518859608917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33.119518859608917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7.4950142450142421</v>
      </c>
      <c r="CT85" s="12">
        <f>IF('Données projet'!$A$140&gt;35,CT84+CS85-DB84,IF(A85&lt;'Données projet'!$A$140,$CQ$205^A85,IF(A85='Données projet'!$A$140,'Données projet'!$B$140,CT84+CS85-DB84)))</f>
        <v>243.39387464387485</v>
      </c>
      <c r="CU85" s="17">
        <f>CT85*VLOOKUP('Données projet'!$B$13,Paramètres!$A$1:$I$89,3,0)*VLOOKUP('Données projet'!$B$13,Paramètres!$A$1:$I$89,5,0)</f>
        <v>235.41055555555573</v>
      </c>
      <c r="CV85" s="13">
        <f t="shared" si="95"/>
        <v>57.450982289271202</v>
      </c>
      <c r="CW85" s="20">
        <f t="shared" si="67"/>
        <v>510.06717841307358</v>
      </c>
      <c r="CX85" s="59">
        <f t="shared" si="68"/>
        <v>781.57327004506055</v>
      </c>
      <c r="CY85" s="59">
        <f ca="1">AVERAGE(OFFSET($CX$3,0,0,'Données projet'!$E$13+1,1))-AVERAGE(OFFSET($H$3,0,0,'Données projet'!$E$13+1,1))</f>
        <v>445.01146841309549</v>
      </c>
      <c r="CZ85" s="59">
        <f t="shared" si="96"/>
        <v>315.40159257508969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33.662461791733655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33.662461791733655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-1.1368683772161603E-13</v>
      </c>
      <c r="DP85" s="17">
        <f>DO85*VLOOKUP('Données projet'!$B$14,Paramètres!$A$1:$I$89,3,0)*VLOOKUP('Données projet'!$B$14,Paramètres!$A$1:$I$89,5,0)</f>
        <v>-6.3550942286383367E-14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349.00268383833668</v>
      </c>
      <c r="DU85" s="59">
        <f t="shared" si="98"/>
        <v>459.94854391583749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132.78412428634999</v>
      </c>
      <c r="EB85" s="21">
        <f>EXP(-LN(2)/25)*EB84+(1-EXP(-LN(2)/25))/(LN(2)/25)*Calculateur!DW85*Calculateur!DY85*VLOOKUP('Données projet'!$B$14,Paramètres!$A$1:$I$89,3,0)*0.475*44/12</f>
        <v>27.250093270709247</v>
      </c>
      <c r="EC85" s="21">
        <f>EXP(-LN(2)/2)*EC84+(1-EXP(-LN(2)/2))/(LN(2)/2)*DW85*DZ85*VLOOKUP('Données projet'!$B$14,Paramètres!$A$1:$I$89,3,0)*0.475*44/12</f>
        <v>2.9486925922220567E-3</v>
      </c>
      <c r="ED85" s="22">
        <f t="shared" si="72"/>
        <v>160.03716624965145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1.7053025658242404E-13</v>
      </c>
      <c r="EK85" s="17">
        <f>EJ85*VLOOKUP('Données projet'!$B$15,Paramètres!$A$1:$I$89,3,0)*VLOOKUP('Données projet'!$B$15,Paramètres!$A$1:$I$89,5,0)</f>
        <v>1.3301360013429075E-13</v>
      </c>
      <c r="EL85" s="13">
        <f t="shared" si="99"/>
        <v>1.9329766731057041E-12</v>
      </c>
      <c r="EM85" s="20">
        <f t="shared" si="73"/>
        <v>3.5982663925596575E-12</v>
      </c>
      <c r="EN85" s="59">
        <f t="shared" si="74"/>
        <v>271.50609163199061</v>
      </c>
      <c r="EO85" s="59">
        <f ca="1">AVERAGE(OFFSET($EN$3,0,0,'Données projet'!$E$15+1,1))-AVERAGE(OFFSET($H$3,0,0,'Données projet'!$E$15+1,1))</f>
        <v>308.82719216177946</v>
      </c>
      <c r="EP85" s="59">
        <f t="shared" si="100"/>
        <v>302.59481222418219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62.717659868720922</v>
      </c>
      <c r="EW85" s="21">
        <f>EXP(-LN(2)/25)*EW84+(1-EXP(-LN(2)/25))/(LN(2)/25)*Calculateur!ER85*Calculateur!ET85*VLOOKUP('Données projet'!$B$15,Paramètres!$A$1:$I$89,3,0)*0.475*44/12</f>
        <v>47.567412332306695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110.28507220102762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764.14716049755657</v>
      </c>
      <c r="S86" s="59">
        <f ca="1">AVERAGE(OFFSET($R$3,0,0,'Données projet'!$E$9+1,1))-AVERAGE(OFFSET($H$3,0,0,'Données projet'!$E$9+1,1))</f>
        <v>421.33534980160005</v>
      </c>
      <c r="T86" s="59">
        <f t="shared" si="88"/>
        <v>299.0473530693472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7.4950142450142421</v>
      </c>
      <c r="AI86" s="13">
        <f>IF('Données projet'!$A$62&gt;35,AI85+AH86-AQ85,IF(A86&lt;'Données projet'!$A$62,$AF$205^A86,IF(A86='Données projet'!$A$62,'Données projet'!$B$62,AI85+AH86-AQ85)))</f>
        <v>250.88888888888908</v>
      </c>
      <c r="AJ86" s="13">
        <f>AI86*VLOOKUP('Données projet'!$B$10,Paramètres!$A$1:$I$89,3,0)*VLOOKUP('Données projet'!$B$10,Paramètres!$A$1:$I$89,5,0)</f>
        <v>254.40133333333353</v>
      </c>
      <c r="AK86" s="13">
        <f t="shared" si="89"/>
        <v>61.527460718284608</v>
      </c>
      <c r="AL86" s="20">
        <f t="shared" si="58"/>
        <v>550.24264963990152</v>
      </c>
      <c r="AM86" s="59">
        <f t="shared" si="59"/>
        <v>822.12739511700499</v>
      </c>
      <c r="AN86" s="59">
        <f ca="1">AVERAGE(OFFSET($AM$3,0,0,'Données projet'!$E$10+1,1))-AVERAGE(OFFSET($H$3,0,0,'Données projet'!$E$10+1,1))</f>
        <v>462.74754756814662</v>
      </c>
      <c r="AO86" s="59">
        <f t="shared" si="90"/>
        <v>327.65191293226667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34.59924990523686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34.59924990523686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7.4950142450142421</v>
      </c>
      <c r="BD86" s="12">
        <f>IF('Données projet'!$A$88&gt;35,BD85+BC86-BL85,IF(A86&lt;'Données projet'!$A$88,$BA$205^A86,IF(A86='Données projet'!$A$88,'Données projet'!$B$88,BD85+BC86-BL85)))</f>
        <v>250.88888888888908</v>
      </c>
      <c r="BE86" s="13">
        <f>BD86*VLOOKUP('Données projet'!$B$11,Paramètres!$A$1:$I$89,3,0)*VLOOKUP('Données projet'!$B$11,Paramètres!$A$1:$I$89,5,0)</f>
        <v>168.29626666666681</v>
      </c>
      <c r="BF86" s="13">
        <f t="shared" si="91"/>
        <v>42.708220592917719</v>
      </c>
      <c r="BG86" s="20">
        <f t="shared" si="61"/>
        <v>367.49948197710972</v>
      </c>
      <c r="BH86" s="59">
        <f t="shared" si="62"/>
        <v>639.38422745421326</v>
      </c>
      <c r="BI86" s="59">
        <f ca="1">AVERAGE(OFFSET($BH$3,0,0,'Données projet'!$E$11+1,1))-AVERAGE(OFFSET($H$3,0,0,'Données projet'!$E$11+1,1))</f>
        <v>332.21938212432008</v>
      </c>
      <c r="BJ86" s="59">
        <f t="shared" si="92"/>
        <v>237.47732529948181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28.211696076577745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28.211696076577745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7.4950142450142421</v>
      </c>
      <c r="BY86" s="12">
        <f>IF('Données projet'!$A$114&gt;35,BY85+BX86-CG85,IF(A86&lt;'Données projet'!$A$114,$BV$205^A86,IF(A86='Données projet'!$A$114,'Données projet'!$B$114,BY85+BX86-CG85)))</f>
        <v>250.88888888888908</v>
      </c>
      <c r="BZ86" s="13">
        <f>BY86*VLOOKUP('Données projet'!$B$12,Paramètres!$A$1:$I$89,3,0)*VLOOKUP('Données projet'!$B$12,Paramètres!$A$1:$I$89,5,0)</f>
        <v>238.74586666666684</v>
      </c>
      <c r="CA86" s="13">
        <f t="shared" si="93"/>
        <v>58.169615362589944</v>
      </c>
      <c r="CB86" s="20">
        <f t="shared" si="64"/>
        <v>517.12779786762223</v>
      </c>
      <c r="CC86" s="59">
        <f t="shared" si="65"/>
        <v>789.01254334472571</v>
      </c>
      <c r="CD86" s="59">
        <f ca="1">AVERAGE(OFFSET($CC$3,0,0,'Données projet'!$E$12+1,1))-AVERAGE(OFFSET($H$3,0,0,'Données projet'!$E$12+1,1))</f>
        <v>439.09551305860475</v>
      </c>
      <c r="CE86" s="59">
        <f t="shared" si="94"/>
        <v>311.31528017256846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32.470065295683817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32.470065295683817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7.4950142450142421</v>
      </c>
      <c r="CT86" s="12">
        <f>IF('Données projet'!$A$140&gt;35,CT85+CS86-DB85,IF(A86&lt;'Données projet'!$A$140,$CQ$205^A86,IF(A86='Données projet'!$A$140,'Données projet'!$B$140,CT85+CS86-DB85)))</f>
        <v>250.88888888888908</v>
      </c>
      <c r="CU86" s="17">
        <f>CT86*VLOOKUP('Données projet'!$B$13,Paramètres!$A$1:$I$89,3,0)*VLOOKUP('Données projet'!$B$13,Paramètres!$A$1:$I$89,5,0)</f>
        <v>242.65973333333352</v>
      </c>
      <c r="CV86" s="13">
        <f t="shared" si="95"/>
        <v>59.011417482982459</v>
      </c>
      <c r="CW86" s="20">
        <f t="shared" si="67"/>
        <v>525.41058767175025</v>
      </c>
      <c r="CX86" s="59">
        <f t="shared" si="68"/>
        <v>797.29533314885373</v>
      </c>
      <c r="CY86" s="59">
        <f ca="1">AVERAGE(OFFSET($CX$3,0,0,'Données projet'!$E$13+1,1))-AVERAGE(OFFSET($H$3,0,0,'Données projet'!$E$13+1,1))</f>
        <v>445.01146841309549</v>
      </c>
      <c r="CZ86" s="59">
        <f t="shared" si="96"/>
        <v>315.40159257508969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33.002361448072079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33.002361448072079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-1.1368683772161603E-13</v>
      </c>
      <c r="DP86" s="17">
        <f>DO86*VLOOKUP('Données projet'!$B$14,Paramètres!$A$1:$I$89,3,0)*VLOOKUP('Données projet'!$B$14,Paramètres!$A$1:$I$89,5,0)</f>
        <v>-6.3550942286383367E-14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349.00268383833668</v>
      </c>
      <c r="DU86" s="59">
        <f t="shared" si="98"/>
        <v>459.94854391583749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130.18030859941337</v>
      </c>
      <c r="EB86" s="21">
        <f>EXP(-LN(2)/25)*EB85+(1-EXP(-LN(2)/25))/(LN(2)/25)*Calculateur!DW86*Calculateur!DY86*VLOOKUP('Données projet'!$B$14,Paramètres!$A$1:$I$89,3,0)*0.475*44/12</f>
        <v>26.50493803720158</v>
      </c>
      <c r="EC86" s="21">
        <f>EXP(-LN(2)/2)*EC85+(1-EXP(-LN(2)/2))/(LN(2)/2)*DW86*DZ86*VLOOKUP('Données projet'!$B$14,Paramètres!$A$1:$I$89,3,0)*0.475*44/12</f>
        <v>2.0850405275947555E-3</v>
      </c>
      <c r="ED86" s="22">
        <f t="shared" si="72"/>
        <v>156.68733167714254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1.7053025658242404E-13</v>
      </c>
      <c r="EK86" s="17">
        <f>EJ86*VLOOKUP('Données projet'!$B$15,Paramètres!$A$1:$I$89,3,0)*VLOOKUP('Données projet'!$B$15,Paramètres!$A$1:$I$89,5,0)</f>
        <v>1.3301360013429075E-13</v>
      </c>
      <c r="EL86" s="13">
        <f t="shared" si="99"/>
        <v>1.9329766731057041E-12</v>
      </c>
      <c r="EM86" s="20">
        <f t="shared" si="73"/>
        <v>3.5982663925596575E-12</v>
      </c>
      <c r="EN86" s="59">
        <f t="shared" si="74"/>
        <v>271.88474547710706</v>
      </c>
      <c r="EO86" s="59">
        <f ca="1">AVERAGE(OFFSET($EN$3,0,0,'Données projet'!$E$15+1,1))-AVERAGE(OFFSET($H$3,0,0,'Données projet'!$E$15+1,1))</f>
        <v>308.82719216177946</v>
      </c>
      <c r="EP86" s="59">
        <f t="shared" si="100"/>
        <v>302.59481222418219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61.487804812690555</v>
      </c>
      <c r="EW86" s="21">
        <f>EXP(-LN(2)/25)*EW85+(1-EXP(-LN(2)/25))/(LN(2)/25)*Calculateur!ER86*Calculateur!ET86*VLOOKUP('Données projet'!$B$15,Paramètres!$A$1:$I$89,3,0)*0.475*44/12</f>
        <v>46.26667894061827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107.75448375330882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778.88367510555895</v>
      </c>
      <c r="S87" s="59">
        <f ca="1">AVERAGE(OFFSET($R$3,0,0,'Données projet'!$E$9+1,1))-AVERAGE(OFFSET($H$3,0,0,'Données projet'!$E$9+1,1))</f>
        <v>421.33534980160005</v>
      </c>
      <c r="T87" s="59">
        <f t="shared" si="88"/>
        <v>299.0473530693472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7.4950142450142421</v>
      </c>
      <c r="AI87" s="13">
        <f>IF('Données projet'!$A$62&gt;35,AI86+AH87-AQ86,IF(A87&lt;'Données projet'!$A$62,$AF$205^A87,IF(A87='Données projet'!$A$62,'Données projet'!$B$62,AI86+AH87-AQ86)))</f>
        <v>258.38390313390335</v>
      </c>
      <c r="AJ87" s="13">
        <f>AI87*VLOOKUP('Données projet'!$B$10,Paramètres!$A$1:$I$89,3,0)*VLOOKUP('Données projet'!$B$10,Paramètres!$A$1:$I$89,5,0)</f>
        <v>262.001277777778</v>
      </c>
      <c r="AK87" s="13">
        <f t="shared" si="89"/>
        <v>63.148778946325088</v>
      </c>
      <c r="AL87" s="20">
        <f t="shared" si="58"/>
        <v>566.30301546114617</v>
      </c>
      <c r="AM87" s="59">
        <f t="shared" si="59"/>
        <v>838.55984598569648</v>
      </c>
      <c r="AN87" s="59">
        <f ca="1">AVERAGE(OFFSET($AM$3,0,0,'Données projet'!$E$10+1,1))-AVERAGE(OFFSET($H$3,0,0,'Données projet'!$E$10+1,1))</f>
        <v>462.74754756814662</v>
      </c>
      <c r="AO87" s="59">
        <f t="shared" si="90"/>
        <v>327.65191293226667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33.920779718053815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33.920779718053815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7.4950142450142421</v>
      </c>
      <c r="BD87" s="12">
        <f>IF('Données projet'!$A$88&gt;35,BD86+BC87-BL86,IF(A87&lt;'Données projet'!$A$88,$BA$205^A87,IF(A87='Données projet'!$A$88,'Données projet'!$B$88,BD86+BC87-BL86)))</f>
        <v>258.38390313390335</v>
      </c>
      <c r="BE87" s="13">
        <f>BD87*VLOOKUP('Données projet'!$B$11,Paramètres!$A$1:$I$89,3,0)*VLOOKUP('Données projet'!$B$11,Paramètres!$A$1:$I$89,5,0)</f>
        <v>173.32392222222236</v>
      </c>
      <c r="BF87" s="13">
        <f t="shared" si="91"/>
        <v>43.833630543630932</v>
      </c>
      <c r="BG87" s="20">
        <f t="shared" si="61"/>
        <v>378.21607106719443</v>
      </c>
      <c r="BH87" s="59">
        <f t="shared" si="62"/>
        <v>650.47290159174474</v>
      </c>
      <c r="BI87" s="59">
        <f ca="1">AVERAGE(OFFSET($BH$3,0,0,'Données projet'!$E$11+1,1))-AVERAGE(OFFSET($H$3,0,0,'Données projet'!$E$11+1,1))</f>
        <v>332.21938212432008</v>
      </c>
      <c r="BJ87" s="59">
        <f t="shared" si="92"/>
        <v>237.47732529948181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27.65848192395157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27.65848192395157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7.4950142450142421</v>
      </c>
      <c r="BY87" s="12">
        <f>IF('Données projet'!$A$114&gt;35,BY86+BX87-CG86,IF(A87&lt;'Données projet'!$A$114,$BV$205^A87,IF(A87='Données projet'!$A$114,'Données projet'!$B$114,BY86+BX87-CG86)))</f>
        <v>258.38390313390335</v>
      </c>
      <c r="BZ87" s="13">
        <f>BY87*VLOOKUP('Données projet'!$B$12,Paramètres!$A$1:$I$89,3,0)*VLOOKUP('Données projet'!$B$12,Paramètres!$A$1:$I$89,5,0)</f>
        <v>245.87812222222243</v>
      </c>
      <c r="CA87" s="13">
        <f t="shared" si="93"/>
        <v>59.702450565025714</v>
      </c>
      <c r="CB87" s="20">
        <f t="shared" si="64"/>
        <v>532.21949760445716</v>
      </c>
      <c r="CC87" s="59">
        <f t="shared" si="65"/>
        <v>804.47632812900747</v>
      </c>
      <c r="CD87" s="59">
        <f ca="1">AVERAGE(OFFSET($CC$3,0,0,'Données projet'!$E$12+1,1))-AVERAGE(OFFSET($H$3,0,0,'Données projet'!$E$12+1,1))</f>
        <v>439.09551305860475</v>
      </c>
      <c r="CE87" s="59">
        <f t="shared" si="94"/>
        <v>311.31528017256846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31.833347120019727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31.833347120019727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7.4950142450142421</v>
      </c>
      <c r="CT87" s="12">
        <f>IF('Données projet'!$A$140&gt;35,CT86+CS87-DB86,IF(A87&lt;'Données projet'!$A$140,$CQ$205^A87,IF(A87='Données projet'!$A$140,'Données projet'!$B$140,CT86+CS87-DB86)))</f>
        <v>258.38390313390335</v>
      </c>
      <c r="CU87" s="17">
        <f>CT87*VLOOKUP('Données projet'!$B$13,Paramètres!$A$1:$I$89,3,0)*VLOOKUP('Données projet'!$B$13,Paramètres!$A$1:$I$89,5,0)</f>
        <v>249.90891111111134</v>
      </c>
      <c r="CV87" s="13">
        <f t="shared" si="95"/>
        <v>60.566435124060455</v>
      </c>
      <c r="CW87" s="20">
        <f t="shared" si="67"/>
        <v>540.74456135959088</v>
      </c>
      <c r="CX87" s="59">
        <f t="shared" si="68"/>
        <v>813.00139188414119</v>
      </c>
      <c r="CY87" s="59">
        <f ca="1">AVERAGE(OFFSET($CX$3,0,0,'Données projet'!$E$13+1,1))-AVERAGE(OFFSET($H$3,0,0,'Données projet'!$E$13+1,1))</f>
        <v>445.01146841309549</v>
      </c>
      <c r="CZ87" s="59">
        <f t="shared" si="96"/>
        <v>315.40159257508969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32.355205269528248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32.355205269528248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-1.1368683772161603E-13</v>
      </c>
      <c r="DP87" s="17">
        <f>DO87*VLOOKUP('Données projet'!$B$14,Paramètres!$A$1:$I$89,3,0)*VLOOKUP('Données projet'!$B$14,Paramètres!$A$1:$I$89,5,0)</f>
        <v>-6.3550942286383367E-14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349.00268383833668</v>
      </c>
      <c r="DU87" s="59">
        <f t="shared" si="98"/>
        <v>459.94854391583749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127.6275521499268</v>
      </c>
      <c r="EB87" s="21">
        <f>EXP(-LN(2)/25)*EB86+(1-EXP(-LN(2)/25))/(LN(2)/25)*Calculateur!DW87*Calculateur!DY87*VLOOKUP('Données projet'!$B$14,Paramètres!$A$1:$I$89,3,0)*0.475*44/12</f>
        <v>25.78015911274019</v>
      </c>
      <c r="EC87" s="21">
        <f>EXP(-LN(2)/2)*EC86+(1-EXP(-LN(2)/2))/(LN(2)/2)*DW87*DZ87*VLOOKUP('Données projet'!$B$14,Paramètres!$A$1:$I$89,3,0)*0.475*44/12</f>
        <v>1.4743462961110284E-3</v>
      </c>
      <c r="ED87" s="22">
        <f t="shared" si="72"/>
        <v>153.4091856089631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1.7053025658242404E-13</v>
      </c>
      <c r="EK87" s="17">
        <f>EJ87*VLOOKUP('Données projet'!$B$15,Paramètres!$A$1:$I$89,3,0)*VLOOKUP('Données projet'!$B$15,Paramètres!$A$1:$I$89,5,0)</f>
        <v>1.3301360013429075E-13</v>
      </c>
      <c r="EL87" s="13">
        <f t="shared" si="99"/>
        <v>1.9329766731057041E-12</v>
      </c>
      <c r="EM87" s="20">
        <f t="shared" si="73"/>
        <v>3.5982663925596575E-12</v>
      </c>
      <c r="EN87" s="59">
        <f t="shared" si="74"/>
        <v>272.25683052455389</v>
      </c>
      <c r="EO87" s="59">
        <f ca="1">AVERAGE(OFFSET($EN$3,0,0,'Données projet'!$E$15+1,1))-AVERAGE(OFFSET($H$3,0,0,'Données projet'!$E$15+1,1))</f>
        <v>308.82719216177946</v>
      </c>
      <c r="EP87" s="59">
        <f t="shared" si="100"/>
        <v>302.59481222418219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60.282066464171429</v>
      </c>
      <c r="EW87" s="21">
        <f>EXP(-LN(2)/25)*EW86+(1-EXP(-LN(2)/25))/(LN(2)/25)*Calculateur!ER87*Calculateur!ET87*VLOOKUP('Données projet'!$B$15,Paramètres!$A$1:$I$89,3,0)*0.475*44/12</f>
        <v>45.001514171928164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105.2835806360996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793.60512692639645</v>
      </c>
      <c r="S88" s="59">
        <f ca="1">AVERAGE(OFFSET($R$3,0,0,'Données projet'!$E$9+1,1))-AVERAGE(OFFSET($H$3,0,0,'Données projet'!$E$9+1,1))</f>
        <v>421.33534980160005</v>
      </c>
      <c r="T88" s="59">
        <f t="shared" si="88"/>
        <v>299.0473530693472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7.4950142450142421</v>
      </c>
      <c r="AI88" s="13">
        <f>IF('Données projet'!$A$62&gt;35,AI87+AH88-AQ87,IF(A88&lt;'Données projet'!$A$62,$AF$205^A88,IF(A88='Données projet'!$A$62,'Données projet'!$B$62,AI87+AH88-AQ87)))</f>
        <v>265.87891737891761</v>
      </c>
      <c r="AJ88" s="13">
        <f>AI88*VLOOKUP('Données projet'!$B$10,Paramètres!$A$1:$I$89,3,0)*VLOOKUP('Données projet'!$B$10,Paramètres!$A$1:$I$89,5,0)</f>
        <v>269.60122222222248</v>
      </c>
      <c r="AK88" s="13">
        <f t="shared" si="89"/>
        <v>64.764631300165817</v>
      </c>
      <c r="AL88" s="20">
        <f t="shared" si="58"/>
        <v>582.35386155149297</v>
      </c>
      <c r="AM88" s="59">
        <f t="shared" si="59"/>
        <v>854.97632227977442</v>
      </c>
      <c r="AN88" s="59">
        <f ca="1">AVERAGE(OFFSET($AM$3,0,0,'Données projet'!$E$10+1,1))-AVERAGE(OFFSET($H$3,0,0,'Données projet'!$E$10+1,1))</f>
        <v>462.74754756814662</v>
      </c>
      <c r="AO88" s="59">
        <f t="shared" si="90"/>
        <v>327.65191293226667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33.255613917415474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33.255613917415474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7.4950142450142421</v>
      </c>
      <c r="BD88" s="12">
        <f>IF('Données projet'!$A$88&gt;35,BD87+BC88-BL87,IF(A88&lt;'Données projet'!$A$88,$BA$205^A88,IF(A88='Données projet'!$A$88,'Données projet'!$B$88,BD87+BC88-BL87)))</f>
        <v>265.87891737891761</v>
      </c>
      <c r="BE88" s="13">
        <f>BD88*VLOOKUP('Données projet'!$B$11,Paramètres!$A$1:$I$89,3,0)*VLOOKUP('Données projet'!$B$11,Paramètres!$A$1:$I$89,5,0)</f>
        <v>178.35157777777795</v>
      </c>
      <c r="BF88" s="13">
        <f t="shared" si="91"/>
        <v>44.955246452491394</v>
      </c>
      <c r="BG88" s="20">
        <f t="shared" si="61"/>
        <v>388.92605220105247</v>
      </c>
      <c r="BH88" s="59">
        <f t="shared" si="62"/>
        <v>661.54851292933404</v>
      </c>
      <c r="BI88" s="59">
        <f ca="1">AVERAGE(OFFSET($BH$3,0,0,'Données projet'!$E$11+1,1))-AVERAGE(OFFSET($H$3,0,0,'Données projet'!$E$11+1,1))</f>
        <v>332.21938212432008</v>
      </c>
      <c r="BJ88" s="59">
        <f t="shared" si="92"/>
        <v>237.47732529948181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27.116115963431078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27.116115963431078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7.4950142450142421</v>
      </c>
      <c r="BY88" s="12">
        <f>IF('Données projet'!$A$114&gt;35,BY87+BX88-CG87,IF(A88&lt;'Données projet'!$A$114,$BV$205^A88,IF(A88='Données projet'!$A$114,'Données projet'!$B$114,BY87+BX88-CG87)))</f>
        <v>265.87891737891761</v>
      </c>
      <c r="BZ88" s="13">
        <f>BY88*VLOOKUP('Données projet'!$B$12,Paramètres!$A$1:$I$89,3,0)*VLOOKUP('Données projet'!$B$12,Paramètres!$A$1:$I$89,5,0)</f>
        <v>253.01037777777799</v>
      </c>
      <c r="CA88" s="13">
        <f t="shared" si="93"/>
        <v>61.230118191941415</v>
      </c>
      <c r="CB88" s="20">
        <f t="shared" si="64"/>
        <v>547.30219714726127</v>
      </c>
      <c r="CC88" s="59">
        <f t="shared" si="65"/>
        <v>819.92465787554283</v>
      </c>
      <c r="CD88" s="59">
        <f ca="1">AVERAGE(OFFSET($CC$3,0,0,'Données projet'!$E$12+1,1))-AVERAGE(OFFSET($H$3,0,0,'Données projet'!$E$12+1,1))</f>
        <v>439.09551305860475</v>
      </c>
      <c r="CE88" s="59">
        <f t="shared" si="94"/>
        <v>311.31528017256846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31.209114599420673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31.209114599420673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7.4950142450142421</v>
      </c>
      <c r="CT88" s="12">
        <f>IF('Données projet'!$A$140&gt;35,CT87+CS88-DB87,IF(A88&lt;'Données projet'!$A$140,$CQ$205^A88,IF(A88='Données projet'!$A$140,'Données projet'!$B$140,CT87+CS88-DB87)))</f>
        <v>265.87891737891761</v>
      </c>
      <c r="CU88" s="17">
        <f>CT88*VLOOKUP('Données projet'!$B$13,Paramètres!$A$1:$I$89,3,0)*VLOOKUP('Données projet'!$B$13,Paramètres!$A$1:$I$89,5,0)</f>
        <v>257.1580888888891</v>
      </c>
      <c r="CV88" s="13">
        <f t="shared" si="95"/>
        <v>62.116210407002008</v>
      </c>
      <c r="CW88" s="20">
        <f t="shared" si="67"/>
        <v>556.06940460701037</v>
      </c>
      <c r="CX88" s="59">
        <f t="shared" si="68"/>
        <v>828.69186533529182</v>
      </c>
      <c r="CY88" s="59">
        <f ca="1">AVERAGE(OFFSET($CX$3,0,0,'Données projet'!$E$13+1,1))-AVERAGE(OFFSET($H$3,0,0,'Données projet'!$E$13+1,1))</f>
        <v>445.01146841309549</v>
      </c>
      <c r="CZ88" s="59">
        <f t="shared" si="96"/>
        <v>315.40159257508969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31.720739428919373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31.720739428919373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-1.1368683772161603E-13</v>
      </c>
      <c r="DP88" s="17">
        <f>DO88*VLOOKUP('Données projet'!$B$14,Paramètres!$A$1:$I$89,3,0)*VLOOKUP('Données projet'!$B$14,Paramètres!$A$1:$I$89,5,0)</f>
        <v>-6.3550942286383367E-14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349.00268383833668</v>
      </c>
      <c r="DU88" s="59">
        <f t="shared" si="98"/>
        <v>459.94854391583749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125.12485369738698</v>
      </c>
      <c r="EB88" s="21">
        <f>EXP(-LN(2)/25)*EB87+(1-EXP(-LN(2)/25))/(LN(2)/25)*Calculateur!DW88*Calculateur!DY88*VLOOKUP('Données projet'!$B$14,Paramètres!$A$1:$I$89,3,0)*0.475*44/12</f>
        <v>25.075199306082663</v>
      </c>
      <c r="EC88" s="21">
        <f>EXP(-LN(2)/2)*EC87+(1-EXP(-LN(2)/2))/(LN(2)/2)*DW88*DZ88*VLOOKUP('Données projet'!$B$14,Paramètres!$A$1:$I$89,3,0)*0.475*44/12</f>
        <v>1.0425202637973777E-3</v>
      </c>
      <c r="ED88" s="22">
        <f t="shared" si="72"/>
        <v>150.20109552373344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1.7053025658242404E-13</v>
      </c>
      <c r="EK88" s="17">
        <f>EJ88*VLOOKUP('Données projet'!$B$15,Paramètres!$A$1:$I$89,3,0)*VLOOKUP('Données projet'!$B$15,Paramètres!$A$1:$I$89,5,0)</f>
        <v>1.3301360013429075E-13</v>
      </c>
      <c r="EL88" s="13">
        <f t="shared" si="99"/>
        <v>1.9329766731057041E-12</v>
      </c>
      <c r="EM88" s="20">
        <f t="shared" si="73"/>
        <v>3.5982663925596575E-12</v>
      </c>
      <c r="EN88" s="59">
        <f t="shared" si="74"/>
        <v>272.62246072828509</v>
      </c>
      <c r="EO88" s="59">
        <f ca="1">AVERAGE(OFFSET($EN$3,0,0,'Données projet'!$E$15+1,1))-AVERAGE(OFFSET($H$3,0,0,'Données projet'!$E$15+1,1))</f>
        <v>308.82719216177946</v>
      </c>
      <c r="EP88" s="59">
        <f t="shared" si="100"/>
        <v>302.59481222418219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59.099971909238988</v>
      </c>
      <c r="EW88" s="21">
        <f>EXP(-LN(2)/25)*EW87+(1-EXP(-LN(2)/25))/(LN(2)/25)*Calculateur!ER88*Calculateur!ET88*VLOOKUP('Données projet'!$B$15,Paramètres!$A$1:$I$89,3,0)*0.475*44/12</f>
        <v>43.77094540037001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102.870917309609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808.31189846505436</v>
      </c>
      <c r="S89" s="59">
        <f ca="1">AVERAGE(OFFSET($R$3,0,0,'Données projet'!$E$9+1,1))-AVERAGE(OFFSET($H$3,0,0,'Données projet'!$E$9+1,1))</f>
        <v>421.33534980160005</v>
      </c>
      <c r="T89" s="59">
        <f t="shared" si="88"/>
        <v>299.0473530693472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7.4950142450142421</v>
      </c>
      <c r="AI89" s="13">
        <f>IF('Données projet'!$A$62&gt;35,AI88+AH89-AQ88,IF(A89&lt;'Données projet'!$A$62,$AF$205^A89,IF(A89='Données projet'!$A$62,'Données projet'!$B$62,AI88+AH89-AQ88)))</f>
        <v>273.37393162393187</v>
      </c>
      <c r="AJ89" s="13">
        <f>AI89*VLOOKUP('Données projet'!$B$10,Paramètres!$A$1:$I$89,3,0)*VLOOKUP('Données projet'!$B$10,Paramètres!$A$1:$I$89,5,0)</f>
        <v>277.20116666666695</v>
      </c>
      <c r="AK89" s="13">
        <f t="shared" si="89"/>
        <v>66.37518955966982</v>
      </c>
      <c r="AL89" s="20">
        <f t="shared" si="58"/>
        <v>598.39548709420319</v>
      </c>
      <c r="AM89" s="59">
        <f t="shared" si="59"/>
        <v>871.37723515960784</v>
      </c>
      <c r="AN89" s="59">
        <f ca="1">AVERAGE(OFFSET($AM$3,0,0,'Données projet'!$E$10+1,1))-AVERAGE(OFFSET($H$3,0,0,'Données projet'!$E$10+1,1))</f>
        <v>462.74754756814662</v>
      </c>
      <c r="AO89" s="59">
        <f t="shared" si="90"/>
        <v>327.65191293226667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32.603491612416576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32.603491612416576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7.4950142450142421</v>
      </c>
      <c r="BD89" s="12">
        <f>IF('Données projet'!$A$88&gt;35,BD88+BC89-BL88,IF(A89&lt;'Données projet'!$A$88,$BA$205^A89,IF(A89='Données projet'!$A$88,'Données projet'!$B$88,BD88+BC89-BL88)))</f>
        <v>273.37393162393187</v>
      </c>
      <c r="BE89" s="13">
        <f>BD89*VLOOKUP('Données projet'!$B$11,Paramètres!$A$1:$I$89,3,0)*VLOOKUP('Données projet'!$B$11,Paramètres!$A$1:$I$89,5,0)</f>
        <v>183.3792333333335</v>
      </c>
      <c r="BF89" s="13">
        <f t="shared" si="91"/>
        <v>46.073187557514139</v>
      </c>
      <c r="BG89" s="20">
        <f t="shared" si="61"/>
        <v>399.62963305155955</v>
      </c>
      <c r="BH89" s="59">
        <f t="shared" si="62"/>
        <v>672.61138111696425</v>
      </c>
      <c r="BI89" s="59">
        <f ca="1">AVERAGE(OFFSET($BH$3,0,0,'Données projet'!$E$11+1,1))-AVERAGE(OFFSET($H$3,0,0,'Données projet'!$E$11+1,1))</f>
        <v>332.21938212432008</v>
      </c>
      <c r="BJ89" s="59">
        <f t="shared" si="92"/>
        <v>237.47732529948181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26.584385468585822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26.584385468585822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7.4950142450142421</v>
      </c>
      <c r="BY89" s="12">
        <f>IF('Données projet'!$A$114&gt;35,BY88+BX89-CG88,IF(A89&lt;'Données projet'!$A$114,$BV$205^A89,IF(A89='Données projet'!$A$114,'Données projet'!$B$114,BY88+BX89-CG88)))</f>
        <v>273.37393162393187</v>
      </c>
      <c r="BZ89" s="13">
        <f>BY89*VLOOKUP('Données projet'!$B$12,Paramètres!$A$1:$I$89,3,0)*VLOOKUP('Données projet'!$B$12,Paramètres!$A$1:$I$89,5,0)</f>
        <v>260.14263333333355</v>
      </c>
      <c r="CA89" s="13">
        <f t="shared" si="93"/>
        <v>62.75278064835819</v>
      </c>
      <c r="CB89" s="20">
        <f t="shared" si="64"/>
        <v>562.37617935144647</v>
      </c>
      <c r="CC89" s="59">
        <f t="shared" si="65"/>
        <v>835.35792741685123</v>
      </c>
      <c r="CD89" s="59">
        <f ca="1">AVERAGE(OFFSET($CC$3,0,0,'Données projet'!$E$12+1,1))-AVERAGE(OFFSET($H$3,0,0,'Données projet'!$E$12+1,1))</f>
        <v>439.09551305860475</v>
      </c>
      <c r="CE89" s="59">
        <f t="shared" si="94"/>
        <v>311.31528017256846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30.597122897806322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30.597122897806322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7.4950142450142421</v>
      </c>
      <c r="CT89" s="12">
        <f>IF('Données projet'!$A$140&gt;35,CT88+CS89-DB88,IF(A89&lt;'Données projet'!$A$140,$CQ$205^A89,IF(A89='Données projet'!$A$140,'Données projet'!$B$140,CT88+CS89-DB88)))</f>
        <v>273.37393162393187</v>
      </c>
      <c r="CU89" s="17">
        <f>CT89*VLOOKUP('Données projet'!$B$13,Paramètres!$A$1:$I$89,3,0)*VLOOKUP('Données projet'!$B$13,Paramètres!$A$1:$I$89,5,0)</f>
        <v>264.40726666666689</v>
      </c>
      <c r="CV89" s="13">
        <f t="shared" si="95"/>
        <v>63.660908087074027</v>
      </c>
      <c r="CW89" s="20">
        <f t="shared" si="67"/>
        <v>571.38540436276537</v>
      </c>
      <c r="CX89" s="59">
        <f t="shared" si="68"/>
        <v>844.36715242817013</v>
      </c>
      <c r="CY89" s="59">
        <f ca="1">AVERAGE(OFFSET($CX$3,0,0,'Données projet'!$E$13+1,1))-AVERAGE(OFFSET($H$3,0,0,'Données projet'!$E$13+1,1))</f>
        <v>445.01146841309549</v>
      </c>
      <c r="CZ89" s="59">
        <f t="shared" si="96"/>
        <v>315.40159257508969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31.098715076458884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31.098715076458884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-1.1368683772161603E-13</v>
      </c>
      <c r="DP89" s="17">
        <f>DO89*VLOOKUP('Données projet'!$B$14,Paramètres!$A$1:$I$89,3,0)*VLOOKUP('Données projet'!$B$14,Paramètres!$A$1:$I$89,5,0)</f>
        <v>-6.3550942286383367E-14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349.00268383833668</v>
      </c>
      <c r="DU89" s="59">
        <f t="shared" si="98"/>
        <v>459.94854391583749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122.67123163500614</v>
      </c>
      <c r="EB89" s="21">
        <f>EXP(-LN(2)/25)*EB88+(1-EXP(-LN(2)/25))/(LN(2)/25)*Calculateur!DW89*Calculateur!DY89*VLOOKUP('Données projet'!$B$14,Paramètres!$A$1:$I$89,3,0)*0.475*44/12</f>
        <v>24.389516662410411</v>
      </c>
      <c r="EC89" s="21">
        <f>EXP(-LN(2)/2)*EC88+(1-EXP(-LN(2)/2))/(LN(2)/2)*DW89*DZ89*VLOOKUP('Données projet'!$B$14,Paramètres!$A$1:$I$89,3,0)*0.475*44/12</f>
        <v>7.3717314805551418E-4</v>
      </c>
      <c r="ED89" s="22">
        <f t="shared" si="72"/>
        <v>147.06148547056461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1.7053025658242404E-13</v>
      </c>
      <c r="EK89" s="17">
        <f>EJ89*VLOOKUP('Données projet'!$B$15,Paramètres!$A$1:$I$89,3,0)*VLOOKUP('Données projet'!$B$15,Paramètres!$A$1:$I$89,5,0)</f>
        <v>1.3301360013429075E-13</v>
      </c>
      <c r="EL89" s="13">
        <f t="shared" si="99"/>
        <v>1.9329766731057041E-12</v>
      </c>
      <c r="EM89" s="20">
        <f t="shared" si="73"/>
        <v>3.5982663925596575E-12</v>
      </c>
      <c r="EN89" s="59">
        <f t="shared" si="74"/>
        <v>272.98174806540828</v>
      </c>
      <c r="EO89" s="59">
        <f ca="1">AVERAGE(OFFSET($EN$3,0,0,'Données projet'!$E$15+1,1))-AVERAGE(OFFSET($H$3,0,0,'Données projet'!$E$15+1,1))</f>
        <v>308.82719216177946</v>
      </c>
      <c r="EP89" s="59">
        <f t="shared" si="100"/>
        <v>302.59481222418219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57.941057507522288</v>
      </c>
      <c r="EW89" s="21">
        <f>EXP(-LN(2)/25)*EW88+(1-EXP(-LN(2)/25))/(LN(2)/25)*Calculateur!ER89*Calculateur!ET89*VLOOKUP('Données projet'!$B$15,Paramètres!$A$1:$I$89,3,0)*0.475*44/12</f>
        <v>42.574026596582911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100.5150841041052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823.00435460574431</v>
      </c>
      <c r="S90" s="59">
        <f ca="1">AVERAGE(OFFSET($R$3,0,0,'Données projet'!$E$9+1,1))-AVERAGE(OFFSET($H$3,0,0,'Données projet'!$E$9+1,1))</f>
        <v>421.33534980160005</v>
      </c>
      <c r="T90" s="59">
        <f t="shared" si="88"/>
        <v>299.0473530693472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7.4950142450142421</v>
      </c>
      <c r="AI90" s="13">
        <f>IF('Données projet'!$A$62&gt;35,AI89+AH90-AQ89,IF(A90&lt;'Données projet'!$A$62,$AF$205^A90,IF(A90='Données projet'!$A$62,'Données projet'!$B$62,AI89+AH90-AQ89)))</f>
        <v>280.86894586894613</v>
      </c>
      <c r="AJ90" s="13">
        <f>AI90*VLOOKUP('Données projet'!$B$10,Paramètres!$A$1:$I$89,3,0)*VLOOKUP('Données projet'!$B$10,Paramètres!$A$1:$I$89,5,0)</f>
        <v>284.80111111111137</v>
      </c>
      <c r="AK90" s="13">
        <f t="shared" si="89"/>
        <v>67.98061554933885</v>
      </c>
      <c r="AL90" s="20">
        <f t="shared" si="58"/>
        <v>614.42817393361736</v>
      </c>
      <c r="AM90" s="59">
        <f t="shared" si="59"/>
        <v>887.76297650409219</v>
      </c>
      <c r="AN90" s="59">
        <f ca="1">AVERAGE(OFFSET($AM$3,0,0,'Données projet'!$E$10+1,1))-AVERAGE(OFFSET($H$3,0,0,'Données projet'!$E$10+1,1))</f>
        <v>462.74754756814662</v>
      </c>
      <c r="AO90" s="59">
        <f t="shared" si="90"/>
        <v>327.65191293226667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31.964157028063376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31.964157028063376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7.4950142450142421</v>
      </c>
      <c r="BD90" s="12">
        <f>IF('Données projet'!$A$88&gt;35,BD89+BC90-BL89,IF(A90&lt;'Données projet'!$A$88,$BA$205^A90,IF(A90='Données projet'!$A$88,'Données projet'!$B$88,BD89+BC90-BL89)))</f>
        <v>280.86894586894613</v>
      </c>
      <c r="BE90" s="13">
        <f>BD90*VLOOKUP('Données projet'!$B$11,Paramètres!$A$1:$I$89,3,0)*VLOOKUP('Données projet'!$B$11,Paramètres!$A$1:$I$89,5,0)</f>
        <v>188.40688888888906</v>
      </c>
      <c r="BF90" s="13">
        <f t="shared" si="91"/>
        <v>47.187566186372614</v>
      </c>
      <c r="BG90" s="20">
        <f t="shared" si="61"/>
        <v>410.32700925608077</v>
      </c>
      <c r="BH90" s="59">
        <f t="shared" si="62"/>
        <v>683.66181182655555</v>
      </c>
      <c r="BI90" s="59">
        <f ca="1">AVERAGE(OFFSET($BH$3,0,0,'Données projet'!$E$11+1,1))-AVERAGE(OFFSET($H$3,0,0,'Données projet'!$E$11+1,1))</f>
        <v>332.21938212432008</v>
      </c>
      <c r="BJ90" s="59">
        <f t="shared" si="92"/>
        <v>237.47732529948181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26.063081884420903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26.063081884420903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7.4950142450142421</v>
      </c>
      <c r="BY90" s="12">
        <f>IF('Données projet'!$A$114&gt;35,BY89+BX90-CG89,IF(A90&lt;'Données projet'!$A$114,$BV$205^A90,IF(A90='Données projet'!$A$114,'Données projet'!$B$114,BY89+BX90-CG89)))</f>
        <v>280.86894586894613</v>
      </c>
      <c r="BZ90" s="13">
        <f>BY90*VLOOKUP('Données projet'!$B$12,Paramètres!$A$1:$I$89,3,0)*VLOOKUP('Données projet'!$B$12,Paramètres!$A$1:$I$89,5,0)</f>
        <v>267.27488888888911</v>
      </c>
      <c r="CA90" s="13">
        <f t="shared" si="93"/>
        <v>64.270590927247156</v>
      </c>
      <c r="CB90" s="20">
        <f t="shared" si="64"/>
        <v>577.44171067977061</v>
      </c>
      <c r="CC90" s="59">
        <f t="shared" si="65"/>
        <v>850.77651325024544</v>
      </c>
      <c r="CD90" s="59">
        <f ca="1">AVERAGE(OFFSET($CC$3,0,0,'Données projet'!$E$12+1,1))-AVERAGE(OFFSET($H$3,0,0,'Données projet'!$E$12+1,1))</f>
        <v>439.09551305860475</v>
      </c>
      <c r="CE90" s="59">
        <f t="shared" si="94"/>
        <v>311.31528017256846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29.997131980182548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29.997131980182548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7.4950142450142421</v>
      </c>
      <c r="CT90" s="12">
        <f>IF('Données projet'!$A$140&gt;35,CT89+CS90-DB89,IF(A90&lt;'Données projet'!$A$140,$CQ$205^A90,IF(A90='Données projet'!$A$140,'Données projet'!$B$140,CT89+CS90-DB89)))</f>
        <v>280.86894586894613</v>
      </c>
      <c r="CU90" s="17">
        <f>CT90*VLOOKUP('Données projet'!$B$13,Paramètres!$A$1:$I$89,3,0)*VLOOKUP('Données projet'!$B$13,Paramètres!$A$1:$I$89,5,0)</f>
        <v>271.65644444444473</v>
      </c>
      <c r="CV90" s="13">
        <f t="shared" si="95"/>
        <v>65.200683371286829</v>
      </c>
      <c r="CW90" s="20">
        <f t="shared" si="67"/>
        <v>586.69283094573245</v>
      </c>
      <c r="CX90" s="59">
        <f t="shared" si="68"/>
        <v>860.02763351620729</v>
      </c>
      <c r="CY90" s="59">
        <f ca="1">AVERAGE(OFFSET($CX$3,0,0,'Données projet'!$E$13+1,1))-AVERAGE(OFFSET($H$3,0,0,'Données projet'!$E$13+1,1))</f>
        <v>445.01146841309549</v>
      </c>
      <c r="CZ90" s="59">
        <f t="shared" si="96"/>
        <v>315.40159257508969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30.488888242152754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30.488888242152754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-1.1368683772161603E-13</v>
      </c>
      <c r="DP90" s="17">
        <f>DO90*VLOOKUP('Données projet'!$B$14,Paramètres!$A$1:$I$89,3,0)*VLOOKUP('Données projet'!$B$14,Paramètres!$A$1:$I$89,5,0)</f>
        <v>-6.3550942286383367E-14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349.00268383833668</v>
      </c>
      <c r="DU90" s="59">
        <f t="shared" si="98"/>
        <v>459.94854391583749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120.26572360470689</v>
      </c>
      <c r="EB90" s="21">
        <f>EXP(-LN(2)/25)*EB89+(1-EXP(-LN(2)/25))/(LN(2)/25)*Calculateur!DW90*Calculateur!DY90*VLOOKUP('Données projet'!$B$14,Paramètres!$A$1:$I$89,3,0)*0.475*44/12</f>
        <v>23.72258404668786</v>
      </c>
      <c r="EC90" s="21">
        <f>EXP(-LN(2)/2)*EC89+(1-EXP(-LN(2)/2))/(LN(2)/2)*DW90*DZ90*VLOOKUP('Données projet'!$B$14,Paramètres!$A$1:$I$89,3,0)*0.475*44/12</f>
        <v>5.2126013189868886E-4</v>
      </c>
      <c r="ED90" s="22">
        <f t="shared" si="72"/>
        <v>143.98882891152667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1.7053025658242404E-13</v>
      </c>
      <c r="EK90" s="17">
        <f>EJ90*VLOOKUP('Données projet'!$B$15,Paramètres!$A$1:$I$89,3,0)*VLOOKUP('Données projet'!$B$15,Paramètres!$A$1:$I$89,5,0)</f>
        <v>1.3301360013429075E-13</v>
      </c>
      <c r="EL90" s="13">
        <f t="shared" si="99"/>
        <v>1.9329766731057041E-12</v>
      </c>
      <c r="EM90" s="20">
        <f t="shared" si="73"/>
        <v>3.5982663925596575E-12</v>
      </c>
      <c r="EN90" s="59">
        <f t="shared" si="74"/>
        <v>273.33480257047842</v>
      </c>
      <c r="EO90" s="59">
        <f ca="1">AVERAGE(OFFSET($EN$3,0,0,'Données projet'!$E$15+1,1))-AVERAGE(OFFSET($H$3,0,0,'Données projet'!$E$15+1,1))</f>
        <v>308.82719216177946</v>
      </c>
      <c r="EP90" s="59">
        <f t="shared" si="100"/>
        <v>302.59481222418219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56.804868710355265</v>
      </c>
      <c r="EW90" s="21">
        <f>EXP(-LN(2)/25)*EW89+(1-EXP(-LN(2)/25))/(LN(2)/25)*Calculateur!ER90*Calculateur!ET90*VLOOKUP('Données projet'!$B$15,Paramètres!$A$1:$I$89,3,0)*0.475*44/12</f>
        <v>41.409837600428595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98.214706310783868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837.68284394802674</v>
      </c>
      <c r="S91" s="59">
        <f ca="1">AVERAGE(OFFSET($R$3,0,0,'Données projet'!$E$9+1,1))-AVERAGE(OFFSET($H$3,0,0,'Données projet'!$E$9+1,1))</f>
        <v>421.33534980160005</v>
      </c>
      <c r="T91" s="59">
        <f t="shared" si="88"/>
        <v>299.0473530693472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7.4950142450142421</v>
      </c>
      <c r="AI91" s="13">
        <f>IF('Données projet'!$A$62&gt;35,AI90+AH91-AQ90,IF(A91&lt;'Données projet'!$A$62,$AF$205^A91,IF(A91='Données projet'!$A$62,'Données projet'!$B$62,AI90+AH91-AQ90)))</f>
        <v>288.36396011396039</v>
      </c>
      <c r="AJ91" s="13">
        <f>AI91*VLOOKUP('Données projet'!$B$10,Paramètres!$A$1:$I$89,3,0)*VLOOKUP('Données projet'!$B$10,Paramètres!$A$1:$I$89,5,0)</f>
        <v>292.40105555555584</v>
      </c>
      <c r="AK91" s="13">
        <f t="shared" si="89"/>
        <v>69.581061965327606</v>
      </c>
      <c r="AL91" s="20">
        <f t="shared" si="58"/>
        <v>630.45218801553858</v>
      </c>
      <c r="AM91" s="59">
        <f t="shared" si="59"/>
        <v>904.13392038473228</v>
      </c>
      <c r="AN91" s="59">
        <f ca="1">AVERAGE(OFFSET($AM$3,0,0,'Données projet'!$E$10+1,1))-AVERAGE(OFFSET($H$3,0,0,'Données projet'!$E$10+1,1))</f>
        <v>462.74754756814662</v>
      </c>
      <c r="AO91" s="59">
        <f t="shared" si="90"/>
        <v>327.65191293226667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31.337359404953748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31.337359404953748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7.4950142450142421</v>
      </c>
      <c r="BD91" s="12">
        <f>IF('Données projet'!$A$88&gt;35,BD90+BC91-BL90,IF(A91&lt;'Données projet'!$A$88,$BA$205^A91,IF(A91='Données projet'!$A$88,'Données projet'!$B$88,BD90+BC91-BL90)))</f>
        <v>288.36396011396039</v>
      </c>
      <c r="BE91" s="13">
        <f>BD91*VLOOKUP('Données projet'!$B$11,Paramètres!$A$1:$I$89,3,0)*VLOOKUP('Données projet'!$B$11,Paramètres!$A$1:$I$89,5,0)</f>
        <v>193.43454444444464</v>
      </c>
      <c r="BF91" s="13">
        <f t="shared" si="91"/>
        <v>48.298488330456514</v>
      </c>
      <c r="BG91" s="20">
        <f t="shared" si="61"/>
        <v>421.01836541628609</v>
      </c>
      <c r="BH91" s="59">
        <f t="shared" si="62"/>
        <v>694.70009778547978</v>
      </c>
      <c r="BI91" s="59">
        <f ca="1">AVERAGE(OFFSET($BH$3,0,0,'Données projet'!$E$11+1,1))-AVERAGE(OFFSET($H$3,0,0,'Données projet'!$E$11+1,1))</f>
        <v>332.21938212432008</v>
      </c>
      <c r="BJ91" s="59">
        <f t="shared" si="92"/>
        <v>237.47732529948181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25.552000745577669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25.552000745577669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7.4950142450142421</v>
      </c>
      <c r="BY91" s="12">
        <f>IF('Données projet'!$A$114&gt;35,BY90+BX91-CG90,IF(A91&lt;'Données projet'!$A$114,$BV$205^A91,IF(A91='Données projet'!$A$114,'Données projet'!$B$114,BY90+BX91-CG90)))</f>
        <v>288.36396011396039</v>
      </c>
      <c r="BZ91" s="13">
        <f>BY91*VLOOKUP('Données projet'!$B$12,Paramètres!$A$1:$I$89,3,0)*VLOOKUP('Données projet'!$B$12,Paramètres!$A$1:$I$89,5,0)</f>
        <v>274.40714444444473</v>
      </c>
      <c r="CA91" s="13">
        <f t="shared" si="93"/>
        <v>65.78369339140977</v>
      </c>
      <c r="CB91" s="20">
        <f t="shared" si="64"/>
        <v>592.49904256411321</v>
      </c>
      <c r="CC91" s="59">
        <f t="shared" si="65"/>
        <v>866.18077493330691</v>
      </c>
      <c r="CD91" s="59">
        <f ca="1">AVERAGE(OFFSET($CC$3,0,0,'Données projet'!$E$12+1,1))-AVERAGE(OFFSET($H$3,0,0,'Données projet'!$E$12+1,1))</f>
        <v>439.09551305860475</v>
      </c>
      <c r="CE91" s="59">
        <f t="shared" si="94"/>
        <v>311.31528017256846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29.408906518495051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29.408906518495051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7.4950142450142421</v>
      </c>
      <c r="CT91" s="12">
        <f>IF('Données projet'!$A$140&gt;35,CT90+CS91-DB90,IF(A91&lt;'Données projet'!$A$140,$CQ$205^A91,IF(A91='Données projet'!$A$140,'Données projet'!$B$140,CT90+CS91-DB90)))</f>
        <v>288.36396011396039</v>
      </c>
      <c r="CU91" s="17">
        <f>CT91*VLOOKUP('Données projet'!$B$13,Paramètres!$A$1:$I$89,3,0)*VLOOKUP('Données projet'!$B$13,Paramètres!$A$1:$I$89,5,0)</f>
        <v>278.90562222222252</v>
      </c>
      <c r="CV91" s="13">
        <f t="shared" si="95"/>
        <v>66.735682711589348</v>
      </c>
      <c r="CW91" s="20">
        <f t="shared" si="67"/>
        <v>601.99193942638897</v>
      </c>
      <c r="CX91" s="59">
        <f t="shared" si="68"/>
        <v>875.67367179558266</v>
      </c>
      <c r="CY91" s="59">
        <f ca="1">AVERAGE(OFFSET($CX$3,0,0,'Données projet'!$E$13+1,1))-AVERAGE(OFFSET($H$3,0,0,'Données projet'!$E$13+1,1))</f>
        <v>445.01146841309549</v>
      </c>
      <c r="CZ91" s="59">
        <f t="shared" si="96"/>
        <v>315.40159257508969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29.891019740109726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29.891019740109726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-1.1368683772161603E-13</v>
      </c>
      <c r="DP91" s="17">
        <f>DO91*VLOOKUP('Données projet'!$B$14,Paramètres!$A$1:$I$89,3,0)*VLOOKUP('Données projet'!$B$14,Paramètres!$A$1:$I$89,5,0)</f>
        <v>-6.3550942286383367E-14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349.00268383833668</v>
      </c>
      <c r="DU91" s="59">
        <f t="shared" si="98"/>
        <v>459.94854391583749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117.9073861196668</v>
      </c>
      <c r="EB91" s="21">
        <f>EXP(-LN(2)/25)*EB90+(1-EXP(-LN(2)/25))/(LN(2)/25)*Calculateur!DW91*Calculateur!DY91*VLOOKUP('Données projet'!$B$14,Paramètres!$A$1:$I$89,3,0)*0.475*44/12</f>
        <v>23.073888738414706</v>
      </c>
      <c r="EC91" s="21">
        <f>EXP(-LN(2)/2)*EC90+(1-EXP(-LN(2)/2))/(LN(2)/2)*DW91*DZ91*VLOOKUP('Données projet'!$B$14,Paramètres!$A$1:$I$89,3,0)*0.475*44/12</f>
        <v>3.6858657402775709E-4</v>
      </c>
      <c r="ED91" s="22">
        <f t="shared" si="72"/>
        <v>140.98164344465553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1.7053025658242404E-13</v>
      </c>
      <c r="EK91" s="17">
        <f>EJ91*VLOOKUP('Données projet'!$B$15,Paramètres!$A$1:$I$89,3,0)*VLOOKUP('Données projet'!$B$15,Paramètres!$A$1:$I$89,5,0)</f>
        <v>1.3301360013429075E-13</v>
      </c>
      <c r="EL91" s="13">
        <f t="shared" si="99"/>
        <v>1.9329766731057041E-12</v>
      </c>
      <c r="EM91" s="20">
        <f t="shared" si="73"/>
        <v>3.5982663925596575E-12</v>
      </c>
      <c r="EN91" s="59">
        <f t="shared" si="74"/>
        <v>273.68173236919728</v>
      </c>
      <c r="EO91" s="59">
        <f ca="1">AVERAGE(OFFSET($EN$3,0,0,'Données projet'!$E$15+1,1))-AVERAGE(OFFSET($H$3,0,0,'Données projet'!$E$15+1,1))</f>
        <v>308.82719216177946</v>
      </c>
      <c r="EP91" s="59">
        <f t="shared" si="100"/>
        <v>302.59481222418219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55.690959882493949</v>
      </c>
      <c r="EW91" s="21">
        <f>EXP(-LN(2)/25)*EW90+(1-EXP(-LN(2)/25))/(LN(2)/25)*Calculateur!ER91*Calculateur!ET91*VLOOKUP('Données projet'!$B$15,Paramètres!$A$1:$I$89,3,0)*0.475*44/12</f>
        <v>40.277483413596158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95.968443296090101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852.34770000313597</v>
      </c>
      <c r="S92" s="59">
        <f ca="1">AVERAGE(OFFSET($R$3,0,0,'Données projet'!$E$9+1,1))-AVERAGE(OFFSET($H$3,0,0,'Données projet'!$E$9+1,1))</f>
        <v>421.33534980160005</v>
      </c>
      <c r="T92" s="59">
        <f t="shared" si="88"/>
        <v>299.0473530693472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295.85897435897436</v>
      </c>
      <c r="AG92" s="12">
        <f>VLOOKUP(A92,'Données projet'!$A$61:$I$81,9,0)</f>
        <v>7.4950142450142421</v>
      </c>
      <c r="AH92" s="12">
        <f t="array" ref="AH92">INDEX(AG:AG,MIN(IF(ISNUMBER(AG92:AG288),ROW(AG92:AG288),"")))</f>
        <v>7.4950142450142421</v>
      </c>
      <c r="AI92" s="13">
        <f>IF('Données projet'!$A$62&gt;35,AI91+AH92-AQ91,IF(A92&lt;'Données projet'!$A$62,$AF$205^A92,IF(A92='Données projet'!$A$62,'Données projet'!$B$62,AI91+AH92-AQ91)))</f>
        <v>295.85897435897465</v>
      </c>
      <c r="AJ92" s="13">
        <f>AI92*VLOOKUP('Données projet'!$B$10,Paramètres!$A$1:$I$89,3,0)*VLOOKUP('Données projet'!$B$10,Paramètres!$A$1:$I$89,5,0)</f>
        <v>300.00100000000032</v>
      </c>
      <c r="AK92" s="13">
        <f t="shared" si="89"/>
        <v>71.176673114058119</v>
      </c>
      <c r="AL92" s="20">
        <f t="shared" si="58"/>
        <v>646.46778067365187</v>
      </c>
      <c r="AM92" s="59">
        <f t="shared" si="59"/>
        <v>920.4904243851754</v>
      </c>
      <c r="AN92" s="59">
        <f ca="1">AVERAGE(OFFSET($AM$3,0,0,'Données projet'!$E$10+1,1))-AVERAGE(OFFSET($H$3,0,0,'Données projet'!$E$10+1,1))</f>
        <v>462.74754756814662</v>
      </c>
      <c r="AO92" s="59">
        <f t="shared" si="90"/>
        <v>327.65191293226667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49.391025641025635</v>
      </c>
      <c r="AR92" s="16">
        <f>IF(ISNA(VLOOKUP(A92,'Données projet'!$A$61:$I$81,5,0)),0%,VLOOKUP(A92,'Données projet'!$A$61:$I$81,5,0)*VLOOKUP('Données projet'!$B$10,Paramètres!$A$1:$I$89,7,0))</f>
        <v>0.30099999999999999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47.387633706095151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47.387633706095151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295.85897435897436</v>
      </c>
      <c r="BB92" s="12">
        <f>VLOOKUP(A92,'Données projet'!$A$87:$I$107,9,0)</f>
        <v>7.4950142450142421</v>
      </c>
      <c r="BC92" s="12">
        <f t="array" ref="BC92">INDEX(BB:BB,MIN(IF(ISNUMBER(BB92:BB288),ROW(BB92:BB288),"")))</f>
        <v>7.4950142450142421</v>
      </c>
      <c r="BD92" s="12">
        <f>IF('Données projet'!$A$88&gt;35,BD91+BC92-BL91,IF(A92&lt;'Données projet'!$A$88,$BA$205^A92,IF(A92='Données projet'!$A$88,'Données projet'!$B$88,BD91+BC92-BL91)))</f>
        <v>295.85897435897465</v>
      </c>
      <c r="BE92" s="13">
        <f>BD92*VLOOKUP('Données projet'!$B$11,Paramètres!$A$1:$I$89,3,0)*VLOOKUP('Données projet'!$B$11,Paramètres!$A$1:$I$89,5,0)</f>
        <v>198.46220000000019</v>
      </c>
      <c r="BF92" s="13">
        <f t="shared" si="91"/>
        <v>49.406054157567723</v>
      </c>
      <c r="BG92" s="20">
        <f t="shared" si="61"/>
        <v>431.70387599109745</v>
      </c>
      <c r="BH92" s="59">
        <f t="shared" si="62"/>
        <v>705.72651970262109</v>
      </c>
      <c r="BI92" s="59">
        <f ca="1">AVERAGE(OFFSET($BH$3,0,0,'Données projet'!$E$11+1,1))-AVERAGE(OFFSET($H$3,0,0,'Données projet'!$E$11+1,1))</f>
        <v>332.21938212432008</v>
      </c>
      <c r="BJ92" s="59">
        <f t="shared" si="92"/>
        <v>237.47732529948181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49.391025641025635</v>
      </c>
      <c r="BM92" s="16">
        <f>IF(ISNA(VLOOKUP(A92,'Données projet'!$A$87:$I$107,5,0)),0%,VLOOKUP(A92,'Données projet'!$A$87:$I$107,5,0)*VLOOKUP('Données projet'!$B$11,Paramètres!$A$1:$I$89,7,0))</f>
        <v>0.371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38.639147483431429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38.639147483431429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295.85897435897436</v>
      </c>
      <c r="BW92" s="12">
        <f>VLOOKUP(A92,'Données projet'!$A$113:$I$133,9,0)</f>
        <v>7.4950142450142421</v>
      </c>
      <c r="BX92" s="12">
        <f t="array" ref="BX92">INDEX(BW:BW,MIN(IF(ISNUMBER(BW92:BW288),ROW(BW92:BW288),"")))</f>
        <v>7.4950142450142421</v>
      </c>
      <c r="BY92" s="12">
        <f>IF('Données projet'!$A$114&gt;35,BY91+BX92-CG91,IF(A92&lt;'Données projet'!$A$114,$BV$205^A92,IF(A92='Données projet'!$A$114,'Données projet'!$B$114,BY91+BX92-CG91)))</f>
        <v>295.85897435897465</v>
      </c>
      <c r="BZ92" s="13">
        <f>BY92*VLOOKUP('Données projet'!$B$12,Paramètres!$A$1:$I$89,3,0)*VLOOKUP('Données projet'!$B$12,Paramètres!$A$1:$I$89,5,0)</f>
        <v>281.53940000000028</v>
      </c>
      <c r="CA92" s="13">
        <f t="shared" si="93"/>
        <v>67.29222447178195</v>
      </c>
      <c r="CB92" s="20">
        <f t="shared" si="64"/>
        <v>607.54841262168736</v>
      </c>
      <c r="CC92" s="59">
        <f t="shared" si="65"/>
        <v>881.57105633321089</v>
      </c>
      <c r="CD92" s="59">
        <f ca="1">AVERAGE(OFFSET($CC$3,0,0,'Données projet'!$E$12+1,1))-AVERAGE(OFFSET($H$3,0,0,'Données projet'!$E$12+1,1))</f>
        <v>439.09551305860475</v>
      </c>
      <c r="CE92" s="59">
        <f t="shared" si="94"/>
        <v>311.31528017256846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49.391025641025635</v>
      </c>
      <c r="CH92" s="16">
        <f>IF(ISNA(VLOOKUP(A92,'Données projet'!$A$113:$I$133,5,0)),0%,VLOOKUP(A92,'Données projet'!$A$113:$I$133,5,0)*VLOOKUP('Données projet'!$B$12,Paramètres!$A$1:$I$89,7,0))</f>
        <v>0.30099999999999999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44.471471631873911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44.471471631873911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>
        <f>VLOOKUP(A92,'Données projet'!$A$139:$I$159,2,0)</f>
        <v>295.85897435897436</v>
      </c>
      <c r="CR92" s="12">
        <f>VLOOKUP(A92,'Données projet'!$A$139:$I$159,9,0)</f>
        <v>7.4950142450142421</v>
      </c>
      <c r="CS92" s="12">
        <f t="array" ref="CS92">INDEX(CR:CR,MIN(IF(ISNUMBER(CR92:CR288),ROW(CR92:CR288),"")))</f>
        <v>7.4950142450142421</v>
      </c>
      <c r="CT92" s="12">
        <f>IF('Données projet'!$A$140&gt;35,CT91+CS92-DB91,IF(A92&lt;'Données projet'!$A$140,$CQ$205^A92,IF(A92='Données projet'!$A$140,'Données projet'!$B$140,CT91+CS92-DB91)))</f>
        <v>295.85897435897465</v>
      </c>
      <c r="CU92" s="17">
        <f>CT92*VLOOKUP('Données projet'!$B$13,Paramètres!$A$1:$I$89,3,0)*VLOOKUP('Données projet'!$B$13,Paramètres!$A$1:$I$89,5,0)</f>
        <v>286.15480000000025</v>
      </c>
      <c r="CV92" s="13">
        <f t="shared" si="95"/>
        <v>68.266044513279169</v>
      </c>
      <c r="CW92" s="20">
        <f t="shared" si="67"/>
        <v>617.28297086062821</v>
      </c>
      <c r="CX92" s="59">
        <f t="shared" si="68"/>
        <v>891.30561457215185</v>
      </c>
      <c r="CY92" s="59">
        <f ca="1">AVERAGE(OFFSET($CX$3,0,0,'Données projet'!$E$13+1,1))-AVERAGE(OFFSET($H$3,0,0,'Données projet'!$E$13+1,1))</f>
        <v>445.01146841309549</v>
      </c>
      <c r="CZ92" s="59">
        <f t="shared" si="96"/>
        <v>315.40159257508969</v>
      </c>
      <c r="DA92" s="15">
        <f>IF(ISNA(VLOOKUP(A92,'Données projet'!$A$139:$I$159,3,0)),0,VLOOKUP(A92,'Données projet'!$A$139:$I$159,3,0))</f>
        <v>8</v>
      </c>
      <c r="DB92" s="15">
        <f>IF(ISNA(VLOOKUP(A92,'Données projet'!$A$139:$I$159,4,0)),0,VLOOKUP(A92,'Données projet'!$A$139:$I$159,4,0))</f>
        <v>49.391025641025635</v>
      </c>
      <c r="DC92" s="16">
        <f>IF(ISNA(VLOOKUP(A92,'Données projet'!$A$139:$I$159,5,0)),0%,VLOOKUP(A92,'Données projet'!$A$139:$I$159,5,0)*VLOOKUP('Données projet'!$B$13,Paramètres!$A$1:$I$89,7,0))</f>
        <v>0.30099999999999999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45.200512150429219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45.200512150429219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-1.1368683772161603E-13</v>
      </c>
      <c r="DP92" s="17">
        <f>DO92*VLOOKUP('Données projet'!$B$14,Paramètres!$A$1:$I$89,3,0)*VLOOKUP('Données projet'!$B$14,Paramètres!$A$1:$I$89,5,0)</f>
        <v>-6.3550942286383367E-14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349.00268383833668</v>
      </c>
      <c r="DU92" s="59">
        <f t="shared" si="98"/>
        <v>459.94854391583749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115.59529419426451</v>
      </c>
      <c r="EB92" s="21">
        <f>EXP(-LN(2)/25)*EB91+(1-EXP(-LN(2)/25))/(LN(2)/25)*Calculateur!DW92*Calculateur!DY92*VLOOKUP('Données projet'!$B$14,Paramètres!$A$1:$I$89,3,0)*0.475*44/12</f>
        <v>22.442932037459684</v>
      </c>
      <c r="EC92" s="21">
        <f>EXP(-LN(2)/2)*EC91+(1-EXP(-LN(2)/2))/(LN(2)/2)*DW92*DZ92*VLOOKUP('Données projet'!$B$14,Paramètres!$A$1:$I$89,3,0)*0.475*44/12</f>
        <v>2.6063006594934443E-4</v>
      </c>
      <c r="ED92" s="22">
        <f t="shared" si="72"/>
        <v>138.03848686179015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1.7053025658242404E-13</v>
      </c>
      <c r="EK92" s="17">
        <f>EJ92*VLOOKUP('Données projet'!$B$15,Paramètres!$A$1:$I$89,3,0)*VLOOKUP('Données projet'!$B$15,Paramètres!$A$1:$I$89,5,0)</f>
        <v>1.3301360013429075E-13</v>
      </c>
      <c r="EL92" s="13">
        <f t="shared" si="99"/>
        <v>1.9329766731057041E-12</v>
      </c>
      <c r="EM92" s="20">
        <f t="shared" si="73"/>
        <v>3.5982663925596575E-12</v>
      </c>
      <c r="EN92" s="59">
        <f t="shared" si="74"/>
        <v>274.02264371152717</v>
      </c>
      <c r="EO92" s="59">
        <f ca="1">AVERAGE(OFFSET($EN$3,0,0,'Données projet'!$E$15+1,1))-AVERAGE(OFFSET($H$3,0,0,'Données projet'!$E$15+1,1))</f>
        <v>308.82719216177946</v>
      </c>
      <c r="EP92" s="59">
        <f t="shared" si="100"/>
        <v>302.59481222418219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54.5988941273297</v>
      </c>
      <c r="EW92" s="21">
        <f>EXP(-LN(2)/25)*EW91+(1-EXP(-LN(2)/25))/(LN(2)/25)*Calculateur!ER92*Calculateur!ET92*VLOOKUP('Données projet'!$B$15,Paramètres!$A$1:$I$89,3,0)*0.475*44/12</f>
        <v>39.176093511550576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93.774987638880276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771.90545935106047</v>
      </c>
      <c r="S93" s="59">
        <f ca="1">AVERAGE(OFFSET($R$3,0,0,'Données projet'!$E$9+1,1))-AVERAGE(OFFSET($H$3,0,0,'Données projet'!$E$9+1,1))</f>
        <v>421.33534980160005</v>
      </c>
      <c r="T93" s="59">
        <f t="shared" si="88"/>
        <v>299.0473530693472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7.1782051282051267</v>
      </c>
      <c r="AI93" s="13">
        <f>IF('Données projet'!$A$62&gt;35,AI92+AH93-AQ92,IF(A93&lt;'Données projet'!$A$62,$AF$205^A93,IF(A93='Données projet'!$A$62,'Données projet'!$B$62,AI92+AH93-AQ92)))</f>
        <v>253.64615384615416</v>
      </c>
      <c r="AJ93" s="13">
        <f>AI93*VLOOKUP('Données projet'!$B$10,Paramètres!$A$1:$I$89,3,0)*VLOOKUP('Données projet'!$B$10,Paramètres!$A$1:$I$89,5,0)</f>
        <v>257.19720000000035</v>
      </c>
      <c r="AK93" s="13">
        <f t="shared" si="89"/>
        <v>62.124557913773614</v>
      </c>
      <c r="AL93" s="20">
        <f t="shared" si="58"/>
        <v>556.15206169982298</v>
      </c>
      <c r="AM93" s="59">
        <f t="shared" si="59"/>
        <v>830.5097027040506</v>
      </c>
      <c r="AN93" s="59">
        <f ca="1">AVERAGE(OFFSET($AM$3,0,0,'Données projet'!$E$10+1,1))-AVERAGE(OFFSET($H$3,0,0,'Données projet'!$E$10+1,1))</f>
        <v>462.74754756814662</v>
      </c>
      <c r="AO93" s="59">
        <f t="shared" si="90"/>
        <v>327.65191293226667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46.458391112721195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46.458391112721195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7.1782051282051267</v>
      </c>
      <c r="BD93" s="12">
        <f>IF('Données projet'!$A$88&gt;35,BD92+BC93-BL92,IF(A93&lt;'Données projet'!$A$88,$BA$205^A93,IF(A93='Données projet'!$A$88,'Données projet'!$B$88,BD92+BC93-BL92)))</f>
        <v>253.64615384615416</v>
      </c>
      <c r="BE93" s="13">
        <f>BD93*VLOOKUP('Données projet'!$B$11,Paramètres!$A$1:$I$89,3,0)*VLOOKUP('Données projet'!$B$11,Paramètres!$A$1:$I$89,5,0)</f>
        <v>170.14584000000022</v>
      </c>
      <c r="BF93" s="13">
        <f t="shared" si="91"/>
        <v>43.122685263532333</v>
      </c>
      <c r="BG93" s="20">
        <f t="shared" si="61"/>
        <v>371.4426815006525</v>
      </c>
      <c r="BH93" s="59">
        <f t="shared" si="62"/>
        <v>645.80032250488011</v>
      </c>
      <c r="BI93" s="59">
        <f ca="1">AVERAGE(OFFSET($BH$3,0,0,'Données projet'!$E$11+1,1))-AVERAGE(OFFSET($H$3,0,0,'Données projet'!$E$11+1,1))</f>
        <v>332.21938212432008</v>
      </c>
      <c r="BJ93" s="59">
        <f t="shared" si="92"/>
        <v>237.47732529948181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37.881457368834198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37.881457368834198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7.1782051282051267</v>
      </c>
      <c r="BY93" s="12">
        <f>IF('Données projet'!$A$114&gt;35,BY92+BX93-CG92,IF(A93&lt;'Données projet'!$A$114,$BV$205^A93,IF(A93='Données projet'!$A$114,'Données projet'!$B$114,BY92+BX93-CG92)))</f>
        <v>253.64615384615416</v>
      </c>
      <c r="BZ93" s="13">
        <f>BY93*VLOOKUP('Données projet'!$B$12,Paramètres!$A$1:$I$89,3,0)*VLOOKUP('Données projet'!$B$12,Paramètres!$A$1:$I$89,5,0)</f>
        <v>241.36968000000027</v>
      </c>
      <c r="CA93" s="13">
        <f t="shared" si="93"/>
        <v>58.734126132093422</v>
      </c>
      <c r="CB93" s="20">
        <f t="shared" si="64"/>
        <v>522.68079568006328</v>
      </c>
      <c r="CC93" s="59">
        <f t="shared" si="65"/>
        <v>797.0384366842909</v>
      </c>
      <c r="CD93" s="59">
        <f ca="1">AVERAGE(OFFSET($CC$3,0,0,'Données projet'!$E$12+1,1))-AVERAGE(OFFSET($H$3,0,0,'Données projet'!$E$12+1,1))</f>
        <v>439.09551305860475</v>
      </c>
      <c r="CE93" s="59">
        <f t="shared" si="94"/>
        <v>311.31528017256846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43.599413198092194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43.599413198092194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7.1782051282051267</v>
      </c>
      <c r="CT93" s="12">
        <f>IF('Données projet'!$A$140&gt;35,CT92+CS93-DB92,IF(A93&lt;'Données projet'!$A$140,$CQ$205^A93,IF(A93='Données projet'!$A$140,'Données projet'!$B$140,CT92+CS93-DB92)))</f>
        <v>253.64615384615416</v>
      </c>
      <c r="CU93" s="17">
        <f>CT93*VLOOKUP('Données projet'!$B$13,Paramètres!$A$1:$I$89,3,0)*VLOOKUP('Données projet'!$B$13,Paramètres!$A$1:$I$89,5,0)</f>
        <v>245.32656000000034</v>
      </c>
      <c r="CV93" s="13">
        <f t="shared" si="95"/>
        <v>59.584097575246503</v>
      </c>
      <c r="CW93" s="20">
        <f t="shared" si="67"/>
        <v>531.05272861022161</v>
      </c>
      <c r="CX93" s="59">
        <f t="shared" si="68"/>
        <v>805.41036961444934</v>
      </c>
      <c r="CY93" s="59">
        <f ca="1">AVERAGE(OFFSET($CX$3,0,0,'Données projet'!$E$13+1,1))-AVERAGE(OFFSET($H$3,0,0,'Données projet'!$E$13+1,1))</f>
        <v>445.01146841309549</v>
      </c>
      <c r="CZ93" s="59">
        <f t="shared" si="96"/>
        <v>315.40159257508969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44.314157676749446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44.314157676749446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-1.1368683772161603E-13</v>
      </c>
      <c r="DP93" s="17">
        <f>DO93*VLOOKUP('Données projet'!$B$14,Paramètres!$A$1:$I$89,3,0)*VLOOKUP('Données projet'!$B$14,Paramètres!$A$1:$I$89,5,0)</f>
        <v>-6.3550942286383367E-14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349.00268383833668</v>
      </c>
      <c r="DU93" s="59">
        <f t="shared" si="98"/>
        <v>459.94854391583749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113.32854098128254</v>
      </c>
      <c r="EB93" s="21">
        <f>EXP(-LN(2)/25)*EB92+(1-EXP(-LN(2)/25))/(LN(2)/25)*Calculateur!DW93*Calculateur!DY93*VLOOKUP('Données projet'!$B$14,Paramètres!$A$1:$I$89,3,0)*0.475*44/12</f>
        <v>21.829228880672847</v>
      </c>
      <c r="EC93" s="21">
        <f>EXP(-LN(2)/2)*EC92+(1-EXP(-LN(2)/2))/(LN(2)/2)*DW93*DZ93*VLOOKUP('Données projet'!$B$14,Paramètres!$A$1:$I$89,3,0)*0.475*44/12</f>
        <v>1.8429328701387854E-4</v>
      </c>
      <c r="ED93" s="22">
        <f t="shared" si="72"/>
        <v>135.15795415524241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1.7053025658242404E-13</v>
      </c>
      <c r="EK93" s="17">
        <f>EJ93*VLOOKUP('Données projet'!$B$15,Paramètres!$A$1:$I$89,3,0)*VLOOKUP('Données projet'!$B$15,Paramètres!$A$1:$I$89,5,0)</f>
        <v>1.3301360013429075E-13</v>
      </c>
      <c r="EL93" s="13">
        <f t="shared" si="99"/>
        <v>1.9329766731057041E-12</v>
      </c>
      <c r="EM93" s="20">
        <f t="shared" si="73"/>
        <v>3.5982663925596575E-12</v>
      </c>
      <c r="EN93" s="59">
        <f t="shared" si="74"/>
        <v>274.35764100423125</v>
      </c>
      <c r="EO93" s="59">
        <f ca="1">AVERAGE(OFFSET($EN$3,0,0,'Données projet'!$E$15+1,1))-AVERAGE(OFFSET($H$3,0,0,'Données projet'!$E$15+1,1))</f>
        <v>308.82719216177946</v>
      </c>
      <c r="EP93" s="59">
        <f t="shared" si="100"/>
        <v>302.59481222418219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53.528243115529882</v>
      </c>
      <c r="EW93" s="21">
        <f>EXP(-LN(2)/25)*EW92+(1-EXP(-LN(2)/25))/(LN(2)/25)*Calculateur!ER93*Calculateur!ET93*VLOOKUP('Données projet'!$B$15,Paramètres!$A$1:$I$89,3,0)*0.475*44/12</f>
        <v>38.104821174296006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91.633064289825882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785.98901028885848</v>
      </c>
      <c r="S94" s="59">
        <f ca="1">AVERAGE(OFFSET($R$3,0,0,'Données projet'!$E$9+1,1))-AVERAGE(OFFSET($H$3,0,0,'Données projet'!$E$9+1,1))</f>
        <v>421.33534980160005</v>
      </c>
      <c r="T94" s="59">
        <f t="shared" si="88"/>
        <v>299.0473530693472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7.1782051282051267</v>
      </c>
      <c r="AI94" s="13">
        <f>IF('Données projet'!$A$62&gt;35,AI93+AH94-AQ93,IF(A94&lt;'Données projet'!$A$62,$AF$205^A94,IF(A94='Données projet'!$A$62,'Données projet'!$B$62,AI93+AH94-AQ93)))</f>
        <v>260.82435897435931</v>
      </c>
      <c r="AJ94" s="13">
        <f>AI94*VLOOKUP('Données projet'!$B$10,Paramètres!$A$1:$I$89,3,0)*VLOOKUP('Données projet'!$B$10,Paramètres!$A$1:$I$89,5,0)</f>
        <v>264.47590000000037</v>
      </c>
      <c r="AK94" s="13">
        <f t="shared" si="89"/>
        <v>63.675509123397234</v>
      </c>
      <c r="AL94" s="20">
        <f t="shared" si="58"/>
        <v>571.53037088991744</v>
      </c>
      <c r="AM94" s="59">
        <f t="shared" si="59"/>
        <v>846.21719773276254</v>
      </c>
      <c r="AN94" s="59">
        <f ca="1">AVERAGE(OFFSET($AM$3,0,0,'Données projet'!$E$10+1,1))-AVERAGE(OFFSET($H$3,0,0,'Données projet'!$E$10+1,1))</f>
        <v>462.74754756814662</v>
      </c>
      <c r="AO94" s="59">
        <f t="shared" si="90"/>
        <v>327.65191293226667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45.547370399821283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45.547370399821283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7.1782051282051267</v>
      </c>
      <c r="BD94" s="12">
        <f>IF('Données projet'!$A$88&gt;35,BD93+BC94-BL93,IF(A94&lt;'Données projet'!$A$88,$BA$205^A94,IF(A94='Données projet'!$A$88,'Données projet'!$B$88,BD93+BC94-BL93)))</f>
        <v>260.82435897435931</v>
      </c>
      <c r="BE94" s="13">
        <f>BD94*VLOOKUP('Données projet'!$B$11,Paramètres!$A$1:$I$89,3,0)*VLOOKUP('Données projet'!$B$11,Paramètres!$A$1:$I$89,5,0)</f>
        <v>174.96098000000023</v>
      </c>
      <c r="BF94" s="13">
        <f t="shared" si="91"/>
        <v>44.199251167864752</v>
      </c>
      <c r="BG94" s="20">
        <f t="shared" si="61"/>
        <v>381.7040692840315</v>
      </c>
      <c r="BH94" s="59">
        <f t="shared" si="62"/>
        <v>656.39089612687656</v>
      </c>
      <c r="BI94" s="59">
        <f ca="1">AVERAGE(OFFSET($BH$3,0,0,'Données projet'!$E$11+1,1))-AVERAGE(OFFSET($H$3,0,0,'Données projet'!$E$11+1,1))</f>
        <v>332.21938212432008</v>
      </c>
      <c r="BJ94" s="59">
        <f t="shared" si="92"/>
        <v>237.47732529948181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37.138625095238886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37.138625095238886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7.1782051282051267</v>
      </c>
      <c r="BY94" s="12">
        <f>IF('Données projet'!$A$114&gt;35,BY93+BX94-CG93,IF(A94&lt;'Données projet'!$A$114,$BV$205^A94,IF(A94='Données projet'!$A$114,'Données projet'!$B$114,BY93+BX94-CG93)))</f>
        <v>260.82435897435931</v>
      </c>
      <c r="BZ94" s="13">
        <f>BY94*VLOOKUP('Données projet'!$B$12,Paramètres!$A$1:$I$89,3,0)*VLOOKUP('Données projet'!$B$12,Paramètres!$A$1:$I$89,5,0)</f>
        <v>248.20046000000033</v>
      </c>
      <c r="CA94" s="13">
        <f t="shared" si="93"/>
        <v>60.200434578057589</v>
      </c>
      <c r="CB94" s="20">
        <f t="shared" si="64"/>
        <v>537.13155805678423</v>
      </c>
      <c r="CC94" s="59">
        <f t="shared" si="65"/>
        <v>811.81838489962934</v>
      </c>
      <c r="CD94" s="59">
        <f ca="1">AVERAGE(OFFSET($CC$3,0,0,'Données projet'!$E$12+1,1))-AVERAGE(OFFSET($H$3,0,0,'Données projet'!$E$12+1,1))</f>
        <v>439.09551305860475</v>
      </c>
      <c r="CE94" s="59">
        <f t="shared" si="94"/>
        <v>311.31528017256846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42.744455298293815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42.744455298293815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7.1782051282051267</v>
      </c>
      <c r="CT94" s="12">
        <f>IF('Données projet'!$A$140&gt;35,CT93+CS94-DB93,IF(A94&lt;'Données projet'!$A$140,$CQ$205^A94,IF(A94='Données projet'!$A$140,'Données projet'!$B$140,CT93+CS94-DB93)))</f>
        <v>260.82435897435931</v>
      </c>
      <c r="CU94" s="17">
        <f>CT94*VLOOKUP('Données projet'!$B$13,Paramètres!$A$1:$I$89,3,0)*VLOOKUP('Données projet'!$B$13,Paramètres!$A$1:$I$89,5,0)</f>
        <v>252.26932000000031</v>
      </c>
      <c r="CV94" s="13">
        <f t="shared" si="95"/>
        <v>61.071625717288512</v>
      </c>
      <c r="CW94" s="20">
        <f t="shared" si="67"/>
        <v>545.7354804576114</v>
      </c>
      <c r="CX94" s="59">
        <f t="shared" si="68"/>
        <v>820.4223073004564</v>
      </c>
      <c r="CY94" s="59">
        <f ca="1">AVERAGE(OFFSET($CX$3,0,0,'Données projet'!$E$13+1,1))-AVERAGE(OFFSET($H$3,0,0,'Données projet'!$E$13+1,1))</f>
        <v>445.01146841309549</v>
      </c>
      <c r="CZ94" s="59">
        <f t="shared" si="96"/>
        <v>315.40159257508969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43.445184073675684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43.445184073675684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-1.1368683772161603E-13</v>
      </c>
      <c r="DP94" s="17">
        <f>DO94*VLOOKUP('Données projet'!$B$14,Paramètres!$A$1:$I$89,3,0)*VLOOKUP('Données projet'!$B$14,Paramètres!$A$1:$I$89,5,0)</f>
        <v>-6.3550942286383367E-14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349.00268383833668</v>
      </c>
      <c r="DU94" s="59">
        <f t="shared" si="98"/>
        <v>459.94854391583749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111.1062374162242</v>
      </c>
      <c r="EB94" s="21">
        <f>EXP(-LN(2)/25)*EB93+(1-EXP(-LN(2)/25))/(LN(2)/25)*Calculateur!DW94*Calculateur!DY94*VLOOKUP('Données projet'!$B$14,Paramètres!$A$1:$I$89,3,0)*0.475*44/12</f>
        <v>21.232307468981592</v>
      </c>
      <c r="EC94" s="21">
        <f>EXP(-LN(2)/2)*EC93+(1-EXP(-LN(2)/2))/(LN(2)/2)*DW94*DZ94*VLOOKUP('Données projet'!$B$14,Paramètres!$A$1:$I$89,3,0)*0.475*44/12</f>
        <v>1.3031503297467222E-4</v>
      </c>
      <c r="ED94" s="22">
        <f t="shared" si="72"/>
        <v>132.33867520023878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1.7053025658242404E-13</v>
      </c>
      <c r="EK94" s="17">
        <f>EJ94*VLOOKUP('Données projet'!$B$15,Paramètres!$A$1:$I$89,3,0)*VLOOKUP('Données projet'!$B$15,Paramètres!$A$1:$I$89,5,0)</f>
        <v>1.3301360013429075E-13</v>
      </c>
      <c r="EL94" s="13">
        <f t="shared" si="99"/>
        <v>1.9329766731057041E-12</v>
      </c>
      <c r="EM94" s="20">
        <f t="shared" si="73"/>
        <v>3.5982663925596575E-12</v>
      </c>
      <c r="EN94" s="59">
        <f t="shared" si="74"/>
        <v>274.68682684284863</v>
      </c>
      <c r="EO94" s="59">
        <f ca="1">AVERAGE(OFFSET($EN$3,0,0,'Données projet'!$E$15+1,1))-AVERAGE(OFFSET($H$3,0,0,'Données projet'!$E$15+1,1))</f>
        <v>308.82719216177946</v>
      </c>
      <c r="EP94" s="59">
        <f t="shared" si="100"/>
        <v>302.59481222418219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52.478586917038818</v>
      </c>
      <c r="EW94" s="21">
        <f>EXP(-LN(2)/25)*EW93+(1-EXP(-LN(2)/25))/(LN(2)/25)*Calculateur!ER94*Calculateur!ET94*VLOOKUP('Données projet'!$B$15,Paramètres!$A$1:$I$89,3,0)*0.475*44/12</f>
        <v>37.062842835439426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89.541429752478251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800.05903752932909</v>
      </c>
      <c r="S95" s="59">
        <f ca="1">AVERAGE(OFFSET($R$3,0,0,'Données projet'!$E$9+1,1))-AVERAGE(OFFSET($H$3,0,0,'Données projet'!$E$9+1,1))</f>
        <v>421.33534980160005</v>
      </c>
      <c r="T95" s="59">
        <f t="shared" si="88"/>
        <v>299.0473530693472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7.1782051282051267</v>
      </c>
      <c r="AI95" s="13">
        <f>IF('Données projet'!$A$62&gt;35,AI94+AH95-AQ94,IF(A95&lt;'Données projet'!$A$62,$AF$205^A95,IF(A95='Données projet'!$A$62,'Données projet'!$B$62,AI94+AH95-AQ94)))</f>
        <v>268.00256410256446</v>
      </c>
      <c r="AJ95" s="13">
        <f>AI95*VLOOKUP('Données projet'!$B$10,Paramètres!$A$1:$I$89,3,0)*VLOOKUP('Données projet'!$B$10,Paramètres!$A$1:$I$89,5,0)</f>
        <v>271.75460000000038</v>
      </c>
      <c r="AK95" s="13">
        <f t="shared" si="89"/>
        <v>65.221499194772917</v>
      </c>
      <c r="AL95" s="20">
        <f t="shared" si="58"/>
        <v>586.90003943089675</v>
      </c>
      <c r="AM95" s="59">
        <f t="shared" si="59"/>
        <v>861.91034147400842</v>
      </c>
      <c r="AN95" s="59">
        <f ca="1">AVERAGE(OFFSET($AM$3,0,0,'Données projet'!$E$10+1,1))-AVERAGE(OFFSET($H$3,0,0,'Données projet'!$E$10+1,1))</f>
        <v>462.74754756814662</v>
      </c>
      <c r="AO95" s="59">
        <f t="shared" si="90"/>
        <v>327.65191293226667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44.654214247433572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44.654214247433572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7.1782051282051267</v>
      </c>
      <c r="BD95" s="12">
        <f>IF('Données projet'!$A$88&gt;35,BD94+BC95-BL94,IF(A95&lt;'Données projet'!$A$88,$BA$205^A95,IF(A95='Données projet'!$A$88,'Données projet'!$B$88,BD94+BC95-BL94)))</f>
        <v>268.00256410256446</v>
      </c>
      <c r="BE95" s="13">
        <f>BD95*VLOOKUP('Données projet'!$B$11,Paramètres!$A$1:$I$89,3,0)*VLOOKUP('Données projet'!$B$11,Paramètres!$A$1:$I$89,5,0)</f>
        <v>179.77612000000025</v>
      </c>
      <c r="BF95" s="13">
        <f t="shared" si="91"/>
        <v>45.272373384058447</v>
      </c>
      <c r="BG95" s="20">
        <f t="shared" si="61"/>
        <v>391.95945931056889</v>
      </c>
      <c r="BH95" s="59">
        <f t="shared" si="62"/>
        <v>666.96976135368061</v>
      </c>
      <c r="BI95" s="59">
        <f ca="1">AVERAGE(OFFSET($BH$3,0,0,'Données projet'!$E$11+1,1))-AVERAGE(OFFSET($H$3,0,0,'Données projet'!$E$11+1,1))</f>
        <v>332.21938212432008</v>
      </c>
      <c r="BJ95" s="59">
        <f t="shared" si="92"/>
        <v>237.47732529948181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36.41035930944583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36.41035930944583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7.1782051282051267</v>
      </c>
      <c r="BY95" s="12">
        <f>IF('Données projet'!$A$114&gt;35,BY94+BX95-CG94,IF(A95&lt;'Données projet'!$A$114,$BV$205^A95,IF(A95='Données projet'!$A$114,'Données projet'!$B$114,BY94+BX95-CG94)))</f>
        <v>268.00256410256446</v>
      </c>
      <c r="BZ95" s="13">
        <f>BY95*VLOOKUP('Données projet'!$B$12,Paramètres!$A$1:$I$89,3,0)*VLOOKUP('Données projet'!$B$12,Paramètres!$A$1:$I$89,5,0)</f>
        <v>255.03124000000034</v>
      </c>
      <c r="CA95" s="13">
        <f t="shared" si="93"/>
        <v>61.662052638618768</v>
      </c>
      <c r="CB95" s="20">
        <f t="shared" si="64"/>
        <v>551.57415134559483</v>
      </c>
      <c r="CC95" s="59">
        <f t="shared" si="65"/>
        <v>826.58445338870661</v>
      </c>
      <c r="CD95" s="59">
        <f ca="1">AVERAGE(OFFSET($CC$3,0,0,'Données projet'!$E$12+1,1))-AVERAGE(OFFSET($H$3,0,0,'Données projet'!$E$12+1,1))</f>
        <v>439.09551305860475</v>
      </c>
      <c r="CE95" s="59">
        <f t="shared" si="94"/>
        <v>311.31528017256846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41.906262601437653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41.906262601437653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7.1782051282051267</v>
      </c>
      <c r="CT95" s="12">
        <f>IF('Données projet'!$A$140&gt;35,CT94+CS95-DB94,IF(A95&lt;'Données projet'!$A$140,$CQ$205^A95,IF(A95='Données projet'!$A$140,'Données projet'!$B$140,CT94+CS95-DB94)))</f>
        <v>268.00256410256446</v>
      </c>
      <c r="CU95" s="17">
        <f>CT95*VLOOKUP('Données projet'!$B$13,Paramètres!$A$1:$I$89,3,0)*VLOOKUP('Données projet'!$B$13,Paramètres!$A$1:$I$89,5,0)</f>
        <v>259.21208000000036</v>
      </c>
      <c r="CV95" s="13">
        <f t="shared" si="95"/>
        <v>62.554395596972348</v>
      </c>
      <c r="CW95" s="20">
        <f t="shared" si="67"/>
        <v>560.40994499806072</v>
      </c>
      <c r="CX95" s="59">
        <f t="shared" si="68"/>
        <v>835.42024704117239</v>
      </c>
      <c r="CY95" s="59">
        <f ca="1">AVERAGE(OFFSET($CX$3,0,0,'Données projet'!$E$13+1,1))-AVERAGE(OFFSET($H$3,0,0,'Données projet'!$E$13+1,1))</f>
        <v>445.01146841309549</v>
      </c>
      <c r="CZ95" s="59">
        <f t="shared" si="96"/>
        <v>315.40159257508969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42.593250512936635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42.593250512936635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-1.1368683772161603E-13</v>
      </c>
      <c r="DP95" s="17">
        <f>DO95*VLOOKUP('Données projet'!$B$14,Paramètres!$A$1:$I$89,3,0)*VLOOKUP('Données projet'!$B$14,Paramètres!$A$1:$I$89,5,0)</f>
        <v>-6.3550942286383367E-14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349.00268383833668</v>
      </c>
      <c r="DU95" s="59">
        <f t="shared" si="98"/>
        <v>459.94854391583749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108.92751186860532</v>
      </c>
      <c r="EB95" s="21">
        <f>EXP(-LN(2)/25)*EB94+(1-EXP(-LN(2)/25))/(LN(2)/25)*Calculateur!DW95*Calculateur!DY95*VLOOKUP('Données projet'!$B$14,Paramètres!$A$1:$I$89,3,0)*0.475*44/12</f>
        <v>20.651708904683769</v>
      </c>
      <c r="EC95" s="21">
        <f>EXP(-LN(2)/2)*EC94+(1-EXP(-LN(2)/2))/(LN(2)/2)*DW95*DZ95*VLOOKUP('Données projet'!$B$14,Paramètres!$A$1:$I$89,3,0)*0.475*44/12</f>
        <v>9.2146643506939272E-5</v>
      </c>
      <c r="ED95" s="22">
        <f t="shared" si="72"/>
        <v>129.57931291993259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1.7053025658242404E-13</v>
      </c>
      <c r="EK95" s="17">
        <f>EJ95*VLOOKUP('Données projet'!$B$15,Paramètres!$A$1:$I$89,3,0)*VLOOKUP('Données projet'!$B$15,Paramètres!$A$1:$I$89,5,0)</f>
        <v>1.3301360013429075E-13</v>
      </c>
      <c r="EL95" s="13">
        <f t="shared" si="99"/>
        <v>1.9329766731057041E-12</v>
      </c>
      <c r="EM95" s="20">
        <f t="shared" si="73"/>
        <v>3.5982663925596575E-12</v>
      </c>
      <c r="EN95" s="59">
        <f t="shared" si="74"/>
        <v>275.0103020431153</v>
      </c>
      <c r="EO95" s="59">
        <f ca="1">AVERAGE(OFFSET($EN$3,0,0,'Données projet'!$E$15+1,1))-AVERAGE(OFFSET($H$3,0,0,'Données projet'!$E$15+1,1))</f>
        <v>308.82719216177946</v>
      </c>
      <c r="EP95" s="59">
        <f t="shared" si="100"/>
        <v>302.59481222418219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51.4495138363731</v>
      </c>
      <c r="EW95" s="21">
        <f>EXP(-LN(2)/25)*EW94+(1-EXP(-LN(2)/25))/(LN(2)/25)*Calculateur!ER95*Calculateur!ET95*VLOOKUP('Données projet'!$B$15,Paramètres!$A$1:$I$89,3,0)*0.475*44/12</f>
        <v>36.049357449054135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87.498871285427242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814.11587345617113</v>
      </c>
      <c r="S96" s="59">
        <f ca="1">AVERAGE(OFFSET($R$3,0,0,'Données projet'!$E$9+1,1))-AVERAGE(OFFSET($H$3,0,0,'Données projet'!$E$9+1,1))</f>
        <v>421.33534980160005</v>
      </c>
      <c r="T96" s="59">
        <f t="shared" si="88"/>
        <v>299.0473530693472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7.1782051282051267</v>
      </c>
      <c r="AI96" s="13">
        <f>IF('Données projet'!$A$62&gt;35,AI95+AH96-AQ95,IF(A96&lt;'Données projet'!$A$62,$AF$205^A96,IF(A96='Données projet'!$A$62,'Données projet'!$B$62,AI95+AH96-AQ95)))</f>
        <v>275.18076923076961</v>
      </c>
      <c r="AJ96" s="13">
        <f>AI96*VLOOKUP('Données projet'!$B$10,Paramètres!$A$1:$I$89,3,0)*VLOOKUP('Données projet'!$B$10,Paramètres!$A$1:$I$89,5,0)</f>
        <v>279.03330000000039</v>
      </c>
      <c r="AK96" s="13">
        <f t="shared" si="89"/>
        <v>66.762676279521131</v>
      </c>
      <c r="AL96" s="20">
        <f t="shared" si="58"/>
        <v>602.26132535349996</v>
      </c>
      <c r="AM96" s="59">
        <f t="shared" si="59"/>
        <v>877.58949102533597</v>
      </c>
      <c r="AN96" s="59">
        <f ca="1">AVERAGE(OFFSET($AM$3,0,0,'Données projet'!$E$10+1,1))-AVERAGE(OFFSET($H$3,0,0,'Données projet'!$E$10+1,1))</f>
        <v>462.74754756814662</v>
      </c>
      <c r="AO96" s="59">
        <f t="shared" si="90"/>
        <v>327.65191293226667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43.77857234242272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43.77857234242272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7.1782051282051267</v>
      </c>
      <c r="BD96" s="12">
        <f>IF('Données projet'!$A$88&gt;35,BD95+BC96-BL95,IF(A96&lt;'Données projet'!$A$88,$BA$205^A96,IF(A96='Données projet'!$A$88,'Données projet'!$B$88,BD95+BC96-BL95)))</f>
        <v>275.18076923076961</v>
      </c>
      <c r="BE96" s="13">
        <f>BD96*VLOOKUP('Données projet'!$B$11,Paramètres!$A$1:$I$89,3,0)*VLOOKUP('Données projet'!$B$11,Paramètres!$A$1:$I$89,5,0)</f>
        <v>184.59126000000026</v>
      </c>
      <c r="BF96" s="13">
        <f t="shared" si="91"/>
        <v>46.342154748993174</v>
      </c>
      <c r="BG96" s="20">
        <f t="shared" si="61"/>
        <v>402.20903068783019</v>
      </c>
      <c r="BH96" s="59">
        <f t="shared" si="62"/>
        <v>677.53719635966615</v>
      </c>
      <c r="BI96" s="59">
        <f ca="1">AVERAGE(OFFSET($BH$3,0,0,'Données projet'!$E$11+1,1))-AVERAGE(OFFSET($H$3,0,0,'Données projet'!$E$11+1,1))</f>
        <v>332.21938212432008</v>
      </c>
      <c r="BJ96" s="59">
        <f t="shared" si="92"/>
        <v>237.47732529948181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35.696374371513905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35.696374371513905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7.1782051282051267</v>
      </c>
      <c r="BY96" s="12">
        <f>IF('Données projet'!$A$114&gt;35,BY95+BX96-CG95,IF(A96&lt;'Données projet'!$A$114,$BV$205^A96,IF(A96='Données projet'!$A$114,'Données projet'!$B$114,BY95+BX96-CG95)))</f>
        <v>275.18076923076961</v>
      </c>
      <c r="BZ96" s="13">
        <f>BY96*VLOOKUP('Données projet'!$B$12,Paramètres!$A$1:$I$89,3,0)*VLOOKUP('Données projet'!$B$12,Paramètres!$A$1:$I$89,5,0)</f>
        <v>261.86202000000037</v>
      </c>
      <c r="CA96" s="13">
        <f t="shared" si="93"/>
        <v>63.119120380060529</v>
      </c>
      <c r="CB96" s="20">
        <f t="shared" si="64"/>
        <v>566.00881949527275</v>
      </c>
      <c r="CC96" s="59">
        <f t="shared" si="65"/>
        <v>841.33698516710865</v>
      </c>
      <c r="CD96" s="59">
        <f ca="1">AVERAGE(OFFSET($CC$3,0,0,'Données projet'!$E$12+1,1))-AVERAGE(OFFSET($H$3,0,0,'Données projet'!$E$12+1,1))</f>
        <v>439.09551305860475</v>
      </c>
      <c r="CE96" s="59">
        <f t="shared" si="94"/>
        <v>311.31528017256846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41.084506352119782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41.084506352119782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7.1782051282051267</v>
      </c>
      <c r="CT96" s="12">
        <f>IF('Données projet'!$A$140&gt;35,CT95+CS96-DB95,IF(A96&lt;'Données projet'!$A$140,$CQ$205^A96,IF(A96='Données projet'!$A$140,'Données projet'!$B$140,CT95+CS96-DB95)))</f>
        <v>275.18076923076961</v>
      </c>
      <c r="CU96" s="17">
        <f>CT96*VLOOKUP('Données projet'!$B$13,Paramètres!$A$1:$I$89,3,0)*VLOOKUP('Données projet'!$B$13,Paramètres!$A$1:$I$89,5,0)</f>
        <v>266.15484000000038</v>
      </c>
      <c r="CV96" s="13">
        <f t="shared" si="95"/>
        <v>64.03254930755206</v>
      </c>
      <c r="CW96" s="20">
        <f t="shared" si="67"/>
        <v>575.07636971065381</v>
      </c>
      <c r="CX96" s="59">
        <f t="shared" si="68"/>
        <v>850.40453538248971</v>
      </c>
      <c r="CY96" s="59">
        <f ca="1">AVERAGE(OFFSET($CX$3,0,0,'Données projet'!$E$13+1,1))-AVERAGE(OFFSET($H$3,0,0,'Données projet'!$E$13+1,1))</f>
        <v>445.01146841309549</v>
      </c>
      <c r="CZ96" s="59">
        <f t="shared" si="96"/>
        <v>315.40159257508969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41.758022849695514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41.758022849695514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-1.1368683772161603E-13</v>
      </c>
      <c r="DP96" s="17">
        <f>DO96*VLOOKUP('Données projet'!$B$14,Paramètres!$A$1:$I$89,3,0)*VLOOKUP('Données projet'!$B$14,Paramètres!$A$1:$I$89,5,0)</f>
        <v>-6.3550942286383367E-14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349.00268383833668</v>
      </c>
      <c r="DU96" s="59">
        <f t="shared" si="98"/>
        <v>459.94854391583749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106.79150980008389</v>
      </c>
      <c r="EB96" s="21">
        <f>EXP(-LN(2)/25)*EB95+(1-EXP(-LN(2)/25))/(LN(2)/25)*Calculateur!DW96*Calculateur!DY96*VLOOKUP('Données projet'!$B$14,Paramètres!$A$1:$I$89,3,0)*0.475*44/12</f>
        <v>20.086986838659019</v>
      </c>
      <c r="EC96" s="21">
        <f>EXP(-LN(2)/2)*EC95+(1-EXP(-LN(2)/2))/(LN(2)/2)*DW96*DZ96*VLOOKUP('Données projet'!$B$14,Paramètres!$A$1:$I$89,3,0)*0.475*44/12</f>
        <v>6.5157516487336108E-5</v>
      </c>
      <c r="ED96" s="22">
        <f t="shared" si="72"/>
        <v>126.87856179625939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1.7053025658242404E-13</v>
      </c>
      <c r="EK96" s="17">
        <f>EJ96*VLOOKUP('Données projet'!$B$15,Paramètres!$A$1:$I$89,3,0)*VLOOKUP('Données projet'!$B$15,Paramètres!$A$1:$I$89,5,0)</f>
        <v>1.3301360013429075E-13</v>
      </c>
      <c r="EL96" s="13">
        <f t="shared" si="99"/>
        <v>1.9329766731057041E-12</v>
      </c>
      <c r="EM96" s="20">
        <f t="shared" si="73"/>
        <v>3.5982663925596575E-12</v>
      </c>
      <c r="EN96" s="59">
        <f t="shared" si="74"/>
        <v>275.32816567183954</v>
      </c>
      <c r="EO96" s="59">
        <f ca="1">AVERAGE(OFFSET($EN$3,0,0,'Données projet'!$E$15+1,1))-AVERAGE(OFFSET($H$3,0,0,'Données projet'!$E$15+1,1))</f>
        <v>308.82719216177946</v>
      </c>
      <c r="EP96" s="59">
        <f t="shared" si="100"/>
        <v>302.59481222418219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50.44062025114664</v>
      </c>
      <c r="EW96" s="21">
        <f>EXP(-LN(2)/25)*EW95+(1-EXP(-LN(2)/25))/(LN(2)/25)*Calculateur!ER96*Calculateur!ET96*VLOOKUP('Données projet'!$B$15,Paramètres!$A$1:$I$89,3,0)*0.475*44/12</f>
        <v>35.063585873856432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85.504206125003066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828.15983586886</v>
      </c>
      <c r="S97" s="59">
        <f ca="1">AVERAGE(OFFSET($R$3,0,0,'Données projet'!$E$9+1,1))-AVERAGE(OFFSET($H$3,0,0,'Données projet'!$E$9+1,1))</f>
        <v>421.33534980160005</v>
      </c>
      <c r="T97" s="59">
        <f t="shared" si="88"/>
        <v>299.0473530693472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7.1782051282051267</v>
      </c>
      <c r="AI97" s="13">
        <f>IF('Données projet'!$A$62&gt;35,AI96+AH97-AQ96,IF(A97&lt;'Données projet'!$A$62,$AF$205^A97,IF(A97='Données projet'!$A$62,'Données projet'!$B$62,AI96+AH97-AQ96)))</f>
        <v>282.35897435897476</v>
      </c>
      <c r="AJ97" s="13">
        <f>AI97*VLOOKUP('Données projet'!$B$10,Paramètres!$A$1:$I$89,3,0)*VLOOKUP('Données projet'!$B$10,Paramètres!$A$1:$I$89,5,0)</f>
        <v>286.31200000000047</v>
      </c>
      <c r="AK97" s="13">
        <f t="shared" si="89"/>
        <v>68.299180359837749</v>
      </c>
      <c r="AL97" s="20">
        <f t="shared" si="58"/>
        <v>617.6144724600515</v>
      </c>
      <c r="AM97" s="59">
        <f t="shared" si="59"/>
        <v>893.25498753728994</v>
      </c>
      <c r="AN97" s="59">
        <f ca="1">AVERAGE(OFFSET($AM$3,0,0,'Données projet'!$E$10+1,1))-AVERAGE(OFFSET($H$3,0,0,'Données projet'!$E$10+1,1))</f>
        <v>462.74754756814662</v>
      </c>
      <c r="AO97" s="59">
        <f t="shared" si="90"/>
        <v>327.65191293226667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42.92010124108031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42.92010124108031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7.1782051282051267</v>
      </c>
      <c r="BD97" s="12">
        <f>IF('Données projet'!$A$88&gt;35,BD96+BC97-BL96,IF(A97&lt;'Données projet'!$A$88,$BA$205^A97,IF(A97='Données projet'!$A$88,'Données projet'!$B$88,BD96+BC97-BL96)))</f>
        <v>282.35897435897476</v>
      </c>
      <c r="BE97" s="13">
        <f>BD97*VLOOKUP('Données projet'!$B$11,Paramètres!$A$1:$I$89,3,0)*VLOOKUP('Données projet'!$B$11,Paramètres!$A$1:$I$89,5,0)</f>
        <v>189.40640000000027</v>
      </c>
      <c r="BF97" s="13">
        <f t="shared" si="91"/>
        <v>47.408692428884478</v>
      </c>
      <c r="BG97" s="20">
        <f t="shared" si="61"/>
        <v>412.45295264697421</v>
      </c>
      <c r="BH97" s="59">
        <f t="shared" si="62"/>
        <v>688.0934677242127</v>
      </c>
      <c r="BI97" s="59">
        <f ca="1">AVERAGE(OFFSET($BH$3,0,0,'Données projet'!$E$11+1,1))-AVERAGE(OFFSET($H$3,0,0,'Données projet'!$E$11+1,1))</f>
        <v>332.21938212432008</v>
      </c>
      <c r="BJ97" s="59">
        <f t="shared" si="92"/>
        <v>237.47732529948181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34.996390242727017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34.996390242727017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7.1782051282051267</v>
      </c>
      <c r="BY97" s="12">
        <f>IF('Données projet'!$A$114&gt;35,BY96+BX97-CG96,IF(A97&lt;'Données projet'!$A$114,$BV$205^A97,IF(A97='Données projet'!$A$114,'Données projet'!$B$114,BY96+BX97-CG96)))</f>
        <v>282.35897435897476</v>
      </c>
      <c r="BZ97" s="13">
        <f>BY97*VLOOKUP('Données projet'!$B$12,Paramètres!$A$1:$I$89,3,0)*VLOOKUP('Données projet'!$B$12,Paramètres!$A$1:$I$89,5,0)</f>
        <v>268.69280000000037</v>
      </c>
      <c r="CA97" s="13">
        <f t="shared" si="93"/>
        <v>64.571770145086617</v>
      </c>
      <c r="CB97" s="20">
        <f t="shared" si="64"/>
        <v>580.43579300269312</v>
      </c>
      <c r="CC97" s="59">
        <f t="shared" si="65"/>
        <v>856.07630807993155</v>
      </c>
      <c r="CD97" s="59">
        <f ca="1">AVERAGE(OFFSET($CC$3,0,0,'Données projet'!$E$12+1,1))-AVERAGE(OFFSET($H$3,0,0,'Données projet'!$E$12+1,1))</f>
        <v>439.09551305860475</v>
      </c>
      <c r="CE97" s="59">
        <f t="shared" si="94"/>
        <v>311.31528017256846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40.278864241629208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40.278864241629208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7.1782051282051267</v>
      </c>
      <c r="CT97" s="12">
        <f>IF('Données projet'!$A$140&gt;35,CT96+CS97-DB96,IF(A97&lt;'Données projet'!$A$140,$CQ$205^A97,IF(A97='Données projet'!$A$140,'Données projet'!$B$140,CT96+CS97-DB96)))</f>
        <v>282.35897435897476</v>
      </c>
      <c r="CU97" s="17">
        <f>CT97*VLOOKUP('Données projet'!$B$13,Paramètres!$A$1:$I$89,3,0)*VLOOKUP('Données projet'!$B$13,Paramètres!$A$1:$I$89,5,0)</f>
        <v>273.0976000000004</v>
      </c>
      <c r="CV97" s="13">
        <f t="shared" si="95"/>
        <v>65.506221106930056</v>
      </c>
      <c r="CW97" s="20">
        <f t="shared" si="67"/>
        <v>589.73498842790389</v>
      </c>
      <c r="CX97" s="59">
        <f t="shared" si="68"/>
        <v>865.37550350514243</v>
      </c>
      <c r="CY97" s="59">
        <f ca="1">AVERAGE(OFFSET($CX$3,0,0,'Données projet'!$E$13+1,1))-AVERAGE(OFFSET($H$3,0,0,'Données projet'!$E$13+1,1))</f>
        <v>445.01146841309549</v>
      </c>
      <c r="CZ97" s="59">
        <f t="shared" si="96"/>
        <v>315.40159257508969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40.939173491491985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40.939173491491985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-1.1368683772161603E-13</v>
      </c>
      <c r="DP97" s="17">
        <f>DO97*VLOOKUP('Données projet'!$B$14,Paramètres!$A$1:$I$89,3,0)*VLOOKUP('Données projet'!$B$14,Paramètres!$A$1:$I$89,5,0)</f>
        <v>-6.3550942286383367E-14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349.00268383833668</v>
      </c>
      <c r="DU97" s="59">
        <f t="shared" si="98"/>
        <v>459.94854391583749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104.69739342929354</v>
      </c>
      <c r="EB97" s="21">
        <f>EXP(-LN(2)/25)*EB96+(1-EXP(-LN(2)/25))/(LN(2)/25)*Calculateur!DW97*Calculateur!DY97*VLOOKUP('Données projet'!$B$14,Paramètres!$A$1:$I$89,3,0)*0.475*44/12</f>
        <v>19.537707127227161</v>
      </c>
      <c r="EC97" s="21">
        <f>EXP(-LN(2)/2)*EC96+(1-EXP(-LN(2)/2))/(LN(2)/2)*DW97*DZ97*VLOOKUP('Données projet'!$B$14,Paramètres!$A$1:$I$89,3,0)*0.475*44/12</f>
        <v>4.6073321753469636E-5</v>
      </c>
      <c r="ED97" s="22">
        <f t="shared" si="72"/>
        <v>124.23514662984246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1.7053025658242404E-13</v>
      </c>
      <c r="EK97" s="17">
        <f>EJ97*VLOOKUP('Données projet'!$B$15,Paramètres!$A$1:$I$89,3,0)*VLOOKUP('Données projet'!$B$15,Paramètres!$A$1:$I$89,5,0)</f>
        <v>1.3301360013429075E-13</v>
      </c>
      <c r="EL97" s="13">
        <f t="shared" si="99"/>
        <v>1.9329766731057041E-12</v>
      </c>
      <c r="EM97" s="20">
        <f t="shared" si="73"/>
        <v>3.5982663925596575E-12</v>
      </c>
      <c r="EN97" s="59">
        <f t="shared" si="74"/>
        <v>275.64051507724207</v>
      </c>
      <c r="EO97" s="59">
        <f ca="1">AVERAGE(OFFSET($EN$3,0,0,'Données projet'!$E$15+1,1))-AVERAGE(OFFSET($H$3,0,0,'Données projet'!$E$15+1,1))</f>
        <v>308.82719216177946</v>
      </c>
      <c r="EP97" s="59">
        <f t="shared" si="100"/>
        <v>302.59481222418219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49.451510453762147</v>
      </c>
      <c r="EW97" s="21">
        <f>EXP(-LN(2)/25)*EW96+(1-EXP(-LN(2)/25))/(LN(2)/25)*Calculateur!ER97*Calculateur!ET97*VLOOKUP('Données projet'!$B$15,Paramètres!$A$1:$I$89,3,0)*0.475*44/12</f>
        <v>34.104770274221984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83.556280727984131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842.19122903069069</v>
      </c>
      <c r="S98" s="59">
        <f ca="1">AVERAGE(OFFSET($R$3,0,0,'Données projet'!$E$9+1,1))-AVERAGE(OFFSET($H$3,0,0,'Données projet'!$E$9+1,1))</f>
        <v>421.33534980160005</v>
      </c>
      <c r="T98" s="59">
        <f t="shared" si="88"/>
        <v>299.0473530693472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7.1782051282051267</v>
      </c>
      <c r="AI98" s="13">
        <f>IF('Données projet'!$A$62&gt;35,AI97+AH98-AQ97,IF(A98&lt;'Données projet'!$A$62,$AF$205^A98,IF(A98='Données projet'!$A$62,'Données projet'!$B$62,AI97+AH98-AQ97)))</f>
        <v>289.53717948717991</v>
      </c>
      <c r="AJ98" s="13">
        <f>AI98*VLOOKUP('Données projet'!$B$10,Paramètres!$A$1:$I$89,3,0)*VLOOKUP('Données projet'!$B$10,Paramètres!$A$1:$I$89,5,0)</f>
        <v>293.59070000000042</v>
      </c>
      <c r="AK98" s="13">
        <f t="shared" si="89"/>
        <v>69.831143895049522</v>
      </c>
      <c r="AL98" s="20">
        <f t="shared" si="58"/>
        <v>632.95971145054534</v>
      </c>
      <c r="AM98" s="59">
        <f t="shared" si="59"/>
        <v>908.90715736931134</v>
      </c>
      <c r="AN98" s="59">
        <f ca="1">AVERAGE(OFFSET($AM$3,0,0,'Données projet'!$E$10+1,1))-AVERAGE(OFFSET($H$3,0,0,'Données projet'!$E$10+1,1))</f>
        <v>462.74754756814662</v>
      </c>
      <c r="AO98" s="59">
        <f t="shared" si="90"/>
        <v>327.65191293226667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42.078464234419556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42.078464234419556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7.1782051282051267</v>
      </c>
      <c r="BD98" s="12">
        <f>IF('Données projet'!$A$88&gt;35,BD97+BC98-BL97,IF(A98&lt;'Données projet'!$A$88,$BA$205^A98,IF(A98='Données projet'!$A$88,'Données projet'!$B$88,BD97+BC98-BL97)))</f>
        <v>289.53717948717991</v>
      </c>
      <c r="BE98" s="13">
        <f>BD98*VLOOKUP('Données projet'!$B$11,Paramètres!$A$1:$I$89,3,0)*VLOOKUP('Données projet'!$B$11,Paramètres!$A$1:$I$89,5,0)</f>
        <v>194.22154000000029</v>
      </c>
      <c r="BF98" s="13">
        <f t="shared" si="91"/>
        <v>48.472078368078407</v>
      </c>
      <c r="BG98" s="20">
        <f t="shared" si="61"/>
        <v>422.69138532440371</v>
      </c>
      <c r="BH98" s="59">
        <f t="shared" si="62"/>
        <v>698.63883124316965</v>
      </c>
      <c r="BI98" s="59">
        <f ca="1">AVERAGE(OFFSET($BH$3,0,0,'Données projet'!$E$11+1,1))-AVERAGE(OFFSET($H$3,0,0,'Données projet'!$E$11+1,1))</f>
        <v>332.21938212432008</v>
      </c>
      <c r="BJ98" s="59">
        <f t="shared" si="92"/>
        <v>237.47732529948181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34.310132375757476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34.310132375757476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7.1782051282051267</v>
      </c>
      <c r="BY98" s="12">
        <f>IF('Données projet'!$A$114&gt;35,BY97+BX98-CG97,IF(A98&lt;'Données projet'!$A$114,$BV$205^A98,IF(A98='Données projet'!$A$114,'Données projet'!$B$114,BY97+BX98-CG97)))</f>
        <v>289.53717948717991</v>
      </c>
      <c r="BZ98" s="13">
        <f>BY98*VLOOKUP('Données projet'!$B$12,Paramètres!$A$1:$I$89,3,0)*VLOOKUP('Données projet'!$B$12,Paramètres!$A$1:$I$89,5,0)</f>
        <v>275.52358000000044</v>
      </c>
      <c r="CA98" s="13">
        <f t="shared" si="93"/>
        <v>66.020127164089999</v>
      </c>
      <c r="CB98" s="20">
        <f t="shared" si="64"/>
        <v>594.85528997745757</v>
      </c>
      <c r="CC98" s="59">
        <f t="shared" si="65"/>
        <v>870.80273589622357</v>
      </c>
      <c r="CD98" s="59">
        <f ca="1">AVERAGE(OFFSET($CC$3,0,0,'Données projet'!$E$12+1,1))-AVERAGE(OFFSET($H$3,0,0,'Données projet'!$E$12+1,1))</f>
        <v>439.09551305860475</v>
      </c>
      <c r="CE98" s="59">
        <f t="shared" si="94"/>
        <v>311.31528017256846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39.489020281532191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39.489020281532191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7.1782051282051267</v>
      </c>
      <c r="CT98" s="12">
        <f>IF('Données projet'!$A$140&gt;35,CT97+CS98-DB97,IF(A98&lt;'Données projet'!$A$140,$CQ$205^A98,IF(A98='Données projet'!$A$140,'Données projet'!$B$140,CT97+CS98-DB97)))</f>
        <v>289.53717948717991</v>
      </c>
      <c r="CU98" s="17">
        <f>CT98*VLOOKUP('Données projet'!$B$13,Paramètres!$A$1:$I$89,3,0)*VLOOKUP('Données projet'!$B$13,Paramètres!$A$1:$I$89,5,0)</f>
        <v>280.04036000000042</v>
      </c>
      <c r="CV98" s="13">
        <f t="shared" si="95"/>
        <v>66.975538037771926</v>
      </c>
      <c r="CW98" s="20">
        <f t="shared" si="67"/>
        <v>604.3860224157869</v>
      </c>
      <c r="CX98" s="59">
        <f t="shared" si="68"/>
        <v>880.33346833455289</v>
      </c>
      <c r="CY98" s="59">
        <f ca="1">AVERAGE(OFFSET($CX$3,0,0,'Données projet'!$E$13+1,1))-AVERAGE(OFFSET($H$3,0,0,'Données projet'!$E$13+1,1))</f>
        <v>445.01146841309549</v>
      </c>
      <c r="CZ98" s="59">
        <f t="shared" si="96"/>
        <v>315.40159257508969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40.136381269754033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40.136381269754033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-1.1368683772161603E-13</v>
      </c>
      <c r="DP98" s="17">
        <f>DO98*VLOOKUP('Données projet'!$B$14,Paramètres!$A$1:$I$89,3,0)*VLOOKUP('Données projet'!$B$14,Paramètres!$A$1:$I$89,5,0)</f>
        <v>-6.3550942286383367E-14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349.00268383833668</v>
      </c>
      <c r="DU98" s="59">
        <f t="shared" si="98"/>
        <v>459.94854391583749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102.64434140324953</v>
      </c>
      <c r="EB98" s="21">
        <f>EXP(-LN(2)/25)*EB97+(1-EXP(-LN(2)/25))/(LN(2)/25)*Calculateur!DW98*Calculateur!DY98*VLOOKUP('Données projet'!$B$14,Paramètres!$A$1:$I$89,3,0)*0.475*44/12</f>
        <v>19.003447498389772</v>
      </c>
      <c r="EC98" s="21">
        <f>EXP(-LN(2)/2)*EC97+(1-EXP(-LN(2)/2))/(LN(2)/2)*DW98*DZ98*VLOOKUP('Données projet'!$B$14,Paramètres!$A$1:$I$89,3,0)*0.475*44/12</f>
        <v>3.2578758243668054E-5</v>
      </c>
      <c r="ED98" s="22">
        <f t="shared" si="72"/>
        <v>121.64782148039754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1.7053025658242404E-13</v>
      </c>
      <c r="EK98" s="17">
        <f>EJ98*VLOOKUP('Données projet'!$B$15,Paramètres!$A$1:$I$89,3,0)*VLOOKUP('Données projet'!$B$15,Paramètres!$A$1:$I$89,5,0)</f>
        <v>1.3301360013429075E-13</v>
      </c>
      <c r="EL98" s="13">
        <f t="shared" si="99"/>
        <v>1.9329766731057041E-12</v>
      </c>
      <c r="EM98" s="20">
        <f t="shared" si="73"/>
        <v>3.5982663925596575E-12</v>
      </c>
      <c r="EN98" s="59">
        <f t="shared" si="74"/>
        <v>275.94744591876952</v>
      </c>
      <c r="EO98" s="59">
        <f ca="1">AVERAGE(OFFSET($EN$3,0,0,'Données projet'!$E$15+1,1))-AVERAGE(OFFSET($H$3,0,0,'Données projet'!$E$15+1,1))</f>
        <v>308.82719216177946</v>
      </c>
      <c r="EP98" s="59">
        <f t="shared" si="100"/>
        <v>302.59481222418219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48.481796496206954</v>
      </c>
      <c r="EW98" s="21">
        <f>EXP(-LN(2)/25)*EW97+(1-EXP(-LN(2)/25))/(LN(2)/25)*Calculateur!ER98*Calculateur!ET98*VLOOKUP('Données projet'!$B$15,Paramètres!$A$1:$I$89,3,0)*0.475*44/12</f>
        <v>33.172173537581465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81.653970033788426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856.21034461248439</v>
      </c>
      <c r="S99" s="59">
        <f ca="1">AVERAGE(OFFSET($R$3,0,0,'Données projet'!$E$9+1,1))-AVERAGE(OFFSET($H$3,0,0,'Données projet'!$E$9+1,1))</f>
        <v>421.33534980160005</v>
      </c>
      <c r="T99" s="59">
        <f t="shared" si="88"/>
        <v>299.0473530693472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7.1782051282051267</v>
      </c>
      <c r="AI99" s="13">
        <f>IF('Données projet'!$A$62&gt;35,AI98+AH99-AQ98,IF(A99&lt;'Données projet'!$A$62,$AF$205^A99,IF(A99='Données projet'!$A$62,'Données projet'!$B$62,AI98+AH99-AQ98)))</f>
        <v>296.71538461538506</v>
      </c>
      <c r="AJ99" s="13">
        <f>AI99*VLOOKUP('Données projet'!$B$10,Paramètres!$A$1:$I$89,3,0)*VLOOKUP('Données projet'!$B$10,Paramètres!$A$1:$I$89,5,0)</f>
        <v>300.8694000000005</v>
      </c>
      <c r="AK99" s="13">
        <f t="shared" si="89"/>
        <v>71.35869240224595</v>
      </c>
      <c r="AL99" s="20">
        <f t="shared" si="58"/>
        <v>648.29726093391253</v>
      </c>
      <c r="AM99" s="59">
        <f t="shared" si="59"/>
        <v>924.54631313029995</v>
      </c>
      <c r="AN99" s="59">
        <f ca="1">AVERAGE(OFFSET($AM$3,0,0,'Données projet'!$E$10+1,1))-AVERAGE(OFFSET($H$3,0,0,'Données projet'!$E$10+1,1))</f>
        <v>462.74754756814662</v>
      </c>
      <c r="AO99" s="59">
        <f t="shared" si="90"/>
        <v>327.65191293226667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41.253331216111533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41.253331216111533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7.1782051282051267</v>
      </c>
      <c r="BD99" s="12">
        <f>IF('Données projet'!$A$88&gt;35,BD98+BC99-BL98,IF(A99&lt;'Données projet'!$A$88,$BA$205^A99,IF(A99='Données projet'!$A$88,'Données projet'!$B$88,BD98+BC99-BL98)))</f>
        <v>296.71538461538506</v>
      </c>
      <c r="BE99" s="13">
        <f>BD99*VLOOKUP('Données projet'!$B$11,Paramètres!$A$1:$I$89,3,0)*VLOOKUP('Données projet'!$B$11,Paramètres!$A$1:$I$89,5,0)</f>
        <v>199.0366800000003</v>
      </c>
      <c r="BF99" s="13">
        <f t="shared" si="91"/>
        <v>49.532399692087424</v>
      </c>
      <c r="BG99" s="20">
        <f t="shared" si="61"/>
        <v>432.92448046371942</v>
      </c>
      <c r="BH99" s="59">
        <f t="shared" si="62"/>
        <v>709.17353266010684</v>
      </c>
      <c r="BI99" s="59">
        <f ca="1">AVERAGE(OFFSET($BH$3,0,0,'Données projet'!$E$11+1,1))-AVERAGE(OFFSET($H$3,0,0,'Données projet'!$E$11+1,1))</f>
        <v>332.21938212432008</v>
      </c>
      <c r="BJ99" s="59">
        <f t="shared" si="92"/>
        <v>237.47732529948181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33.637331606983238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33.637331606983238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7.1782051282051267</v>
      </c>
      <c r="BY99" s="12">
        <f>IF('Données projet'!$A$114&gt;35,BY98+BX99-CG98,IF(A99&lt;'Données projet'!$A$114,$BV$205^A99,IF(A99='Données projet'!$A$114,'Données projet'!$B$114,BY98+BX99-CG98)))</f>
        <v>296.71538461538506</v>
      </c>
      <c r="BZ99" s="13">
        <f>BY99*VLOOKUP('Données projet'!$B$12,Paramètres!$A$1:$I$89,3,0)*VLOOKUP('Données projet'!$B$12,Paramètres!$A$1:$I$89,5,0)</f>
        <v>282.35436000000044</v>
      </c>
      <c r="CA99" s="13">
        <f t="shared" si="93"/>
        <v>67.464310104097265</v>
      </c>
      <c r="CB99" s="20">
        <f t="shared" si="64"/>
        <v>609.26751709797009</v>
      </c>
      <c r="CC99" s="59">
        <f t="shared" si="65"/>
        <v>885.51656929435751</v>
      </c>
      <c r="CD99" s="59">
        <f ca="1">AVERAGE(OFFSET($CC$3,0,0,'Données projet'!$E$12+1,1))-AVERAGE(OFFSET($H$3,0,0,'Données projet'!$E$12+1,1))</f>
        <v>439.09551305860475</v>
      </c>
      <c r="CE99" s="59">
        <f t="shared" si="94"/>
        <v>311.31528017256846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38.714664679735428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38.714664679735428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7.1782051282051267</v>
      </c>
      <c r="CT99" s="12">
        <f>IF('Données projet'!$A$140&gt;35,CT98+CS99-DB98,IF(A99&lt;'Données projet'!$A$140,$CQ$205^A99,IF(A99='Données projet'!$A$140,'Données projet'!$B$140,CT98+CS99-DB98)))</f>
        <v>296.71538461538506</v>
      </c>
      <c r="CU99" s="17">
        <f>CT99*VLOOKUP('Données projet'!$B$13,Paramètres!$A$1:$I$89,3,0)*VLOOKUP('Données projet'!$B$13,Paramètres!$A$1:$I$89,5,0)</f>
        <v>286.98312000000044</v>
      </c>
      <c r="CV99" s="13">
        <f t="shared" si="95"/>
        <v>68.44062048439541</v>
      </c>
      <c r="CW99" s="20">
        <f t="shared" si="67"/>
        <v>619.02968134365608</v>
      </c>
      <c r="CX99" s="59">
        <f t="shared" si="68"/>
        <v>895.2787335400435</v>
      </c>
      <c r="CY99" s="59">
        <f ca="1">AVERAGE(OFFSET($CX$3,0,0,'Données projet'!$E$13+1,1))-AVERAGE(OFFSET($H$3,0,0,'Données projet'!$E$13+1,1))</f>
        <v>445.01146841309549</v>
      </c>
      <c r="CZ99" s="59">
        <f t="shared" si="96"/>
        <v>315.40159257508969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39.349331313829452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39.349331313829452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-1.1368683772161603E-13</v>
      </c>
      <c r="DP99" s="17">
        <f>DO99*VLOOKUP('Données projet'!$B$14,Paramètres!$A$1:$I$89,3,0)*VLOOKUP('Données projet'!$B$14,Paramètres!$A$1:$I$89,5,0)</f>
        <v>-6.3550942286383367E-14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349.00268383833668</v>
      </c>
      <c r="DU99" s="59">
        <f t="shared" si="98"/>
        <v>459.94854391583749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100.63154847519814</v>
      </c>
      <c r="EB99" s="21">
        <f>EXP(-LN(2)/25)*EB98+(1-EXP(-LN(2)/25))/(LN(2)/25)*Calculateur!DW99*Calculateur!DY99*VLOOKUP('Données projet'!$B$14,Paramètres!$A$1:$I$89,3,0)*0.475*44/12</f>
        <v>18.483797227198433</v>
      </c>
      <c r="EC99" s="21">
        <f>EXP(-LN(2)/2)*EC98+(1-EXP(-LN(2)/2))/(LN(2)/2)*DW99*DZ99*VLOOKUP('Données projet'!$B$14,Paramètres!$A$1:$I$89,3,0)*0.475*44/12</f>
        <v>2.3036660876734818E-5</v>
      </c>
      <c r="ED99" s="22">
        <f t="shared" si="72"/>
        <v>119.11536873905746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1.7053025658242404E-13</v>
      </c>
      <c r="EK99" s="17">
        <f>EJ99*VLOOKUP('Données projet'!$B$15,Paramètres!$A$1:$I$89,3,0)*VLOOKUP('Données projet'!$B$15,Paramètres!$A$1:$I$89,5,0)</f>
        <v>1.3301360013429075E-13</v>
      </c>
      <c r="EL99" s="13">
        <f t="shared" si="99"/>
        <v>1.9329766731057041E-12</v>
      </c>
      <c r="EM99" s="20">
        <f t="shared" si="73"/>
        <v>3.5982663925596575E-12</v>
      </c>
      <c r="EN99" s="59">
        <f t="shared" si="74"/>
        <v>276.24905219639101</v>
      </c>
      <c r="EO99" s="59">
        <f ca="1">AVERAGE(OFFSET($EN$3,0,0,'Données projet'!$E$15+1,1))-AVERAGE(OFFSET($H$3,0,0,'Données projet'!$E$15+1,1))</f>
        <v>308.82719216177946</v>
      </c>
      <c r="EP99" s="59">
        <f t="shared" si="100"/>
        <v>302.59481222418219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47.531098037892306</v>
      </c>
      <c r="EW99" s="21">
        <f>EXP(-LN(2)/25)*EW98+(1-EXP(-LN(2)/25))/(LN(2)/25)*Calculateur!ER99*Calculateur!ET99*VLOOKUP('Données projet'!$B$15,Paramètres!$A$1:$I$89,3,0)*0.475*44/12</f>
        <v>32.265078707747506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79.796176745639812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870.2174625448074</v>
      </c>
      <c r="S100" s="59">
        <f ca="1">AVERAGE(OFFSET($R$3,0,0,'Données projet'!$E$9+1,1))-AVERAGE(OFFSET($H$3,0,0,'Données projet'!$E$9+1,1))</f>
        <v>421.33534980160005</v>
      </c>
      <c r="T100" s="59">
        <f t="shared" si="88"/>
        <v>299.0473530693472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7.1782051282051267</v>
      </c>
      <c r="AI100" s="13">
        <f>IF('Données projet'!$A$62&gt;35,AI99+AH100-AQ99,IF(A100&lt;'Données projet'!$A$62,$AF$205^A100,IF(A100='Données projet'!$A$62,'Données projet'!$B$62,AI99+AH100-AQ99)))</f>
        <v>303.89358974359021</v>
      </c>
      <c r="AJ100" s="13">
        <f>AI100*VLOOKUP('Données projet'!$B$10,Paramètres!$A$1:$I$89,3,0)*VLOOKUP('Données projet'!$B$10,Paramètres!$A$1:$I$89,5,0)</f>
        <v>308.14810000000051</v>
      </c>
      <c r="AK100" s="13">
        <f t="shared" si="89"/>
        <v>72.881944979142219</v>
      </c>
      <c r="AL100" s="20">
        <f t="shared" si="58"/>
        <v>663.62732833867358</v>
      </c>
      <c r="AM100" s="59">
        <f t="shared" si="59"/>
        <v>940.17275461805639</v>
      </c>
      <c r="AN100" s="59">
        <f ca="1">AVERAGE(OFFSET($AM$3,0,0,'Données projet'!$E$10+1,1))-AVERAGE(OFFSET($H$3,0,0,'Données projet'!$E$10+1,1))</f>
        <v>462.74754756814662</v>
      </c>
      <c r="AO100" s="59">
        <f t="shared" si="90"/>
        <v>327.65191293226667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40.444378553011084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40.444378553011084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7.1782051282051267</v>
      </c>
      <c r="BD100" s="12">
        <f>IF('Données projet'!$A$88&gt;35,BD99+BC100-BL99,IF(A100&lt;'Données projet'!$A$88,$BA$205^A100,IF(A100='Données projet'!$A$88,'Données projet'!$B$88,BD99+BC100-BL99)))</f>
        <v>303.89358974359021</v>
      </c>
      <c r="BE100" s="13">
        <f>BD100*VLOOKUP('Données projet'!$B$11,Paramètres!$A$1:$I$89,3,0)*VLOOKUP('Données projet'!$B$11,Paramètres!$A$1:$I$89,5,0)</f>
        <v>203.85182000000032</v>
      </c>
      <c r="BF100" s="13">
        <f t="shared" si="91"/>
        <v>50.589739070526676</v>
      </c>
      <c r="BG100" s="20">
        <f t="shared" si="61"/>
        <v>443.15238204783446</v>
      </c>
      <c r="BH100" s="59">
        <f t="shared" si="62"/>
        <v>719.69780832721722</v>
      </c>
      <c r="BI100" s="59">
        <f ca="1">AVERAGE(OFFSET($BH$3,0,0,'Données projet'!$E$11+1,1))-AVERAGE(OFFSET($H$3,0,0,'Données projet'!$E$11+1,1))</f>
        <v>332.21938212432008</v>
      </c>
      <c r="BJ100" s="59">
        <f t="shared" si="92"/>
        <v>237.47732529948181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32.97772405091672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32.97772405091672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7.1782051282051267</v>
      </c>
      <c r="BY100" s="12">
        <f>IF('Données projet'!$A$114&gt;35,BY99+BX100-CG99,IF(A100&lt;'Données projet'!$A$114,$BV$205^A100,IF(A100='Données projet'!$A$114,'Données projet'!$B$114,BY99+BX100-CG99)))</f>
        <v>303.89358974359021</v>
      </c>
      <c r="BZ100" s="13">
        <f>BY100*VLOOKUP('Données projet'!$B$12,Paramètres!$A$1:$I$89,3,0)*VLOOKUP('Données projet'!$B$12,Paramètres!$A$1:$I$89,5,0)</f>
        <v>289.18514000000044</v>
      </c>
      <c r="CA100" s="13">
        <f t="shared" si="93"/>
        <v>68.904431563096438</v>
      </c>
      <c r="CB100" s="20">
        <f t="shared" si="64"/>
        <v>623.67267047239375</v>
      </c>
      <c r="CC100" s="59">
        <f t="shared" si="65"/>
        <v>900.21809675177656</v>
      </c>
      <c r="CD100" s="59">
        <f ca="1">AVERAGE(OFFSET($CC$3,0,0,'Données projet'!$E$12+1,1))-AVERAGE(OFFSET($H$3,0,0,'Données projet'!$E$12+1,1))</f>
        <v>439.09551305860475</v>
      </c>
      <c r="CE100" s="59">
        <f t="shared" si="94"/>
        <v>311.31528017256846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37.955493718979618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37.955493718979618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7.1782051282051267</v>
      </c>
      <c r="CT100" s="12">
        <f>IF('Données projet'!$A$140&gt;35,CT99+CS100-DB99,IF(A100&lt;'Données projet'!$A$140,$CQ$205^A100,IF(A100='Données projet'!$A$140,'Données projet'!$B$140,CT99+CS100-DB99)))</f>
        <v>303.89358974359021</v>
      </c>
      <c r="CU100" s="17">
        <f>CT100*VLOOKUP('Données projet'!$B$13,Paramètres!$A$1:$I$89,3,0)*VLOOKUP('Données projet'!$B$13,Paramètres!$A$1:$I$89,5,0)</f>
        <v>293.92588000000046</v>
      </c>
      <c r="CV100" s="13">
        <f t="shared" si="95"/>
        <v>69.901582674251259</v>
      </c>
      <c r="CW100" s="20">
        <f t="shared" si="67"/>
        <v>633.66616415765509</v>
      </c>
      <c r="CX100" s="59">
        <f t="shared" si="68"/>
        <v>910.2115904370379</v>
      </c>
      <c r="CY100" s="59">
        <f ca="1">AVERAGE(OFFSET($CX$3,0,0,'Données projet'!$E$13+1,1))-AVERAGE(OFFSET($H$3,0,0,'Données projet'!$E$13+1,1))</f>
        <v>445.01146841309549</v>
      </c>
      <c r="CZ100" s="59">
        <f t="shared" si="96"/>
        <v>315.40159257508969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38.577714927487484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38.577714927487484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-1.1368683772161603E-13</v>
      </c>
      <c r="DP100" s="17">
        <f>DO100*VLOOKUP('Données projet'!$B$14,Paramètres!$A$1:$I$89,3,0)*VLOOKUP('Données projet'!$B$14,Paramètres!$A$1:$I$89,5,0)</f>
        <v>-6.3550942286383367E-14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349.00268383833668</v>
      </c>
      <c r="DU100" s="59">
        <f t="shared" si="98"/>
        <v>459.94854391583749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98.658225188783391</v>
      </c>
      <c r="EB100" s="21">
        <f>EXP(-LN(2)/25)*EB99+(1-EXP(-LN(2)/25))/(LN(2)/25)*Calculateur!DW100*Calculateur!DY100*VLOOKUP('Données projet'!$B$14,Paramètres!$A$1:$I$89,3,0)*0.475*44/12</f>
        <v>17.978356820000041</v>
      </c>
      <c r="EC100" s="21">
        <f>EXP(-LN(2)/2)*EC99+(1-EXP(-LN(2)/2))/(LN(2)/2)*DW100*DZ100*VLOOKUP('Données projet'!$B$14,Paramètres!$A$1:$I$89,3,0)*0.475*44/12</f>
        <v>1.6289379121834027E-5</v>
      </c>
      <c r="ED100" s="22">
        <f t="shared" si="72"/>
        <v>116.63659829816255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1.7053025658242404E-13</v>
      </c>
      <c r="EK100" s="17">
        <f>EJ100*VLOOKUP('Données projet'!$B$15,Paramètres!$A$1:$I$89,3,0)*VLOOKUP('Données projet'!$B$15,Paramètres!$A$1:$I$89,5,0)</f>
        <v>1.3301360013429075E-13</v>
      </c>
      <c r="EL100" s="13">
        <f t="shared" si="99"/>
        <v>1.9329766731057041E-12</v>
      </c>
      <c r="EM100" s="20">
        <f t="shared" si="73"/>
        <v>3.5982663925596575E-12</v>
      </c>
      <c r="EN100" s="59">
        <f t="shared" si="74"/>
        <v>276.54542627938639</v>
      </c>
      <c r="EO100" s="59">
        <f ca="1">AVERAGE(OFFSET($EN$3,0,0,'Données projet'!$E$15+1,1))-AVERAGE(OFFSET($H$3,0,0,'Données projet'!$E$15+1,1))</f>
        <v>308.82719216177946</v>
      </c>
      <c r="EP100" s="59">
        <f t="shared" si="100"/>
        <v>302.59481222418219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46.599042196476404</v>
      </c>
      <c r="EW100" s="21">
        <f>EXP(-LN(2)/25)*EW99+(1-EXP(-LN(2)/25))/(LN(2)/25)*Calculateur!ER100*Calculateur!ET100*VLOOKUP('Données projet'!$B$15,Paramètres!$A$1:$I$89,3,0)*0.475*44/12</f>
        <v>31.382788433737403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77.981830630213807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884.21285178969993</v>
      </c>
      <c r="S101" s="59">
        <f ca="1">AVERAGE(OFFSET($R$3,0,0,'Données projet'!$E$9+1,1))-AVERAGE(OFFSET($H$3,0,0,'Données projet'!$E$9+1,1))</f>
        <v>421.33534980160005</v>
      </c>
      <c r="T101" s="59">
        <f t="shared" si="88"/>
        <v>299.0473530693472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7.1782051282051267</v>
      </c>
      <c r="AI101" s="13">
        <f>IF('Données projet'!$A$62&gt;35,AI100+AH101-AQ100,IF(A101&lt;'Données projet'!$A$62,$AF$205^A101,IF(A101='Données projet'!$A$62,'Données projet'!$B$62,AI100+AH101-AQ100)))</f>
        <v>311.07179487179536</v>
      </c>
      <c r="AJ101" s="13">
        <f>AI101*VLOOKUP('Données projet'!$B$10,Paramètres!$A$1:$I$89,3,0)*VLOOKUP('Données projet'!$B$10,Paramètres!$A$1:$I$89,5,0)</f>
        <v>315.42680000000053</v>
      </c>
      <c r="AK101" s="13">
        <f t="shared" si="89"/>
        <v>74.401014776148614</v>
      </c>
      <c r="AL101" s="20">
        <f t="shared" si="58"/>
        <v>678.95011073512637</v>
      </c>
      <c r="AM101" s="59">
        <f t="shared" si="59"/>
        <v>955.78676966975775</v>
      </c>
      <c r="AN101" s="59">
        <f ca="1">AVERAGE(OFFSET($AM$3,0,0,'Données projet'!$E$10+1,1))-AVERAGE(OFFSET($H$3,0,0,'Données projet'!$E$10+1,1))</f>
        <v>462.74754756814662</v>
      </c>
      <c r="AO101" s="59">
        <f t="shared" si="90"/>
        <v>327.65191293226667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39.651288958221627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39.651288958221627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7.1782051282051267</v>
      </c>
      <c r="BD101" s="12">
        <f>IF('Données projet'!$A$88&gt;35,BD100+BC101-BL100,IF(A101&lt;'Données projet'!$A$88,$BA$205^A101,IF(A101='Données projet'!$A$88,'Données projet'!$B$88,BD100+BC101-BL100)))</f>
        <v>311.07179487179536</v>
      </c>
      <c r="BE101" s="13">
        <f>BD101*VLOOKUP('Données projet'!$B$11,Paramètres!$A$1:$I$89,3,0)*VLOOKUP('Données projet'!$B$11,Paramètres!$A$1:$I$89,5,0)</f>
        <v>208.66696000000033</v>
      </c>
      <c r="BF101" s="13">
        <f t="shared" si="91"/>
        <v>51.644175044792519</v>
      </c>
      <c r="BG101" s="20">
        <f t="shared" si="61"/>
        <v>453.37522686968094</v>
      </c>
      <c r="BH101" s="59">
        <f t="shared" si="62"/>
        <v>730.21188580431226</v>
      </c>
      <c r="BI101" s="59">
        <f ca="1">AVERAGE(OFFSET($BH$3,0,0,'Données projet'!$E$11+1,1))-AVERAGE(OFFSET($H$3,0,0,'Données projet'!$E$11+1,1))</f>
        <v>332.21938212432008</v>
      </c>
      <c r="BJ101" s="59">
        <f t="shared" si="92"/>
        <v>237.47732529948181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32.33105099670378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32.33105099670378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7.1782051282051267</v>
      </c>
      <c r="BY101" s="12">
        <f>IF('Données projet'!$A$114&gt;35,BY100+BX101-CG100,IF(A101&lt;'Données projet'!$A$114,$BV$205^A101,IF(A101='Données projet'!$A$114,'Données projet'!$B$114,BY100+BX101-CG100)))</f>
        <v>311.07179487179536</v>
      </c>
      <c r="BZ101" s="13">
        <f>BY101*VLOOKUP('Données projet'!$B$12,Paramètres!$A$1:$I$89,3,0)*VLOOKUP('Données projet'!$B$12,Paramètres!$A$1:$I$89,5,0)</f>
        <v>296.01592000000051</v>
      </c>
      <c r="CA101" s="13">
        <f t="shared" si="93"/>
        <v>70.340598516343221</v>
      </c>
      <c r="CB101" s="20">
        <f t="shared" si="64"/>
        <v>638.07093641596532</v>
      </c>
      <c r="CC101" s="59">
        <f t="shared" si="65"/>
        <v>914.90759535059669</v>
      </c>
      <c r="CD101" s="59">
        <f ca="1">AVERAGE(OFFSET($CC$3,0,0,'Données projet'!$E$12+1,1))-AVERAGE(OFFSET($H$3,0,0,'Données projet'!$E$12+1,1))</f>
        <v>439.09551305860475</v>
      </c>
      <c r="CE101" s="59">
        <f t="shared" si="94"/>
        <v>311.31528017256846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37.211209637715669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37.211209637715669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7.1782051282051267</v>
      </c>
      <c r="CT101" s="12">
        <f>IF('Données projet'!$A$140&gt;35,CT100+CS101-DB100,IF(A101&lt;'Données projet'!$A$140,$CQ$205^A101,IF(A101='Données projet'!$A$140,'Données projet'!$B$140,CT100+CS101-DB100)))</f>
        <v>311.07179487179536</v>
      </c>
      <c r="CU101" s="17">
        <f>CT101*VLOOKUP('Données projet'!$B$13,Paramètres!$A$1:$I$89,3,0)*VLOOKUP('Données projet'!$B$13,Paramètres!$A$1:$I$89,5,0)</f>
        <v>300.86864000000048</v>
      </c>
      <c r="CV101" s="13">
        <f t="shared" si="95"/>
        <v>71.358533130688585</v>
      </c>
      <c r="CW101" s="20">
        <f t="shared" si="67"/>
        <v>648.29565986928333</v>
      </c>
      <c r="CX101" s="59">
        <f t="shared" si="68"/>
        <v>925.1323188039147</v>
      </c>
      <c r="CY101" s="59">
        <f ca="1">AVERAGE(OFFSET($CX$3,0,0,'Données projet'!$E$13+1,1))-AVERAGE(OFFSET($H$3,0,0,'Données projet'!$E$13+1,1))</f>
        <v>445.01146841309549</v>
      </c>
      <c r="CZ101" s="59">
        <f t="shared" si="96"/>
        <v>315.40159257508969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37.821229467842159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37.821229467842159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-1.1368683772161603E-13</v>
      </c>
      <c r="DP101" s="17">
        <f>DO101*VLOOKUP('Données projet'!$B$14,Paramètres!$A$1:$I$89,3,0)*VLOOKUP('Données projet'!$B$14,Paramètres!$A$1:$I$89,5,0)</f>
        <v>-6.3550942286383367E-14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349.00268383833668</v>
      </c>
      <c r="DU101" s="59">
        <f t="shared" si="98"/>
        <v>459.94854391583749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96.723597568406873</v>
      </c>
      <c r="EB101" s="21">
        <f>EXP(-LN(2)/25)*EB100+(1-EXP(-LN(2)/25))/(LN(2)/25)*Calculateur!DW101*Calculateur!DY101*VLOOKUP('Données projet'!$B$14,Paramètres!$A$1:$I$89,3,0)*0.475*44/12</f>
        <v>17.486737707316443</v>
      </c>
      <c r="EC101" s="21">
        <f>EXP(-LN(2)/2)*EC100+(1-EXP(-LN(2)/2))/(LN(2)/2)*DW101*DZ101*VLOOKUP('Données projet'!$B$14,Paramètres!$A$1:$I$89,3,0)*0.475*44/12</f>
        <v>1.1518330438367409E-5</v>
      </c>
      <c r="ED101" s="22">
        <f t="shared" si="72"/>
        <v>114.21034679405375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1.7053025658242404E-13</v>
      </c>
      <c r="EK101" s="17">
        <f>EJ101*VLOOKUP('Données projet'!$B$15,Paramètres!$A$1:$I$89,3,0)*VLOOKUP('Données projet'!$B$15,Paramètres!$A$1:$I$89,5,0)</f>
        <v>1.3301360013429075E-13</v>
      </c>
      <c r="EL101" s="13">
        <f t="shared" si="99"/>
        <v>1.9329766731057041E-12</v>
      </c>
      <c r="EM101" s="20">
        <f t="shared" si="73"/>
        <v>3.5982663925596575E-12</v>
      </c>
      <c r="EN101" s="59">
        <f t="shared" si="74"/>
        <v>276.83665893463495</v>
      </c>
      <c r="EO101" s="59">
        <f ca="1">AVERAGE(OFFSET($EN$3,0,0,'Données projet'!$E$15+1,1))-AVERAGE(OFFSET($H$3,0,0,'Données projet'!$E$15+1,1))</f>
        <v>308.82719216177946</v>
      </c>
      <c r="EP101" s="59">
        <f t="shared" si="100"/>
        <v>302.59481222418219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45.685263401612744</v>
      </c>
      <c r="EW101" s="21">
        <f>EXP(-LN(2)/25)*EW100+(1-EXP(-LN(2)/25))/(LN(2)/25)*Calculateur!ER101*Calculateur!ET101*VLOOKUP('Données projet'!$B$15,Paramètres!$A$1:$I$89,3,0)*0.475*44/12</f>
        <v>30.524624433667736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76.209887835280483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898.19677104135849</v>
      </c>
      <c r="S102" s="59">
        <f ca="1">AVERAGE(OFFSET($R$3,0,0,'Données projet'!$E$9+1,1))-AVERAGE(OFFSET($H$3,0,0,'Données projet'!$E$9+1,1))</f>
        <v>421.33534980160005</v>
      </c>
      <c r="T102" s="59">
        <f t="shared" si="88"/>
        <v>299.0473530693472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318.25</v>
      </c>
      <c r="AG102" s="12">
        <f>VLOOKUP(A102,'Données projet'!$A$61:$I$81,9,0)</f>
        <v>7.1782051282051267</v>
      </c>
      <c r="AH102" s="12">
        <f t="array" ref="AH102">INDEX(AG:AG,MIN(IF(ISNUMBER(AG102:AG298),ROW(AG102:AG298),"")))</f>
        <v>7.1782051282051267</v>
      </c>
      <c r="AI102" s="13">
        <f>IF('Données projet'!$A$62&gt;35,AI101+AH102-AQ101,IF(A102&lt;'Données projet'!$A$62,$AF$205^A102,IF(A102='Données projet'!$A$62,'Données projet'!$B$62,AI101+AH102-AQ101)))</f>
        <v>318.25000000000051</v>
      </c>
      <c r="AJ102" s="13">
        <f>AI102*VLOOKUP('Données projet'!$B$10,Paramètres!$A$1:$I$89,3,0)*VLOOKUP('Données projet'!$B$10,Paramètres!$A$1:$I$89,5,0)</f>
        <v>322.70550000000054</v>
      </c>
      <c r="AK102" s="13">
        <f t="shared" si="89"/>
        <v>75.916009423638798</v>
      </c>
      <c r="AL102" s="20">
        <f t="shared" si="58"/>
        <v>694.26579557950515</v>
      </c>
      <c r="AM102" s="59">
        <f t="shared" si="59"/>
        <v>971.38863493391523</v>
      </c>
      <c r="AN102" s="59">
        <f ca="1">AVERAGE(OFFSET($AM$3,0,0,'Données projet'!$E$10+1,1))-AVERAGE(OFFSET($H$3,0,0,'Données projet'!$E$10+1,1))</f>
        <v>462.74754756814662</v>
      </c>
      <c r="AO102" s="59">
        <f t="shared" si="90"/>
        <v>327.65191293226667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48.019230769230766</v>
      </c>
      <c r="AR102" s="16">
        <f>IF(ISNA(VLOOKUP(A102,'Données projet'!$A$61:$I$81,5,0)),0%,VLOOKUP(A102,'Données projet'!$A$61:$I$81,5,0)*VLOOKUP('Données projet'!$B$10,Paramètres!$A$1:$I$89,7,0))</f>
        <v>0.30099999999999999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55.075681673142725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55.075681673142725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318.25</v>
      </c>
      <c r="BB102" s="12">
        <f>VLOOKUP(A102,'Données projet'!$A$87:$I$107,9,0)</f>
        <v>7.1782051282051267</v>
      </c>
      <c r="BC102" s="12">
        <f t="array" ref="BC102">INDEX(BB:BB,MIN(IF(ISNUMBER(BB102:BB298),ROW(BB102:BB298),"")))</f>
        <v>7.1782051282051267</v>
      </c>
      <c r="BD102" s="12">
        <f>IF('Données projet'!$A$88&gt;35,BD101+BC102-BL101,IF(A102&lt;'Données projet'!$A$88,$BA$205^A102,IF(A102='Données projet'!$A$88,'Données projet'!$B$88,BD101+BC102-BL101)))</f>
        <v>318.25000000000051</v>
      </c>
      <c r="BE102" s="13">
        <f>BD102*VLOOKUP('Données projet'!$B$11,Paramètres!$A$1:$I$89,3,0)*VLOOKUP('Données projet'!$B$11,Paramètres!$A$1:$I$89,5,0)</f>
        <v>213.48210000000034</v>
      </c>
      <c r="BF102" s="13">
        <f t="shared" si="91"/>
        <v>52.695782324643616</v>
      </c>
      <c r="BG102" s="20">
        <f t="shared" si="61"/>
        <v>463.59314504875488</v>
      </c>
      <c r="BH102" s="59">
        <f t="shared" si="62"/>
        <v>740.71598440316507</v>
      </c>
      <c r="BI102" s="59">
        <f ca="1">AVERAGE(OFFSET($BH$3,0,0,'Données projet'!$E$11+1,1))-AVERAGE(OFFSET($H$3,0,0,'Données projet'!$E$11+1,1))</f>
        <v>332.21938212432008</v>
      </c>
      <c r="BJ102" s="59">
        <f t="shared" si="92"/>
        <v>237.47732529948181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48.019230769230766</v>
      </c>
      <c r="BM102" s="16">
        <f>IF(ISNA(VLOOKUP(A102,'Données projet'!$A$87:$I$107,5,0)),0%,VLOOKUP(A102,'Données projet'!$A$87:$I$107,5,0)*VLOOKUP('Données projet'!$B$11,Paramètres!$A$1:$I$89,7,0))</f>
        <v>0.371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44.907863518100982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44.907863518100982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318.25</v>
      </c>
      <c r="BW102" s="12">
        <f>VLOOKUP(A102,'Données projet'!$A$113:$I$133,9,0)</f>
        <v>7.1782051282051267</v>
      </c>
      <c r="BX102" s="12">
        <f t="array" ref="BX102">INDEX(BW:BW,MIN(IF(ISNUMBER(BW102:BW298),ROW(BW102:BW298),"")))</f>
        <v>7.1782051282051267</v>
      </c>
      <c r="BY102" s="12">
        <f>IF('Données projet'!$A$114&gt;35,BY101+BX102-CG101,IF(A102&lt;'Données projet'!$A$114,$BV$205^A102,IF(A102='Données projet'!$A$114,'Données projet'!$B$114,BY101+BX102-CG101)))</f>
        <v>318.25000000000051</v>
      </c>
      <c r="BZ102" s="13">
        <f>BY102*VLOOKUP('Données projet'!$B$12,Paramètres!$A$1:$I$89,3,0)*VLOOKUP('Données projet'!$B$12,Paramètres!$A$1:$I$89,5,0)</f>
        <v>302.84670000000051</v>
      </c>
      <c r="CA102" s="13">
        <f t="shared" si="93"/>
        <v>71.772912720311297</v>
      </c>
      <c r="CB102" s="20">
        <f t="shared" si="64"/>
        <v>652.46249215454304</v>
      </c>
      <c r="CC102" s="59">
        <f t="shared" si="65"/>
        <v>929.58533150895323</v>
      </c>
      <c r="CD102" s="59">
        <f ca="1">AVERAGE(OFFSET($CC$3,0,0,'Données projet'!$E$12+1,1))-AVERAGE(OFFSET($H$3,0,0,'Données projet'!$E$12+1,1))</f>
        <v>439.09551305860475</v>
      </c>
      <c r="CE102" s="59">
        <f t="shared" si="94"/>
        <v>311.31528017256846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48.019230769230766</v>
      </c>
      <c r="CH102" s="16">
        <f>IF(ISNA(VLOOKUP(A102,'Données projet'!$A$113:$I$133,5,0)),0%,VLOOKUP(A102,'Données projet'!$A$113:$I$133,5,0)*VLOOKUP('Données projet'!$B$12,Paramètres!$A$1:$I$89,7,0))</f>
        <v>0.30099999999999999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51.686408954795468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51.686408954795468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>
        <f>VLOOKUP(A102,'Données projet'!$A$139:$I$159,2,0)</f>
        <v>318.25</v>
      </c>
      <c r="CR102" s="12">
        <f>VLOOKUP(A102,'Données projet'!$A$139:$I$159,9,0)</f>
        <v>7.1782051282051267</v>
      </c>
      <c r="CS102" s="12">
        <f t="array" ref="CS102">INDEX(CR:CR,MIN(IF(ISNUMBER(CR102:CR298),ROW(CR102:CR298),"")))</f>
        <v>7.1782051282051267</v>
      </c>
      <c r="CT102" s="12">
        <f>IF('Données projet'!$A$140&gt;35,CT101+CS102-DB101,IF(A102&lt;'Données projet'!$A$140,$CQ$205^A102,IF(A102='Données projet'!$A$140,'Données projet'!$B$140,CT101+CS102-DB101)))</f>
        <v>318.25000000000051</v>
      </c>
      <c r="CU102" s="17">
        <f>CT102*VLOOKUP('Données projet'!$B$13,Paramètres!$A$1:$I$89,3,0)*VLOOKUP('Données projet'!$B$13,Paramètres!$A$1:$I$89,5,0)</f>
        <v>307.8114000000005</v>
      </c>
      <c r="CV102" s="13">
        <f t="shared" si="95"/>
        <v>72.811575082750721</v>
      </c>
      <c r="CW102" s="20">
        <f t="shared" si="67"/>
        <v>662.91834826912498</v>
      </c>
      <c r="CX102" s="59">
        <f t="shared" si="68"/>
        <v>940.04118762353505</v>
      </c>
      <c r="CY102" s="59">
        <f ca="1">AVERAGE(OFFSET($CX$3,0,0,'Données projet'!$E$13+1,1))-AVERAGE(OFFSET($H$3,0,0,'Données projet'!$E$13+1,1))</f>
        <v>445.01146841309549</v>
      </c>
      <c r="CZ102" s="59">
        <f t="shared" si="96"/>
        <v>315.40159257508969</v>
      </c>
      <c r="DA102" s="15">
        <f>IF(ISNA(VLOOKUP(A102,'Données projet'!$A$139:$I$159,3,0)),0,VLOOKUP(A102,'Données projet'!$A$139:$I$159,3,0))</f>
        <v>9</v>
      </c>
      <c r="DB102" s="15">
        <f>IF(ISNA(VLOOKUP(A102,'Données projet'!$A$139:$I$159,4,0)),0,VLOOKUP(A102,'Données projet'!$A$139:$I$159,4,0))</f>
        <v>48.019230769230766</v>
      </c>
      <c r="DC102" s="16">
        <f>IF(ISNA(VLOOKUP(A102,'Données projet'!$A$139:$I$159,5,0)),0%,VLOOKUP(A102,'Données projet'!$A$139:$I$159,5,0)*VLOOKUP('Données projet'!$B$13,Paramètres!$A$1:$I$89,7,0))</f>
        <v>0.30099999999999999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52.533727134382282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52.533727134382282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-1.1368683772161603E-13</v>
      </c>
      <c r="DP102" s="17">
        <f>DO102*VLOOKUP('Données projet'!$B$14,Paramètres!$A$1:$I$89,3,0)*VLOOKUP('Données projet'!$B$14,Paramètres!$A$1:$I$89,5,0)</f>
        <v>-6.3550942286383367E-14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349.00268383833668</v>
      </c>
      <c r="DU102" s="59">
        <f t="shared" si="98"/>
        <v>459.94854391583749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94.826906815659598</v>
      </c>
      <c r="EB102" s="21">
        <f>EXP(-LN(2)/25)*EB101+(1-EXP(-LN(2)/25))/(LN(2)/25)*Calculateur!DW102*Calculateur!DY102*VLOOKUP('Données projet'!$B$14,Paramètres!$A$1:$I$89,3,0)*0.475*44/12</f>
        <v>17.008561945122306</v>
      </c>
      <c r="EC102" s="21">
        <f>EXP(-LN(2)/2)*EC101+(1-EXP(-LN(2)/2))/(LN(2)/2)*DW102*DZ102*VLOOKUP('Données projet'!$B$14,Paramètres!$A$1:$I$89,3,0)*0.475*44/12</f>
        <v>8.1446895609170135E-6</v>
      </c>
      <c r="ED102" s="22">
        <f t="shared" si="72"/>
        <v>111.83547690547147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1.7053025658242404E-13</v>
      </c>
      <c r="EK102" s="17">
        <f>EJ102*VLOOKUP('Données projet'!$B$15,Paramètres!$A$1:$I$89,3,0)*VLOOKUP('Données projet'!$B$15,Paramètres!$A$1:$I$89,5,0)</f>
        <v>1.3301360013429075E-13</v>
      </c>
      <c r="EL102" s="13">
        <f t="shared" si="99"/>
        <v>1.9329766731057041E-12</v>
      </c>
      <c r="EM102" s="20">
        <f t="shared" si="73"/>
        <v>3.5982663925596575E-12</v>
      </c>
      <c r="EN102" s="59">
        <f t="shared" si="74"/>
        <v>277.12283935441371</v>
      </c>
      <c r="EO102" s="59">
        <f ca="1">AVERAGE(OFFSET($EN$3,0,0,'Données projet'!$E$15+1,1))-AVERAGE(OFFSET($H$3,0,0,'Données projet'!$E$15+1,1))</f>
        <v>308.82719216177946</v>
      </c>
      <c r="EP102" s="59">
        <f t="shared" si="100"/>
        <v>302.59481222418219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44.789403251566327</v>
      </c>
      <c r="EW102" s="21">
        <f>EXP(-LN(2)/25)*EW101+(1-EXP(-LN(2)/25))/(LN(2)/25)*Calculateur!ER102*Calculateur!ET102*VLOOKUP('Données projet'!$B$15,Paramètres!$A$1:$I$89,3,0)*0.475*44/12</f>
        <v>29.689926973308857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74.479330224875184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820.10180664317636</v>
      </c>
      <c r="S103" s="59">
        <f ca="1">AVERAGE(OFFSET($R$3,0,0,'Données projet'!$E$9+1,1))-AVERAGE(OFFSET($H$3,0,0,'Données projet'!$E$9+1,1))</f>
        <v>421.33534980160005</v>
      </c>
      <c r="T103" s="59">
        <f t="shared" si="88"/>
        <v>299.0473530693472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6.9935897435897401</v>
      </c>
      <c r="AI103" s="13">
        <f>IF('Données projet'!$A$62&gt;35,AI102+AH103-AQ102,IF(A103&lt;'Données projet'!$A$62,$AF$205^A103,IF(A103='Données projet'!$A$62,'Données projet'!$B$62,AI102+AH103-AQ102)))</f>
        <v>277.22435897435946</v>
      </c>
      <c r="AJ103" s="13">
        <f>AI103*VLOOKUP('Données projet'!$B$10,Paramètres!$A$1:$I$89,3,0)*VLOOKUP('Données projet'!$B$10,Paramètres!$A$1:$I$89,5,0)</f>
        <v>281.10550000000052</v>
      </c>
      <c r="AK103" s="13">
        <f t="shared" si="89"/>
        <v>67.200579205657675</v>
      </c>
      <c r="AL103" s="20">
        <f t="shared" si="58"/>
        <v>606.63308794985471</v>
      </c>
      <c r="AM103" s="59">
        <f t="shared" si="59"/>
        <v>884.03714313356386</v>
      </c>
      <c r="AN103" s="59">
        <f ca="1">AVERAGE(OFFSET($AM$3,0,0,'Données projet'!$E$10+1,1))-AVERAGE(OFFSET($H$3,0,0,'Données projet'!$E$10+1,1))</f>
        <v>462.74754756814662</v>
      </c>
      <c r="AO103" s="59">
        <f t="shared" si="90"/>
        <v>327.65191293226667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53.995681148381202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53.995681148381202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6.9935897435897401</v>
      </c>
      <c r="BD103" s="12">
        <f>IF('Données projet'!$A$88&gt;35,BD102+BC103-BL102,IF(A103&lt;'Données projet'!$A$88,$BA$205^A103,IF(A103='Données projet'!$A$88,'Données projet'!$B$88,BD102+BC103-BL102)))</f>
        <v>277.22435897435946</v>
      </c>
      <c r="BE103" s="13">
        <f>BD103*VLOOKUP('Données projet'!$B$11,Paramètres!$A$1:$I$89,3,0)*VLOOKUP('Données projet'!$B$11,Paramètres!$A$1:$I$89,5,0)</f>
        <v>185.96210000000033</v>
      </c>
      <c r="BF103" s="13">
        <f t="shared" si="91"/>
        <v>46.646117476357418</v>
      </c>
      <c r="BG103" s="20">
        <f t="shared" si="61"/>
        <v>405.1259787713231</v>
      </c>
      <c r="BH103" s="59">
        <f t="shared" si="62"/>
        <v>682.53003395503231</v>
      </c>
      <c r="BI103" s="59">
        <f ca="1">AVERAGE(OFFSET($BH$3,0,0,'Données projet'!$E$11+1,1))-AVERAGE(OFFSET($H$3,0,0,'Données projet'!$E$11+1,1))</f>
        <v>332.21938212432008</v>
      </c>
      <c r="BJ103" s="59">
        <f t="shared" si="92"/>
        <v>237.47732529948181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44.027247705603124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44.027247705603124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6.9935897435897401</v>
      </c>
      <c r="BY103" s="12">
        <f>IF('Données projet'!$A$114&gt;35,BY102+BX103-CG102,IF(A103&lt;'Données projet'!$A$114,$BV$205^A103,IF(A103='Données projet'!$A$114,'Données projet'!$B$114,BY102+BX103-CG102)))</f>
        <v>277.22435897435946</v>
      </c>
      <c r="BZ103" s="13">
        <f>BY103*VLOOKUP('Données projet'!$B$12,Paramètres!$A$1:$I$89,3,0)*VLOOKUP('Données projet'!$B$12,Paramètres!$A$1:$I$89,5,0)</f>
        <v>263.80670000000043</v>
      </c>
      <c r="CA103" s="13">
        <f t="shared" si="93"/>
        <v>63.533124866547425</v>
      </c>
      <c r="CB103" s="20">
        <f t="shared" si="64"/>
        <v>570.11686164257083</v>
      </c>
      <c r="CC103" s="59">
        <f t="shared" si="65"/>
        <v>847.52091682627997</v>
      </c>
      <c r="CD103" s="59">
        <f ca="1">AVERAGE(OFFSET($CC$3,0,0,'Données projet'!$E$12+1,1))-AVERAGE(OFFSET($H$3,0,0,'Données projet'!$E$12+1,1))</f>
        <v>439.09551305860475</v>
      </c>
      <c r="CE103" s="59">
        <f t="shared" si="94"/>
        <v>311.31528017256846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50.6728700007885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50.6728700007885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6.9935897435897401</v>
      </c>
      <c r="CT103" s="12">
        <f>IF('Données projet'!$A$140&gt;35,CT102+CS103-DB102,IF(A103&lt;'Données projet'!$A$140,$CQ$205^A103,IF(A103='Données projet'!$A$140,'Données projet'!$B$140,CT102+CS103-DB102)))</f>
        <v>277.22435897435946</v>
      </c>
      <c r="CU103" s="17">
        <f>CT103*VLOOKUP('Données projet'!$B$13,Paramètres!$A$1:$I$89,3,0)*VLOOKUP('Données projet'!$B$13,Paramètres!$A$1:$I$89,5,0)</f>
        <v>268.13140000000044</v>
      </c>
      <c r="CV103" s="13">
        <f t="shared" si="95"/>
        <v>64.452545063749213</v>
      </c>
      <c r="CW103" s="20">
        <f t="shared" si="67"/>
        <v>579.25037098603059</v>
      </c>
      <c r="CX103" s="59">
        <f t="shared" si="68"/>
        <v>856.65442616973974</v>
      </c>
      <c r="CY103" s="59">
        <f ca="1">AVERAGE(OFFSET($CX$3,0,0,'Données projet'!$E$13+1,1))-AVERAGE(OFFSET($H$3,0,0,'Données projet'!$E$13+1,1))</f>
        <v>445.01146841309549</v>
      </c>
      <c r="CZ103" s="59">
        <f t="shared" si="96"/>
        <v>315.40159257508969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51.503572787686672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51.503572787686672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-1.1368683772161603E-13</v>
      </c>
      <c r="DP103" s="17">
        <f>DO103*VLOOKUP('Données projet'!$B$14,Paramètres!$A$1:$I$89,3,0)*VLOOKUP('Données projet'!$B$14,Paramètres!$A$1:$I$89,5,0)</f>
        <v>-6.3550942286383367E-14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349.00268383833668</v>
      </c>
      <c r="DU103" s="59">
        <f t="shared" si="98"/>
        <v>459.94854391583749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92.967409011706579</v>
      </c>
      <c r="EB103" s="21">
        <f>EXP(-LN(2)/25)*EB102+(1-EXP(-LN(2)/25))/(LN(2)/25)*Calculateur!DW103*Calculateur!DY103*VLOOKUP('Données projet'!$B$14,Paramètres!$A$1:$I$89,3,0)*0.475*44/12</f>
        <v>16.543461924291538</v>
      </c>
      <c r="EC103" s="21">
        <f>EXP(-LN(2)/2)*EC102+(1-EXP(-LN(2)/2))/(LN(2)/2)*DW103*DZ103*VLOOKUP('Données projet'!$B$14,Paramètres!$A$1:$I$89,3,0)*0.475*44/12</f>
        <v>5.7591652191837045E-6</v>
      </c>
      <c r="ED103" s="22">
        <f t="shared" si="72"/>
        <v>109.51087669516333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1.7053025658242404E-13</v>
      </c>
      <c r="EK103" s="17">
        <f>EJ103*VLOOKUP('Données projet'!$B$15,Paramètres!$A$1:$I$89,3,0)*VLOOKUP('Données projet'!$B$15,Paramètres!$A$1:$I$89,5,0)</f>
        <v>1.3301360013429075E-13</v>
      </c>
      <c r="EL103" s="13">
        <f t="shared" si="99"/>
        <v>1.9329766731057041E-12</v>
      </c>
      <c r="EM103" s="20">
        <f t="shared" si="73"/>
        <v>3.5982663925596575E-12</v>
      </c>
      <c r="EN103" s="59">
        <f t="shared" si="74"/>
        <v>277.40405518371279</v>
      </c>
      <c r="EO103" s="59">
        <f ca="1">AVERAGE(OFFSET($EN$3,0,0,'Données projet'!$E$15+1,1))-AVERAGE(OFFSET($H$3,0,0,'Données projet'!$E$15+1,1))</f>
        <v>308.82719216177946</v>
      </c>
      <c r="EP103" s="59">
        <f t="shared" si="100"/>
        <v>302.59481222418219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43.911110372641581</v>
      </c>
      <c r="EW103" s="21">
        <f>EXP(-LN(2)/25)*EW102+(1-EXP(-LN(2)/25))/(LN(2)/25)*Calculateur!ER103*Calculateur!ET103*VLOOKUP('Données projet'!$B$15,Paramètres!$A$1:$I$89,3,0)*0.475*44/12</f>
        <v>28.878054358898325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72.789164731539898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833.75468144399679</v>
      </c>
      <c r="S104" s="59">
        <f ca="1">AVERAGE(OFFSET($R$3,0,0,'Données projet'!$E$9+1,1))-AVERAGE(OFFSET($H$3,0,0,'Données projet'!$E$9+1,1))</f>
        <v>421.33534980160005</v>
      </c>
      <c r="T104" s="59">
        <f t="shared" si="88"/>
        <v>299.0473530693472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6.9935897435897401</v>
      </c>
      <c r="AI104" s="13">
        <f>IF('Données projet'!$A$62&gt;35,AI103+AH104-AQ103,IF(A104&lt;'Données projet'!$A$62,$AF$205^A104,IF(A104='Données projet'!$A$62,'Données projet'!$B$62,AI103+AH104-AQ103)))</f>
        <v>284.21794871794918</v>
      </c>
      <c r="AJ104" s="13">
        <f>AI104*VLOOKUP('Données projet'!$B$10,Paramètres!$A$1:$I$89,3,0)*VLOOKUP('Données projet'!$B$10,Paramètres!$A$1:$I$89,5,0)</f>
        <v>288.19700000000051</v>
      </c>
      <c r="AK104" s="13">
        <f t="shared" si="89"/>
        <v>68.696350845178046</v>
      </c>
      <c r="AL104" s="20">
        <f t="shared" si="58"/>
        <v>621.5892527220193</v>
      </c>
      <c r="AM104" s="59">
        <f t="shared" si="59"/>
        <v>899.26964526909364</v>
      </c>
      <c r="AN104" s="59">
        <f ca="1">AVERAGE(OFFSET($AM$3,0,0,'Données projet'!$E$10+1,1))-AVERAGE(OFFSET($H$3,0,0,'Données projet'!$E$10+1,1))</f>
        <v>462.74754756814662</v>
      </c>
      <c r="AO104" s="59">
        <f t="shared" si="90"/>
        <v>327.65191293226667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52.936858775174976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52.936858775174976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6.9935897435897401</v>
      </c>
      <c r="BD104" s="12">
        <f>IF('Données projet'!$A$88&gt;35,BD103+BC104-BL103,IF(A104&lt;'Données projet'!$A$88,$BA$205^A104,IF(A104='Données projet'!$A$88,'Données projet'!$B$88,BD103+BC104-BL103)))</f>
        <v>284.21794871794918</v>
      </c>
      <c r="BE104" s="13">
        <f>BD104*VLOOKUP('Données projet'!$B$11,Paramètres!$A$1:$I$89,3,0)*VLOOKUP('Données projet'!$B$11,Paramètres!$A$1:$I$89,5,0)</f>
        <v>190.65340000000032</v>
      </c>
      <c r="BF104" s="13">
        <f t="shared" si="91"/>
        <v>47.684381438359047</v>
      </c>
      <c r="BG104" s="20">
        <f t="shared" si="61"/>
        <v>415.10496933847588</v>
      </c>
      <c r="BH104" s="59">
        <f t="shared" si="62"/>
        <v>692.78536188555029</v>
      </c>
      <c r="BI104" s="59">
        <f ca="1">AVERAGE(OFFSET($BH$3,0,0,'Données projet'!$E$11+1,1))-AVERAGE(OFFSET($H$3,0,0,'Données projet'!$E$11+1,1))</f>
        <v>332.21938212432008</v>
      </c>
      <c r="BJ104" s="59">
        <f t="shared" si="92"/>
        <v>237.47732529948181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43.163900232065735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43.163900232065735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6.9935897435897401</v>
      </c>
      <c r="BY104" s="12">
        <f>IF('Données projet'!$A$114&gt;35,BY103+BX104-CG103,IF(A104&lt;'Données projet'!$A$114,$BV$205^A104,IF(A104='Données projet'!$A$114,'Données projet'!$B$114,BY103+BX104-CG103)))</f>
        <v>284.21794871794918</v>
      </c>
      <c r="BZ104" s="13">
        <f>BY104*VLOOKUP('Données projet'!$B$12,Paramètres!$A$1:$I$89,3,0)*VLOOKUP('Données projet'!$B$12,Paramètres!$A$1:$I$89,5,0)</f>
        <v>270.46180000000044</v>
      </c>
      <c r="CA104" s="13">
        <f t="shared" si="93"/>
        <v>64.947265153265164</v>
      </c>
      <c r="CB104" s="20">
        <f t="shared" si="64"/>
        <v>584.17078847527091</v>
      </c>
      <c r="CC104" s="59">
        <f t="shared" si="65"/>
        <v>861.85118102234537</v>
      </c>
      <c r="CD104" s="59">
        <f ca="1">AVERAGE(OFFSET($CC$3,0,0,'Données projet'!$E$12+1,1))-AVERAGE(OFFSET($H$3,0,0,'Données projet'!$E$12+1,1))</f>
        <v>439.09551305860475</v>
      </c>
      <c r="CE104" s="59">
        <f t="shared" si="94"/>
        <v>311.31528017256846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49.679205927471884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49.679205927471884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6.9935897435897401</v>
      </c>
      <c r="CT104" s="12">
        <f>IF('Données projet'!$A$140&gt;35,CT103+CS104-DB103,IF(A104&lt;'Données projet'!$A$140,$CQ$205^A104,IF(A104='Données projet'!$A$140,'Données projet'!$B$140,CT103+CS104-DB103)))</f>
        <v>284.21794871794918</v>
      </c>
      <c r="CU104" s="17">
        <f>CT104*VLOOKUP('Données projet'!$B$13,Paramètres!$A$1:$I$89,3,0)*VLOOKUP('Données projet'!$B$13,Paramètres!$A$1:$I$89,5,0)</f>
        <v>274.89560000000046</v>
      </c>
      <c r="CV104" s="13">
        <f t="shared" si="95"/>
        <v>65.887150094551444</v>
      </c>
      <c r="CW104" s="20">
        <f t="shared" si="67"/>
        <v>593.52995641467794</v>
      </c>
      <c r="CX104" s="59">
        <f t="shared" si="68"/>
        <v>871.21034896175229</v>
      </c>
      <c r="CY104" s="59">
        <f ca="1">AVERAGE(OFFSET($CX$3,0,0,'Données projet'!$E$13+1,1))-AVERAGE(OFFSET($H$3,0,0,'Données projet'!$E$13+1,1))</f>
        <v>445.01146841309549</v>
      </c>
      <c r="CZ104" s="59">
        <f t="shared" si="96"/>
        <v>315.40159257508969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50.493619139397651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50.493619139397651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-1.1368683772161603E-13</v>
      </c>
      <c r="DP104" s="17">
        <f>DO104*VLOOKUP('Données projet'!$B$14,Paramètres!$A$1:$I$89,3,0)*VLOOKUP('Données projet'!$B$14,Paramètres!$A$1:$I$89,5,0)</f>
        <v>-6.3550942286383367E-14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349.00268383833668</v>
      </c>
      <c r="DU104" s="59">
        <f t="shared" si="98"/>
        <v>459.94854391583749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91.144374825507398</v>
      </c>
      <c r="EB104" s="21">
        <f>EXP(-LN(2)/25)*EB103+(1-EXP(-LN(2)/25))/(LN(2)/25)*Calculateur!DW104*Calculateur!DY104*VLOOKUP('Données projet'!$B$14,Paramètres!$A$1:$I$89,3,0)*0.475*44/12</f>
        <v>16.091080087988935</v>
      </c>
      <c r="EC104" s="21">
        <f>EXP(-LN(2)/2)*EC103+(1-EXP(-LN(2)/2))/(LN(2)/2)*DW104*DZ104*VLOOKUP('Données projet'!$B$14,Paramètres!$A$1:$I$89,3,0)*0.475*44/12</f>
        <v>4.0723447804585067E-6</v>
      </c>
      <c r="ED104" s="22">
        <f t="shared" si="72"/>
        <v>107.23545898584112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1.7053025658242404E-13</v>
      </c>
      <c r="EK104" s="17">
        <f>EJ104*VLOOKUP('Données projet'!$B$15,Paramètres!$A$1:$I$89,3,0)*VLOOKUP('Données projet'!$B$15,Paramètres!$A$1:$I$89,5,0)</f>
        <v>1.3301360013429075E-13</v>
      </c>
      <c r="EL104" s="13">
        <f t="shared" si="99"/>
        <v>1.9329766731057041E-12</v>
      </c>
      <c r="EM104" s="20">
        <f t="shared" si="73"/>
        <v>3.5982663925596575E-12</v>
      </c>
      <c r="EN104" s="59">
        <f t="shared" si="74"/>
        <v>277.68039254707799</v>
      </c>
      <c r="EO104" s="59">
        <f ca="1">AVERAGE(OFFSET($EN$3,0,0,'Données projet'!$E$15+1,1))-AVERAGE(OFFSET($H$3,0,0,'Données projet'!$E$15+1,1))</f>
        <v>308.82719216177946</v>
      </c>
      <c r="EP104" s="59">
        <f t="shared" si="100"/>
        <v>302.59481222418219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43.05004028136679</v>
      </c>
      <c r="EW104" s="21">
        <f>EXP(-LN(2)/25)*EW103+(1-EXP(-LN(2)/25))/(LN(2)/25)*Calculateur!ER104*Calculateur!ET104*VLOOKUP('Données projet'!$B$15,Paramètres!$A$1:$I$89,3,0)*0.475*44/12</f>
        <v>28.088382443823374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71.138422725190168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847.39602440609997</v>
      </c>
      <c r="S105" s="59">
        <f ca="1">AVERAGE(OFFSET($R$3,0,0,'Données projet'!$E$9+1,1))-AVERAGE(OFFSET($H$3,0,0,'Données projet'!$E$9+1,1))</f>
        <v>421.33534980160005</v>
      </c>
      <c r="T105" s="59">
        <f t="shared" si="88"/>
        <v>299.0473530693472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6.9935897435897401</v>
      </c>
      <c r="AI105" s="13">
        <f>IF('Données projet'!$A$62&gt;35,AI104+AH105-AQ104,IF(A105&lt;'Données projet'!$A$62,$AF$205^A105,IF(A105='Données projet'!$A$62,'Données projet'!$B$62,AI104+AH105-AQ104)))</f>
        <v>291.21153846153891</v>
      </c>
      <c r="AJ105" s="13">
        <f>AI105*VLOOKUP('Données projet'!$B$10,Paramètres!$A$1:$I$89,3,0)*VLOOKUP('Données projet'!$B$10,Paramètres!$A$1:$I$89,5,0)</f>
        <v>295.28850000000051</v>
      </c>
      <c r="AK105" s="13">
        <f t="shared" si="89"/>
        <v>70.187843985612119</v>
      </c>
      <c r="AL105" s="20">
        <f t="shared" si="58"/>
        <v>636.53796577494199</v>
      </c>
      <c r="AM105" s="59">
        <f t="shared" si="59"/>
        <v>914.48990184992499</v>
      </c>
      <c r="AN105" s="59">
        <f ca="1">AVERAGE(OFFSET($AM$3,0,0,'Données projet'!$E$10+1,1))-AVERAGE(OFFSET($H$3,0,0,'Données projet'!$E$10+1,1))</f>
        <v>462.74754756814662</v>
      </c>
      <c r="AO105" s="59">
        <f t="shared" si="90"/>
        <v>327.65191293226667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51.89879926288944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51.89879926288944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6.9935897435897401</v>
      </c>
      <c r="BD105" s="12">
        <f>IF('Données projet'!$A$88&gt;35,BD104+BC105-BL104,IF(A105&lt;'Données projet'!$A$88,$BA$205^A105,IF(A105='Données projet'!$A$88,'Données projet'!$B$88,BD104+BC105-BL104)))</f>
        <v>291.21153846153891</v>
      </c>
      <c r="BE105" s="13">
        <f>BD105*VLOOKUP('Données projet'!$B$11,Paramètres!$A$1:$I$89,3,0)*VLOOKUP('Données projet'!$B$11,Paramètres!$A$1:$I$89,5,0)</f>
        <v>195.3447000000003</v>
      </c>
      <c r="BF105" s="13">
        <f t="shared" si="91"/>
        <v>48.719675554365892</v>
      </c>
      <c r="BG105" s="20">
        <f t="shared" si="61"/>
        <v>425.07878742385446</v>
      </c>
      <c r="BH105" s="59">
        <f t="shared" si="62"/>
        <v>703.03072349883746</v>
      </c>
      <c r="BI105" s="59">
        <f ca="1">AVERAGE(OFFSET($BH$3,0,0,'Données projet'!$E$11+1,1))-AVERAGE(OFFSET($H$3,0,0,'Données projet'!$E$11+1,1))</f>
        <v>332.21938212432008</v>
      </c>
      <c r="BJ105" s="59">
        <f t="shared" si="92"/>
        <v>237.47732529948181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42.317482475894458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42.317482475894458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6.9935897435897401</v>
      </c>
      <c r="BY105" s="12">
        <f>IF('Données projet'!$A$114&gt;35,BY104+BX105-CG104,IF(A105&lt;'Données projet'!$A$114,$BV$205^A105,IF(A105='Données projet'!$A$114,'Données projet'!$B$114,BY104+BX105-CG104)))</f>
        <v>291.21153846153891</v>
      </c>
      <c r="BZ105" s="13">
        <f>BY105*VLOOKUP('Données projet'!$B$12,Paramètres!$A$1:$I$89,3,0)*VLOOKUP('Données projet'!$B$12,Paramètres!$A$1:$I$89,5,0)</f>
        <v>277.11690000000038</v>
      </c>
      <c r="CA105" s="13">
        <f t="shared" si="93"/>
        <v>66.357360438884669</v>
      </c>
      <c r="CB105" s="20">
        <f t="shared" si="64"/>
        <v>598.21767026439147</v>
      </c>
      <c r="CC105" s="59">
        <f t="shared" si="65"/>
        <v>876.16960633937447</v>
      </c>
      <c r="CD105" s="59">
        <f ca="1">AVERAGE(OFFSET($CC$3,0,0,'Données projet'!$E$12+1,1))-AVERAGE(OFFSET($H$3,0,0,'Données projet'!$E$12+1,1))</f>
        <v>439.09551305860475</v>
      </c>
      <c r="CE105" s="59">
        <f t="shared" si="94"/>
        <v>311.31528017256846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48.70502700055777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48.70502700055777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6.9935897435897401</v>
      </c>
      <c r="CT105" s="12">
        <f>IF('Données projet'!$A$140&gt;35,CT104+CS105-DB104,IF(A105&lt;'Données projet'!$A$140,$CQ$205^A105,IF(A105='Données projet'!$A$140,'Données projet'!$B$140,CT104+CS105-DB104)))</f>
        <v>291.21153846153891</v>
      </c>
      <c r="CU105" s="17">
        <f>CT105*VLOOKUP('Données projet'!$B$13,Paramètres!$A$1:$I$89,3,0)*VLOOKUP('Données projet'!$B$13,Paramètres!$A$1:$I$89,5,0)</f>
        <v>281.65980000000042</v>
      </c>
      <c r="CV105" s="13">
        <f t="shared" si="95"/>
        <v>67.317651586985107</v>
      </c>
      <c r="CW105" s="20">
        <f t="shared" si="67"/>
        <v>607.80239484733306</v>
      </c>
      <c r="CX105" s="59">
        <f t="shared" si="68"/>
        <v>885.75433092231606</v>
      </c>
      <c r="CY105" s="59">
        <f ca="1">AVERAGE(OFFSET($CX$3,0,0,'Données projet'!$E$13+1,1))-AVERAGE(OFFSET($H$3,0,0,'Données projet'!$E$13+1,1))</f>
        <v>445.01146841309549</v>
      </c>
      <c r="CZ105" s="59">
        <f t="shared" si="96"/>
        <v>315.40159257508969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49.503470066140679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49.503470066140679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-1.1368683772161603E-13</v>
      </c>
      <c r="DP105" s="17">
        <f>DO105*VLOOKUP('Données projet'!$B$14,Paramètres!$A$1:$I$89,3,0)*VLOOKUP('Données projet'!$B$14,Paramètres!$A$1:$I$89,5,0)</f>
        <v>-6.3550942286383367E-14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349.00268383833668</v>
      </c>
      <c r="DU105" s="59">
        <f t="shared" si="98"/>
        <v>459.94854391583749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89.357089227758536</v>
      </c>
      <c r="EB105" s="21">
        <f>EXP(-LN(2)/25)*EB104+(1-EXP(-LN(2)/25))/(LN(2)/25)*Calculateur!DW105*Calculateur!DY105*VLOOKUP('Données projet'!$B$14,Paramètres!$A$1:$I$89,3,0)*0.475*44/12</f>
        <v>15.651068656789752</v>
      </c>
      <c r="EC105" s="21">
        <f>EXP(-LN(2)/2)*EC104+(1-EXP(-LN(2)/2))/(LN(2)/2)*DW105*DZ105*VLOOKUP('Données projet'!$B$14,Paramètres!$A$1:$I$89,3,0)*0.475*44/12</f>
        <v>2.8795826095918523E-6</v>
      </c>
      <c r="ED105" s="22">
        <f t="shared" si="72"/>
        <v>105.00816076413089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1.7053025658242404E-13</v>
      </c>
      <c r="EK105" s="17">
        <f>EJ105*VLOOKUP('Données projet'!$B$15,Paramètres!$A$1:$I$89,3,0)*VLOOKUP('Données projet'!$B$15,Paramètres!$A$1:$I$89,5,0)</f>
        <v>1.3301360013429075E-13</v>
      </c>
      <c r="EL105" s="13">
        <f t="shared" si="99"/>
        <v>1.9329766731057041E-12</v>
      </c>
      <c r="EM105" s="20">
        <f t="shared" si="73"/>
        <v>3.5982663925596575E-12</v>
      </c>
      <c r="EN105" s="59">
        <f t="shared" si="74"/>
        <v>277.95193607498652</v>
      </c>
      <c r="EO105" s="59">
        <f ca="1">AVERAGE(OFFSET($EN$3,0,0,'Données projet'!$E$15+1,1))-AVERAGE(OFFSET($H$3,0,0,'Données projet'!$E$15+1,1))</f>
        <v>308.82719216177946</v>
      </c>
      <c r="EP105" s="59">
        <f t="shared" si="100"/>
        <v>302.59481222418219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42.205855249381003</v>
      </c>
      <c r="EW105" s="21">
        <f>EXP(-LN(2)/25)*EW104+(1-EXP(-LN(2)/25))/(LN(2)/25)*Calculateur!ER105*Calculateur!ET105*VLOOKUP('Données projet'!$B$15,Paramètres!$A$1:$I$89,3,0)*0.475*44/12</f>
        <v>27.320304148793188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69.526159398174187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861.0260991265568</v>
      </c>
      <c r="S106" s="59">
        <f ca="1">AVERAGE(OFFSET($R$3,0,0,'Données projet'!$E$9+1,1))-AVERAGE(OFFSET($H$3,0,0,'Données projet'!$E$9+1,1))</f>
        <v>421.33534980160005</v>
      </c>
      <c r="T106" s="59">
        <f t="shared" si="88"/>
        <v>299.0473530693472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6.9935897435897401</v>
      </c>
      <c r="AI106" s="13">
        <f>IF('Données projet'!$A$62&gt;35,AI105+AH106-AQ105,IF(A106&lt;'Données projet'!$A$62,$AF$205^A106,IF(A106='Données projet'!$A$62,'Données projet'!$B$62,AI105+AH106-AQ105)))</f>
        <v>298.20512820512863</v>
      </c>
      <c r="AJ106" s="13">
        <f>AI106*VLOOKUP('Données projet'!$B$10,Paramètres!$A$1:$I$89,3,0)*VLOOKUP('Données projet'!$B$10,Paramètres!$A$1:$I$89,5,0)</f>
        <v>302.38000000000045</v>
      </c>
      <c r="AK106" s="13">
        <f t="shared" si="89"/>
        <v>71.67517319946117</v>
      </c>
      <c r="AL106" s="20">
        <f t="shared" si="58"/>
        <v>651.47942665572896</v>
      </c>
      <c r="AM106" s="59">
        <f t="shared" si="59"/>
        <v>929.6981955854917</v>
      </c>
      <c r="AN106" s="59">
        <f ca="1">AVERAGE(OFFSET($AM$3,0,0,'Données projet'!$E$10+1,1))-AVERAGE(OFFSET($H$3,0,0,'Données projet'!$E$10+1,1))</f>
        <v>462.74754756814662</v>
      </c>
      <c r="AO106" s="59">
        <f t="shared" si="90"/>
        <v>327.65191293226667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50.881095464486044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50.881095464486044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6.9935897435897401</v>
      </c>
      <c r="BD106" s="12">
        <f>IF('Données projet'!$A$88&gt;35,BD105+BC106-BL105,IF(A106&lt;'Données projet'!$A$88,$BA$205^A106,IF(A106='Données projet'!$A$88,'Données projet'!$B$88,BD105+BC106-BL105)))</f>
        <v>298.20512820512863</v>
      </c>
      <c r="BE106" s="13">
        <f>BD106*VLOOKUP('Données projet'!$B$11,Paramètres!$A$1:$I$89,3,0)*VLOOKUP('Données projet'!$B$11,Paramètres!$A$1:$I$89,5,0)</f>
        <v>200.03600000000029</v>
      </c>
      <c r="BF106" s="13">
        <f t="shared" si="91"/>
        <v>49.752079352894121</v>
      </c>
      <c r="BG106" s="20">
        <f t="shared" si="61"/>
        <v>435.04757153962441</v>
      </c>
      <c r="BH106" s="59">
        <f t="shared" si="62"/>
        <v>713.26634046938716</v>
      </c>
      <c r="BI106" s="59">
        <f ca="1">AVERAGE(OFFSET($BH$3,0,0,'Données projet'!$E$11+1,1))-AVERAGE(OFFSET($H$3,0,0,'Données projet'!$E$11+1,1))</f>
        <v>332.21938212432008</v>
      </c>
      <c r="BJ106" s="59">
        <f t="shared" si="92"/>
        <v>237.47732529948181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41.487662455657841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41.487662455657841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6.9935897435897401</v>
      </c>
      <c r="BY106" s="12">
        <f>IF('Données projet'!$A$114&gt;35,BY105+BX106-CG105,IF(A106&lt;'Données projet'!$A$114,$BV$205^A106,IF(A106='Données projet'!$A$114,'Données projet'!$B$114,BY105+BX106-CG105)))</f>
        <v>298.20512820512863</v>
      </c>
      <c r="BZ106" s="13">
        <f>BY106*VLOOKUP('Données projet'!$B$12,Paramètres!$A$1:$I$89,3,0)*VLOOKUP('Données projet'!$B$12,Paramètres!$A$1:$I$89,5,0)</f>
        <v>283.77200000000039</v>
      </c>
      <c r="CA106" s="13">
        <f t="shared" si="93"/>
        <v>67.763519043142281</v>
      </c>
      <c r="CB106" s="20">
        <f t="shared" si="64"/>
        <v>612.25769566680685</v>
      </c>
      <c r="CC106" s="59">
        <f t="shared" si="65"/>
        <v>890.47646459656949</v>
      </c>
      <c r="CD106" s="59">
        <f ca="1">AVERAGE(OFFSET($CC$3,0,0,'Données projet'!$E$12+1,1))-AVERAGE(OFFSET($H$3,0,0,'Données projet'!$E$12+1,1))</f>
        <v>439.09551305860475</v>
      </c>
      <c r="CE106" s="59">
        <f t="shared" si="94"/>
        <v>311.31528017256846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47.749951128209965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47.749951128209965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6.9935897435897401</v>
      </c>
      <c r="CT106" s="12">
        <f>IF('Données projet'!$A$140&gt;35,CT105+CS106-DB105,IF(A106&lt;'Données projet'!$A$140,$CQ$205^A106,IF(A106='Données projet'!$A$140,'Données projet'!$B$140,CT105+CS106-DB105)))</f>
        <v>298.20512820512863</v>
      </c>
      <c r="CU106" s="17">
        <f>CT106*VLOOKUP('Données projet'!$B$13,Paramètres!$A$1:$I$89,3,0)*VLOOKUP('Données projet'!$B$13,Paramètres!$A$1:$I$89,5,0)</f>
        <v>288.42400000000038</v>
      </c>
      <c r="CV106" s="13">
        <f t="shared" si="95"/>
        <v>68.744159428336587</v>
      </c>
      <c r="CW106" s="20">
        <f t="shared" si="67"/>
        <v>622.06787767102014</v>
      </c>
      <c r="CX106" s="59">
        <f t="shared" si="68"/>
        <v>900.28664660078289</v>
      </c>
      <c r="CY106" s="59">
        <f ca="1">AVERAGE(OFFSET($CX$3,0,0,'Données projet'!$E$13+1,1))-AVERAGE(OFFSET($H$3,0,0,'Données projet'!$E$13+1,1))</f>
        <v>445.01146841309549</v>
      </c>
      <c r="CZ106" s="59">
        <f t="shared" si="96"/>
        <v>315.40159257508969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48.532737212278974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48.532737212278974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-1.1368683772161603E-13</v>
      </c>
      <c r="DP106" s="17">
        <f>DO106*VLOOKUP('Données projet'!$B$14,Paramètres!$A$1:$I$89,3,0)*VLOOKUP('Données projet'!$B$14,Paramètres!$A$1:$I$89,5,0)</f>
        <v>-6.3550942286383367E-14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349.00268383833668</v>
      </c>
      <c r="DU106" s="59">
        <f t="shared" si="98"/>
        <v>459.94854391583749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87.604851210444949</v>
      </c>
      <c r="EB106" s="21">
        <f>EXP(-LN(2)/25)*EB105+(1-EXP(-LN(2)/25))/(LN(2)/25)*Calculateur!DW106*Calculateur!DY106*VLOOKUP('Données projet'!$B$14,Paramètres!$A$1:$I$89,3,0)*0.475*44/12</f>
        <v>15.223089361315907</v>
      </c>
      <c r="EC106" s="21">
        <f>EXP(-LN(2)/2)*EC105+(1-EXP(-LN(2)/2))/(LN(2)/2)*DW106*DZ106*VLOOKUP('Données projet'!$B$14,Paramètres!$A$1:$I$89,3,0)*0.475*44/12</f>
        <v>2.0361723902292534E-6</v>
      </c>
      <c r="ED106" s="22">
        <f t="shared" si="72"/>
        <v>102.82794260793324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1.7053025658242404E-13</v>
      </c>
      <c r="EK106" s="17">
        <f>EJ106*VLOOKUP('Données projet'!$B$15,Paramètres!$A$1:$I$89,3,0)*VLOOKUP('Données projet'!$B$15,Paramètres!$A$1:$I$89,5,0)</f>
        <v>1.3301360013429075E-13</v>
      </c>
      <c r="EL106" s="13">
        <f t="shared" si="99"/>
        <v>1.9329766731057041E-12</v>
      </c>
      <c r="EM106" s="20">
        <f t="shared" si="73"/>
        <v>3.5982663925596575E-12</v>
      </c>
      <c r="EN106" s="59">
        <f t="shared" si="74"/>
        <v>278.21876892976627</v>
      </c>
      <c r="EO106" s="59">
        <f ca="1">AVERAGE(OFFSET($EN$3,0,0,'Données projet'!$E$15+1,1))-AVERAGE(OFFSET($H$3,0,0,'Données projet'!$E$15+1,1))</f>
        <v>308.82719216177946</v>
      </c>
      <c r="EP106" s="59">
        <f t="shared" si="100"/>
        <v>302.59481222418219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41.378224170970434</v>
      </c>
      <c r="EW106" s="21">
        <f>EXP(-LN(2)/25)*EW105+(1-EXP(-LN(2)/25))/(LN(2)/25)*Calculateur!ER106*Calculateur!ET106*VLOOKUP('Données projet'!$B$15,Paramètres!$A$1:$I$89,3,0)*0.475*44/12</f>
        <v>26.573228995132084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67.95145316610251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874.64515881373291</v>
      </c>
      <c r="S107" s="59">
        <f ca="1">AVERAGE(OFFSET($R$3,0,0,'Données projet'!$E$9+1,1))-AVERAGE(OFFSET($H$3,0,0,'Données projet'!$E$9+1,1))</f>
        <v>421.33534980160005</v>
      </c>
      <c r="T107" s="59">
        <f t="shared" si="88"/>
        <v>299.0473530693472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6.9935897435897401</v>
      </c>
      <c r="AI107" s="13">
        <f>IF('Données projet'!$A$62&gt;35,AI106+AH107-AQ106,IF(A107&lt;'Données projet'!$A$62,$AF$205^A107,IF(A107='Données projet'!$A$62,'Données projet'!$B$62,AI106+AH107-AQ106)))</f>
        <v>305.19871794871835</v>
      </c>
      <c r="AJ107" s="13">
        <f>AI107*VLOOKUP('Données projet'!$B$10,Paramètres!$A$1:$I$89,3,0)*VLOOKUP('Données projet'!$B$10,Paramètres!$A$1:$I$89,5,0)</f>
        <v>309.47150000000045</v>
      </c>
      <c r="AK107" s="13">
        <f t="shared" si="89"/>
        <v>73.15844737867603</v>
      </c>
      <c r="AL107" s="20">
        <f t="shared" si="58"/>
        <v>666.41382501786154</v>
      </c>
      <c r="AM107" s="59">
        <f t="shared" si="59"/>
        <v>944.89479784892251</v>
      </c>
      <c r="AN107" s="59">
        <f ca="1">AVERAGE(OFFSET($AM$3,0,0,'Données projet'!$E$10+1,1))-AVERAGE(OFFSET($H$3,0,0,'Données projet'!$E$10+1,1))</f>
        <v>462.74754756814662</v>
      </c>
      <c r="AO107" s="59">
        <f t="shared" si="90"/>
        <v>327.65191293226667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49.883348216831315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49.883348216831315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6.9935897435897401</v>
      </c>
      <c r="BD107" s="12">
        <f>IF('Données projet'!$A$88&gt;35,BD106+BC107-BL106,IF(A107&lt;'Données projet'!$A$88,$BA$205^A107,IF(A107='Données projet'!$A$88,'Données projet'!$B$88,BD106+BC107-BL106)))</f>
        <v>305.19871794871835</v>
      </c>
      <c r="BE107" s="13">
        <f>BD107*VLOOKUP('Données projet'!$B$11,Paramètres!$A$1:$I$89,3,0)*VLOOKUP('Données projet'!$B$11,Paramètres!$A$1:$I$89,5,0)</f>
        <v>204.72730000000027</v>
      </c>
      <c r="BF107" s="13">
        <f t="shared" si="91"/>
        <v>50.781668419404411</v>
      </c>
      <c r="BG107" s="20">
        <f t="shared" si="61"/>
        <v>445.01145333046315</v>
      </c>
      <c r="BH107" s="59">
        <f t="shared" si="62"/>
        <v>723.49242616152401</v>
      </c>
      <c r="BI107" s="59">
        <f ca="1">AVERAGE(OFFSET($BH$3,0,0,'Données projet'!$E$11+1,1))-AVERAGE(OFFSET($H$3,0,0,'Données projet'!$E$11+1,1))</f>
        <v>332.21938212432008</v>
      </c>
      <c r="BJ107" s="59">
        <f t="shared" si="92"/>
        <v>237.47732529948181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40.674114699877826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40.674114699877826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6.9935897435897401</v>
      </c>
      <c r="BY107" s="12">
        <f>IF('Données projet'!$A$114&gt;35,BY106+BX107-CG106,IF(A107&lt;'Données projet'!$A$114,$BV$205^A107,IF(A107='Données projet'!$A$114,'Données projet'!$B$114,BY106+BX107-CG106)))</f>
        <v>305.19871794871835</v>
      </c>
      <c r="BZ107" s="13">
        <f>BY107*VLOOKUP('Données projet'!$B$12,Paramètres!$A$1:$I$89,3,0)*VLOOKUP('Données projet'!$B$12,Paramètres!$A$1:$I$89,5,0)</f>
        <v>290.42710000000039</v>
      </c>
      <c r="CA107" s="13">
        <f t="shared" si="93"/>
        <v>69.165843915238824</v>
      </c>
      <c r="CB107" s="20">
        <f t="shared" si="64"/>
        <v>626.29104398570837</v>
      </c>
      <c r="CC107" s="59">
        <f t="shared" si="65"/>
        <v>904.77201681676934</v>
      </c>
      <c r="CD107" s="59">
        <f ca="1">AVERAGE(OFFSET($CC$3,0,0,'Données projet'!$E$12+1,1))-AVERAGE(OFFSET($H$3,0,0,'Données projet'!$E$12+1,1))</f>
        <v>439.09551305860475</v>
      </c>
      <c r="CE107" s="59">
        <f t="shared" si="94"/>
        <v>311.31528017256846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46.813603711180143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46.813603711180143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6.9935897435897401</v>
      </c>
      <c r="CT107" s="12">
        <f>IF('Données projet'!$A$140&gt;35,CT106+CS107-DB106,IF(A107&lt;'Données projet'!$A$140,$CQ$205^A107,IF(A107='Données projet'!$A$140,'Données projet'!$B$140,CT106+CS107-DB106)))</f>
        <v>305.19871794871835</v>
      </c>
      <c r="CU107" s="17">
        <f>CT107*VLOOKUP('Données projet'!$B$13,Paramètres!$A$1:$I$89,3,0)*VLOOKUP('Données projet'!$B$13,Paramètres!$A$1:$I$89,5,0)</f>
        <v>295.18820000000039</v>
      </c>
      <c r="CV107" s="13">
        <f t="shared" si="95"/>
        <v>70.166778057637003</v>
      </c>
      <c r="CW107" s="20">
        <f t="shared" si="67"/>
        <v>636.32658678371843</v>
      </c>
      <c r="CX107" s="59">
        <f t="shared" si="68"/>
        <v>914.80755961477939</v>
      </c>
      <c r="CY107" s="59">
        <f ca="1">AVERAGE(OFFSET($CX$3,0,0,'Données projet'!$E$13+1,1))-AVERAGE(OFFSET($H$3,0,0,'Données projet'!$E$13+1,1))</f>
        <v>445.01146841309549</v>
      </c>
      <c r="CZ107" s="59">
        <f t="shared" si="96"/>
        <v>315.40159257508969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47.581039837592925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47.581039837592925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-1.1368683772161603E-13</v>
      </c>
      <c r="DP107" s="17">
        <f>DO107*VLOOKUP('Données projet'!$B$14,Paramètres!$A$1:$I$89,3,0)*VLOOKUP('Données projet'!$B$14,Paramètres!$A$1:$I$89,5,0)</f>
        <v>-6.3550942286383367E-14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349.00268383833668</v>
      </c>
      <c r="DU107" s="59">
        <f t="shared" si="98"/>
        <v>459.94854391583749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85.886973511891227</v>
      </c>
      <c r="EB107" s="21">
        <f>EXP(-LN(2)/25)*EB106+(1-EXP(-LN(2)/25))/(LN(2)/25)*Calculateur!DW107*Calculateur!DY107*VLOOKUP('Données projet'!$B$14,Paramètres!$A$1:$I$89,3,0)*0.475*44/12</f>
        <v>14.806813182183246</v>
      </c>
      <c r="EC107" s="21">
        <f>EXP(-LN(2)/2)*EC106+(1-EXP(-LN(2)/2))/(LN(2)/2)*DW107*DZ107*VLOOKUP('Données projet'!$B$14,Paramètres!$A$1:$I$89,3,0)*0.475*44/12</f>
        <v>1.4397913047959261E-6</v>
      </c>
      <c r="ED107" s="22">
        <f t="shared" si="72"/>
        <v>100.69378813386578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1.7053025658242404E-13</v>
      </c>
      <c r="EK107" s="17">
        <f>EJ107*VLOOKUP('Données projet'!$B$15,Paramètres!$A$1:$I$89,3,0)*VLOOKUP('Données projet'!$B$15,Paramètres!$A$1:$I$89,5,0)</f>
        <v>1.3301360013429075E-13</v>
      </c>
      <c r="EL107" s="13">
        <f t="shared" si="99"/>
        <v>1.9329766731057041E-12</v>
      </c>
      <c r="EM107" s="20">
        <f t="shared" si="73"/>
        <v>3.5982663925596575E-12</v>
      </c>
      <c r="EN107" s="59">
        <f t="shared" si="74"/>
        <v>278.48097283106449</v>
      </c>
      <c r="EO107" s="59">
        <f ca="1">AVERAGE(OFFSET($EN$3,0,0,'Données projet'!$E$15+1,1))-AVERAGE(OFFSET($H$3,0,0,'Données projet'!$E$15+1,1))</f>
        <v>308.82719216177946</v>
      </c>
      <c r="EP107" s="59">
        <f t="shared" si="100"/>
        <v>302.59481222418219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40.566822433202383</v>
      </c>
      <c r="EW107" s="21">
        <f>EXP(-LN(2)/25)*EW106+(1-EXP(-LN(2)/25))/(LN(2)/25)*Calculateur!ER107*Calculateur!ET107*VLOOKUP('Données projet'!$B$15,Paramètres!$A$1:$I$89,3,0)*0.475*44/12</f>
        <v>25.846582650834819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66.413405084037208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888.25344695053968</v>
      </c>
      <c r="S108" s="59">
        <f ca="1">AVERAGE(OFFSET($R$3,0,0,'Données projet'!$E$9+1,1))-AVERAGE(OFFSET($H$3,0,0,'Données projet'!$E$9+1,1))</f>
        <v>421.33534980160005</v>
      </c>
      <c r="T108" s="59">
        <f t="shared" si="88"/>
        <v>299.0473530693472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6.9935897435897401</v>
      </c>
      <c r="AI108" s="13">
        <f>IF('Données projet'!$A$62&gt;35,AI107+AH108-AQ107,IF(A108&lt;'Données projet'!$A$62,$AF$205^A108,IF(A108='Données projet'!$A$62,'Données projet'!$B$62,AI107+AH108-AQ107)))</f>
        <v>312.19230769230808</v>
      </c>
      <c r="AJ108" s="13">
        <f>AI108*VLOOKUP('Données projet'!$B$10,Paramètres!$A$1:$I$89,3,0)*VLOOKUP('Données projet'!$B$10,Paramètres!$A$1:$I$89,5,0)</f>
        <v>316.56300000000044</v>
      </c>
      <c r="AK108" s="13">
        <f t="shared" si="89"/>
        <v>74.637770139918928</v>
      </c>
      <c r="AL108" s="20">
        <f t="shared" si="58"/>
        <v>681.34134132702627</v>
      </c>
      <c r="AM108" s="59">
        <f t="shared" si="59"/>
        <v>960.07996940789803</v>
      </c>
      <c r="AN108" s="59">
        <f ca="1">AVERAGE(OFFSET($AM$3,0,0,'Données projet'!$E$10+1,1))-AVERAGE(OFFSET($H$3,0,0,'Données projet'!$E$10+1,1))</f>
        <v>462.74754756814662</v>
      </c>
      <c r="AO108" s="59">
        <f t="shared" si="90"/>
        <v>327.65191293226667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48.905166184137364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48.905166184137364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6.9935897435897401</v>
      </c>
      <c r="BD108" s="12">
        <f>IF('Données projet'!$A$88&gt;35,BD107+BC108-BL107,IF(A108&lt;'Données projet'!$A$88,$BA$205^A108,IF(A108='Données projet'!$A$88,'Données projet'!$B$88,BD107+BC108-BL107)))</f>
        <v>312.19230769230808</v>
      </c>
      <c r="BE108" s="13">
        <f>BD108*VLOOKUP('Données projet'!$B$11,Paramètres!$A$1:$I$89,3,0)*VLOOKUP('Données projet'!$B$11,Paramètres!$A$1:$I$89,5,0)</f>
        <v>209.41860000000025</v>
      </c>
      <c r="BF108" s="13">
        <f t="shared" si="91"/>
        <v>51.808514677607135</v>
      </c>
      <c r="BG108" s="20">
        <f t="shared" si="61"/>
        <v>454.97055806349954</v>
      </c>
      <c r="BH108" s="59">
        <f t="shared" si="62"/>
        <v>733.7091861443713</v>
      </c>
      <c r="BI108" s="59">
        <f ca="1">AVERAGE(OFFSET($BH$3,0,0,'Données projet'!$E$11+1,1))-AVERAGE(OFFSET($H$3,0,0,'Données projet'!$E$11+1,1))</f>
        <v>332.21938212432008</v>
      </c>
      <c r="BJ108" s="59">
        <f t="shared" si="92"/>
        <v>237.47732529948181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39.876520119373531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39.876520119373531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6.9935897435897401</v>
      </c>
      <c r="BY108" s="12">
        <f>IF('Données projet'!$A$114&gt;35,BY107+BX108-CG107,IF(A108&lt;'Données projet'!$A$114,$BV$205^A108,IF(A108='Données projet'!$A$114,'Données projet'!$B$114,BY107+BX108-CG107)))</f>
        <v>312.19230769230808</v>
      </c>
      <c r="BZ108" s="13">
        <f>BY108*VLOOKUP('Données projet'!$B$12,Paramètres!$A$1:$I$89,3,0)*VLOOKUP('Données projet'!$B$12,Paramètres!$A$1:$I$89,5,0)</f>
        <v>297.08220000000034</v>
      </c>
      <c r="CA108" s="13">
        <f t="shared" si="93"/>
        <v>70.564433016983557</v>
      </c>
      <c r="CB108" s="20">
        <f t="shared" si="64"/>
        <v>640.31788583791365</v>
      </c>
      <c r="CC108" s="59">
        <f t="shared" si="65"/>
        <v>919.05651391878541</v>
      </c>
      <c r="CD108" s="59">
        <f ca="1">AVERAGE(OFFSET($CC$3,0,0,'Données projet'!$E$12+1,1))-AVERAGE(OFFSET($H$3,0,0,'Données projet'!$E$12+1,1))</f>
        <v>439.09551305860475</v>
      </c>
      <c r="CE108" s="59">
        <f t="shared" si="94"/>
        <v>311.31528017256846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45.895617495882739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45.895617495882739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6.9935897435897401</v>
      </c>
      <c r="CT108" s="12">
        <f>IF('Données projet'!$A$140&gt;35,CT107+CS108-DB107,IF(A108&lt;'Données projet'!$A$140,$CQ$205^A108,IF(A108='Données projet'!$A$140,'Données projet'!$B$140,CT107+CS108-DB107)))</f>
        <v>312.19230769230808</v>
      </c>
      <c r="CU108" s="17">
        <f>CT108*VLOOKUP('Données projet'!$B$13,Paramètres!$A$1:$I$89,3,0)*VLOOKUP('Données projet'!$B$13,Paramètres!$A$1:$I$89,5,0)</f>
        <v>301.95240000000035</v>
      </c>
      <c r="CV108" s="13">
        <f t="shared" si="95"/>
        <v>71.585606854350786</v>
      </c>
      <c r="CW108" s="20">
        <f t="shared" si="67"/>
        <v>650.57869527132823</v>
      </c>
      <c r="CX108" s="59">
        <f t="shared" si="68"/>
        <v>929.31732335219999</v>
      </c>
      <c r="CY108" s="59">
        <f ca="1">AVERAGE(OFFSET($CX$3,0,0,'Données projet'!$E$13+1,1))-AVERAGE(OFFSET($H$3,0,0,'Données projet'!$E$13+1,1))</f>
        <v>445.01146841309549</v>
      </c>
      <c r="CZ108" s="59">
        <f t="shared" si="96"/>
        <v>315.40159257508969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46.648004667946388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46.648004667946388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-1.1368683772161603E-13</v>
      </c>
      <c r="DP108" s="17">
        <f>DO108*VLOOKUP('Données projet'!$B$14,Paramètres!$A$1:$I$89,3,0)*VLOOKUP('Données projet'!$B$14,Paramètres!$A$1:$I$89,5,0)</f>
        <v>-6.3550942286383367E-14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349.00268383833668</v>
      </c>
      <c r="DU108" s="59">
        <f t="shared" si="98"/>
        <v>459.94854391583749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84.202782347204206</v>
      </c>
      <c r="EB108" s="21">
        <f>EXP(-LN(2)/25)*EB107+(1-EXP(-LN(2)/25))/(LN(2)/25)*Calculateur!DW108*Calculateur!DY108*VLOOKUP('Données projet'!$B$14,Paramètres!$A$1:$I$89,3,0)*0.475*44/12</f>
        <v>14.401920097059982</v>
      </c>
      <c r="EC108" s="21">
        <f>EXP(-LN(2)/2)*EC107+(1-EXP(-LN(2)/2))/(LN(2)/2)*DW108*DZ108*VLOOKUP('Données projet'!$B$14,Paramètres!$A$1:$I$89,3,0)*0.475*44/12</f>
        <v>1.0180861951146267E-6</v>
      </c>
      <c r="ED108" s="22">
        <f t="shared" si="72"/>
        <v>98.604703462350386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1.7053025658242404E-13</v>
      </c>
      <c r="EK108" s="17">
        <f>EJ108*VLOOKUP('Données projet'!$B$15,Paramètres!$A$1:$I$89,3,0)*VLOOKUP('Données projet'!$B$15,Paramètres!$A$1:$I$89,5,0)</f>
        <v>1.3301360013429075E-13</v>
      </c>
      <c r="EL108" s="13">
        <f t="shared" si="99"/>
        <v>1.9329766731057041E-12</v>
      </c>
      <c r="EM108" s="20">
        <f t="shared" si="73"/>
        <v>3.5982663925596575E-12</v>
      </c>
      <c r="EN108" s="59">
        <f t="shared" si="74"/>
        <v>278.73862808087534</v>
      </c>
      <c r="EO108" s="59">
        <f ca="1">AVERAGE(OFFSET($EN$3,0,0,'Données projet'!$E$15+1,1))-AVERAGE(OFFSET($H$3,0,0,'Données projet'!$E$15+1,1))</f>
        <v>308.82719216177946</v>
      </c>
      <c r="EP108" s="59">
        <f t="shared" si="100"/>
        <v>302.59481222418219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39.771331788605771</v>
      </c>
      <c r="EW108" s="21">
        <f>EXP(-LN(2)/25)*EW107+(1-EXP(-LN(2)/25))/(LN(2)/25)*Calculateur!ER108*Calculateur!ET108*VLOOKUP('Données projet'!$B$15,Paramètres!$A$1:$I$89,3,0)*0.475*44/12</f>
        <v>25.139806489035031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64.911138277640802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901.85119789845271</v>
      </c>
      <c r="S109" s="59">
        <f ca="1">AVERAGE(OFFSET($R$3,0,0,'Données projet'!$E$9+1,1))-AVERAGE(OFFSET($H$3,0,0,'Données projet'!$E$9+1,1))</f>
        <v>421.33534980160005</v>
      </c>
      <c r="T109" s="59">
        <f t="shared" si="88"/>
        <v>299.0473530693472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6.9935897435897401</v>
      </c>
      <c r="AI109" s="13">
        <f>IF('Données projet'!$A$62&gt;35,AI108+AH109-AQ108,IF(A109&lt;'Données projet'!$A$62,$AF$205^A109,IF(A109='Données projet'!$A$62,'Données projet'!$B$62,AI108+AH109-AQ108)))</f>
        <v>319.1858974358978</v>
      </c>
      <c r="AJ109" s="13">
        <f>AI109*VLOOKUP('Données projet'!$B$10,Paramètres!$A$1:$I$89,3,0)*VLOOKUP('Données projet'!$B$10,Paramètres!$A$1:$I$89,5,0)</f>
        <v>323.65450000000038</v>
      </c>
      <c r="AK109" s="13">
        <f t="shared" si="89"/>
        <v>76.113240192485776</v>
      </c>
      <c r="AL109" s="20">
        <f t="shared" si="58"/>
        <v>696.26214750191332</v>
      </c>
      <c r="AM109" s="59">
        <f t="shared" si="59"/>
        <v>975.25396109004237</v>
      </c>
      <c r="AN109" s="59">
        <f ca="1">AVERAGE(OFFSET($AM$3,0,0,'Données projet'!$E$10+1,1))-AVERAGE(OFFSET($H$3,0,0,'Données projet'!$E$10+1,1))</f>
        <v>462.74754756814662</v>
      </c>
      <c r="AO109" s="59">
        <f t="shared" si="90"/>
        <v>327.65191293226667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47.946165704472413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47.946165704472413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6.9935897435897401</v>
      </c>
      <c r="BD109" s="12">
        <f>IF('Données projet'!$A$88&gt;35,BD108+BC109-BL108,IF(A109&lt;'Données projet'!$A$88,$BA$205^A109,IF(A109='Données projet'!$A$88,'Données projet'!$B$88,BD108+BC109-BL108)))</f>
        <v>319.1858974358978</v>
      </c>
      <c r="BE109" s="13">
        <f>BD109*VLOOKUP('Données projet'!$B$11,Paramètres!$A$1:$I$89,3,0)*VLOOKUP('Données projet'!$B$11,Paramètres!$A$1:$I$89,5,0)</f>
        <v>214.10990000000024</v>
      </c>
      <c r="BF109" s="13">
        <f t="shared" si="91"/>
        <v>52.832686644849439</v>
      </c>
      <c r="BG109" s="20">
        <f t="shared" si="61"/>
        <v>464.92500507311314</v>
      </c>
      <c r="BH109" s="59">
        <f t="shared" si="62"/>
        <v>743.91681866124225</v>
      </c>
      <c r="BI109" s="59">
        <f ca="1">AVERAGE(OFFSET($BH$3,0,0,'Données projet'!$E$11+1,1))-AVERAGE(OFFSET($H$3,0,0,'Données projet'!$E$11+1,1))</f>
        <v>332.21938212432008</v>
      </c>
      <c r="BJ109" s="59">
        <f t="shared" si="92"/>
        <v>237.47732529948181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39.094565882108263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39.094565882108263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6.9935897435897401</v>
      </c>
      <c r="BY109" s="12">
        <f>IF('Données projet'!$A$114&gt;35,BY108+BX109-CG108,IF(A109&lt;'Données projet'!$A$114,$BV$205^A109,IF(A109='Données projet'!$A$114,'Données projet'!$B$114,BY108+BX109-CG108)))</f>
        <v>319.1858974358978</v>
      </c>
      <c r="BZ109" s="13">
        <f>BY109*VLOOKUP('Données projet'!$B$12,Paramètres!$A$1:$I$89,3,0)*VLOOKUP('Données projet'!$B$12,Paramètres!$A$1:$I$89,5,0)</f>
        <v>303.73730000000035</v>
      </c>
      <c r="CA109" s="13">
        <f t="shared" si="93"/>
        <v>71.959379670638114</v>
      </c>
      <c r="CB109" s="20">
        <f t="shared" si="64"/>
        <v>654.33838375969526</v>
      </c>
      <c r="CC109" s="59">
        <f t="shared" si="65"/>
        <v>933.33019734782442</v>
      </c>
      <c r="CD109" s="59">
        <f ca="1">AVERAGE(OFFSET($CC$3,0,0,'Données projet'!$E$12+1,1))-AVERAGE(OFFSET($H$3,0,0,'Données projet'!$E$12+1,1))</f>
        <v>439.09551305860475</v>
      </c>
      <c r="CE109" s="59">
        <f t="shared" si="94"/>
        <v>311.31528017256846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44.995632430351016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44.995632430351016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6.9935897435897401</v>
      </c>
      <c r="CT109" s="12">
        <f>IF('Données projet'!$A$140&gt;35,CT108+CS109-DB108,IF(A109&lt;'Données projet'!$A$140,$CQ$205^A109,IF(A109='Données projet'!$A$140,'Données projet'!$B$140,CT108+CS109-DB108)))</f>
        <v>319.1858974358978</v>
      </c>
      <c r="CU109" s="17">
        <f>CT109*VLOOKUP('Données projet'!$B$13,Paramètres!$A$1:$I$89,3,0)*VLOOKUP('Données projet'!$B$13,Paramètres!$A$1:$I$89,5,0)</f>
        <v>308.71660000000031</v>
      </c>
      <c r="CV109" s="13">
        <f t="shared" si="95"/>
        <v>73.00074049125358</v>
      </c>
      <c r="CW109" s="20">
        <f t="shared" si="67"/>
        <v>664.82436802226709</v>
      </c>
      <c r="CX109" s="59">
        <f t="shared" si="68"/>
        <v>943.81618161039614</v>
      </c>
      <c r="CY109" s="59">
        <f ca="1">AVERAGE(OFFSET($CX$3,0,0,'Données projet'!$E$13+1,1))-AVERAGE(OFFSET($H$3,0,0,'Données projet'!$E$13+1,1))</f>
        <v>445.01146841309549</v>
      </c>
      <c r="CZ109" s="59">
        <f t="shared" si="96"/>
        <v>315.40159257508969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45.733265748881358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45.733265748881358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-1.1368683772161603E-13</v>
      </c>
      <c r="DP109" s="17">
        <f>DO109*VLOOKUP('Données projet'!$B$14,Paramètres!$A$1:$I$89,3,0)*VLOOKUP('Données projet'!$B$14,Paramètres!$A$1:$I$89,5,0)</f>
        <v>-6.3550942286383367E-14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349.00268383833668</v>
      </c>
      <c r="DU109" s="59">
        <f t="shared" si="98"/>
        <v>459.94854391583749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82.551617144001526</v>
      </c>
      <c r="EB109" s="21">
        <f>EXP(-LN(2)/25)*EB108+(1-EXP(-LN(2)/25))/(LN(2)/25)*Calculateur!DW109*Calculateur!DY109*VLOOKUP('Données projet'!$B$14,Paramètres!$A$1:$I$89,3,0)*0.475*44/12</f>
        <v>14.008098834641816</v>
      </c>
      <c r="EC109" s="21">
        <f>EXP(-LN(2)/2)*EC108+(1-EXP(-LN(2)/2))/(LN(2)/2)*DW109*DZ109*VLOOKUP('Données projet'!$B$14,Paramètres!$A$1:$I$89,3,0)*0.475*44/12</f>
        <v>7.1989565239796306E-7</v>
      </c>
      <c r="ED109" s="22">
        <f t="shared" si="72"/>
        <v>96.559716698538992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1.7053025658242404E-13</v>
      </c>
      <c r="EK109" s="17">
        <f>EJ109*VLOOKUP('Données projet'!$B$15,Paramètres!$A$1:$I$89,3,0)*VLOOKUP('Données projet'!$B$15,Paramètres!$A$1:$I$89,5,0)</f>
        <v>1.3301360013429075E-13</v>
      </c>
      <c r="EL109" s="13">
        <f t="shared" si="99"/>
        <v>1.9329766731057041E-12</v>
      </c>
      <c r="EM109" s="20">
        <f t="shared" si="73"/>
        <v>3.5982663925596575E-12</v>
      </c>
      <c r="EN109" s="59">
        <f t="shared" si="74"/>
        <v>278.99181358813269</v>
      </c>
      <c r="EO109" s="59">
        <f ca="1">AVERAGE(OFFSET($EN$3,0,0,'Données projet'!$E$15+1,1))-AVERAGE(OFFSET($H$3,0,0,'Données projet'!$E$15+1,1))</f>
        <v>308.82719216177946</v>
      </c>
      <c r="EP109" s="59">
        <f t="shared" si="100"/>
        <v>302.59481222418219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38.99144023034831</v>
      </c>
      <c r="EW109" s="21">
        <f>EXP(-LN(2)/25)*EW108+(1-EXP(-LN(2)/25))/(LN(2)/25)*Calculateur!ER109*Calculateur!ET109*VLOOKUP('Données projet'!$B$15,Paramètres!$A$1:$I$89,3,0)*0.475*44/12</f>
        <v>24.452357158547404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63.443797388895717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915.43863744888961</v>
      </c>
      <c r="S110" s="59">
        <f ca="1">AVERAGE(OFFSET($R$3,0,0,'Données projet'!$E$9+1,1))-AVERAGE(OFFSET($H$3,0,0,'Données projet'!$E$9+1,1))</f>
        <v>421.33534980160005</v>
      </c>
      <c r="T110" s="59">
        <f t="shared" si="88"/>
        <v>299.0473530693472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6.9935897435897401</v>
      </c>
      <c r="AI110" s="13">
        <f>IF('Données projet'!$A$62&gt;35,AI109+AH110-AQ109,IF(A110&lt;'Données projet'!$A$62,$AF$205^A110,IF(A110='Données projet'!$A$62,'Données projet'!$B$62,AI109+AH110-AQ109)))</f>
        <v>326.17948717948752</v>
      </c>
      <c r="AJ110" s="13">
        <f>AI110*VLOOKUP('Données projet'!$B$10,Paramètres!$A$1:$I$89,3,0)*VLOOKUP('Données projet'!$B$10,Paramètres!$A$1:$I$89,5,0)</f>
        <v>330.74600000000038</v>
      </c>
      <c r="AK110" s="13">
        <f t="shared" si="89"/>
        <v>77.584951673074755</v>
      </c>
      <c r="AL110" s="20">
        <f t="shared" si="58"/>
        <v>711.17640749727252</v>
      </c>
      <c r="AM110" s="59">
        <f t="shared" si="59"/>
        <v>990.41701439014616</v>
      </c>
      <c r="AN110" s="59">
        <f ca="1">AVERAGE(OFFSET($AM$3,0,0,'Données projet'!$E$10+1,1))-AVERAGE(OFFSET($H$3,0,0,'Données projet'!$E$10+1,1))</f>
        <v>462.74754756814662</v>
      </c>
      <c r="AO110" s="59">
        <f t="shared" si="90"/>
        <v>327.65191293226667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47.005970639281159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47.005970639281159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6.9935897435897401</v>
      </c>
      <c r="BD110" s="12">
        <f>IF('Données projet'!$A$88&gt;35,BD109+BC110-BL109,IF(A110&lt;'Données projet'!$A$88,$BA$205^A110,IF(A110='Données projet'!$A$88,'Données projet'!$B$88,BD109+BC110-BL109)))</f>
        <v>326.17948717948752</v>
      </c>
      <c r="BE110" s="13">
        <f>BD110*VLOOKUP('Données projet'!$B$11,Paramètres!$A$1:$I$89,3,0)*VLOOKUP('Données projet'!$B$11,Paramètres!$A$1:$I$89,5,0)</f>
        <v>218.80120000000022</v>
      </c>
      <c r="BF110" s="13">
        <f t="shared" si="91"/>
        <v>53.854249664488975</v>
      </c>
      <c r="BG110" s="20">
        <f t="shared" si="61"/>
        <v>474.87490816565196</v>
      </c>
      <c r="BH110" s="59">
        <f t="shared" si="62"/>
        <v>754.1155150585256</v>
      </c>
      <c r="BI110" s="59">
        <f ca="1">AVERAGE(OFFSET($BH$3,0,0,'Données projet'!$E$11+1,1))-AVERAGE(OFFSET($H$3,0,0,'Données projet'!$E$11+1,1))</f>
        <v>332.21938212432008</v>
      </c>
      <c r="BJ110" s="59">
        <f t="shared" si="92"/>
        <v>237.47732529948181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38.327945290490774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38.327945290490774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6.9935897435897401</v>
      </c>
      <c r="BY110" s="12">
        <f>IF('Données projet'!$A$114&gt;35,BY109+BX110-CG109,IF(A110&lt;'Données projet'!$A$114,$BV$205^A110,IF(A110='Données projet'!$A$114,'Données projet'!$B$114,BY109+BX110-CG109)))</f>
        <v>326.17948717948752</v>
      </c>
      <c r="BZ110" s="13">
        <f>BY110*VLOOKUP('Données projet'!$B$12,Paramètres!$A$1:$I$89,3,0)*VLOOKUP('Données projet'!$B$12,Paramètres!$A$1:$I$89,5,0)</f>
        <v>310.39240000000029</v>
      </c>
      <c r="CA110" s="13">
        <f t="shared" si="93"/>
        <v>73.350772875414592</v>
      </c>
      <c r="CB110" s="20">
        <f t="shared" si="64"/>
        <v>668.3526927580142</v>
      </c>
      <c r="CC110" s="59">
        <f t="shared" si="65"/>
        <v>947.59329965088784</v>
      </c>
      <c r="CD110" s="59">
        <f ca="1">AVERAGE(OFFSET($CC$3,0,0,'Données projet'!$E$12+1,1))-AVERAGE(OFFSET($H$3,0,0,'Données projet'!$E$12+1,1))</f>
        <v>439.09551305860475</v>
      </c>
      <c r="CE110" s="59">
        <f t="shared" si="94"/>
        <v>311.31528017256846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44.113295523017683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44.113295523017683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6.9935897435897401</v>
      </c>
      <c r="CT110" s="12">
        <f>IF('Données projet'!$A$140&gt;35,CT109+CS110-DB109,IF(A110&lt;'Données projet'!$A$140,$CQ$205^A110,IF(A110='Données projet'!$A$140,'Données projet'!$B$140,CT109+CS110-DB109)))</f>
        <v>326.17948717948752</v>
      </c>
      <c r="CU110" s="17">
        <f>CT110*VLOOKUP('Données projet'!$B$13,Paramètres!$A$1:$I$89,3,0)*VLOOKUP('Données projet'!$B$13,Paramètres!$A$1:$I$89,5,0)</f>
        <v>315.48080000000033</v>
      </c>
      <c r="CV110" s="13">
        <f t="shared" si="95"/>
        <v>74.412269255510381</v>
      </c>
      <c r="CW110" s="20">
        <f t="shared" si="67"/>
        <v>679.06376228668103</v>
      </c>
      <c r="CX110" s="59">
        <f t="shared" si="68"/>
        <v>958.30436917955467</v>
      </c>
      <c r="CY110" s="59">
        <f ca="1">AVERAGE(OFFSET($CX$3,0,0,'Données projet'!$E$13+1,1))-AVERAGE(OFFSET($H$3,0,0,'Données projet'!$E$13+1,1))</f>
        <v>445.01146841309549</v>
      </c>
      <c r="CZ110" s="59">
        <f t="shared" si="96"/>
        <v>315.40159257508969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44.836464302083542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44.836464302083542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-1.1368683772161603E-13</v>
      </c>
      <c r="DP110" s="17">
        <f>DO110*VLOOKUP('Données projet'!$B$14,Paramètres!$A$1:$I$89,3,0)*VLOOKUP('Données projet'!$B$14,Paramètres!$A$1:$I$89,5,0)</f>
        <v>-6.3550942286383367E-14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349.00268383833668</v>
      </c>
      <c r="DU110" s="59">
        <f t="shared" si="98"/>
        <v>459.94854391583749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80.932830283322318</v>
      </c>
      <c r="EB110" s="21">
        <f>EXP(-LN(2)/25)*EB109+(1-EXP(-LN(2)/25))/(LN(2)/25)*Calculateur!DW110*Calculateur!DY110*VLOOKUP('Données projet'!$B$14,Paramètres!$A$1:$I$89,3,0)*0.475*44/12</f>
        <v>13.625046635354634</v>
      </c>
      <c r="EC110" s="21">
        <f>EXP(-LN(2)/2)*EC109+(1-EXP(-LN(2)/2))/(LN(2)/2)*DW110*DZ110*VLOOKUP('Données projet'!$B$14,Paramètres!$A$1:$I$89,3,0)*0.475*44/12</f>
        <v>5.0904309755731334E-7</v>
      </c>
      <c r="ED110" s="22">
        <f t="shared" si="72"/>
        <v>94.557877427720058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1.7053025658242404E-13</v>
      </c>
      <c r="EK110" s="17">
        <f>EJ110*VLOOKUP('Données projet'!$B$15,Paramètres!$A$1:$I$89,3,0)*VLOOKUP('Données projet'!$B$15,Paramètres!$A$1:$I$89,5,0)</f>
        <v>1.3301360013429075E-13</v>
      </c>
      <c r="EL110" s="13">
        <f t="shared" si="99"/>
        <v>1.9329766731057041E-12</v>
      </c>
      <c r="EM110" s="20">
        <f t="shared" si="73"/>
        <v>3.5982663925596575E-12</v>
      </c>
      <c r="EN110" s="59">
        <f t="shared" si="74"/>
        <v>279.24060689287722</v>
      </c>
      <c r="EO110" s="59">
        <f ca="1">AVERAGE(OFFSET($EN$3,0,0,'Données projet'!$E$15+1,1))-AVERAGE(OFFSET($H$3,0,0,'Données projet'!$E$15+1,1))</f>
        <v>308.82719216177946</v>
      </c>
      <c r="EP110" s="59">
        <f t="shared" si="100"/>
        <v>302.59481222418219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38.226841869861403</v>
      </c>
      <c r="EW110" s="21">
        <f>EXP(-LN(2)/25)*EW109+(1-EXP(-LN(2)/25))/(LN(2)/25)*Calculateur!ER110*Calculateur!ET110*VLOOKUP('Données projet'!$B$15,Paramètres!$A$1:$I$89,3,0)*0.475*44/12</f>
        <v>23.783706166153348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62.010548036014754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929.01598332767412</v>
      </c>
      <c r="S111" s="59">
        <f ca="1">AVERAGE(OFFSET($R$3,0,0,'Données projet'!$E$9+1,1))-AVERAGE(OFFSET($H$3,0,0,'Données projet'!$E$9+1,1))</f>
        <v>421.33534980160005</v>
      </c>
      <c r="T111" s="59">
        <f t="shared" si="88"/>
        <v>299.0473530693472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6.9935897435897401</v>
      </c>
      <c r="AI111" s="13">
        <f>IF('Données projet'!$A$62&gt;35,AI110+AH111-AQ110,IF(A111&lt;'Données projet'!$A$62,$AF$205^A111,IF(A111='Données projet'!$A$62,'Données projet'!$B$62,AI110+AH111-AQ110)))</f>
        <v>333.17307692307725</v>
      </c>
      <c r="AJ111" s="13">
        <f>AI111*VLOOKUP('Données projet'!$B$10,Paramètres!$A$1:$I$89,3,0)*VLOOKUP('Données projet'!$B$10,Paramètres!$A$1:$I$89,5,0)</f>
        <v>337.83750000000038</v>
      </c>
      <c r="AK111" s="13">
        <f t="shared" si="89"/>
        <v>79.052994451033314</v>
      </c>
      <c r="AL111" s="20">
        <f t="shared" si="58"/>
        <v>726.08427783555044</v>
      </c>
      <c r="AM111" s="59">
        <f t="shared" si="59"/>
        <v>1005.5693620255497</v>
      </c>
      <c r="AN111" s="59">
        <f ca="1">AVERAGE(OFFSET($AM$3,0,0,'Données projet'!$E$10+1,1))-AVERAGE(OFFSET($H$3,0,0,'Données projet'!$E$10+1,1))</f>
        <v>462.74754756814662</v>
      </c>
      <c r="AO111" s="59">
        <f t="shared" si="90"/>
        <v>327.65191293226667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46.084212225855936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46.084212225855936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6.9935897435897401</v>
      </c>
      <c r="BD111" s="12">
        <f>IF('Données projet'!$A$88&gt;35,BD110+BC111-BL110,IF(A111&lt;'Données projet'!$A$88,$BA$205^A111,IF(A111='Données projet'!$A$88,'Données projet'!$B$88,BD110+BC111-BL110)))</f>
        <v>333.17307692307725</v>
      </c>
      <c r="BE111" s="13">
        <f>BD111*VLOOKUP('Données projet'!$B$11,Paramètres!$A$1:$I$89,3,0)*VLOOKUP('Données projet'!$B$11,Paramètres!$A$1:$I$89,5,0)</f>
        <v>223.49250000000021</v>
      </c>
      <c r="BF111" s="13">
        <f t="shared" si="91"/>
        <v>54.873266117775856</v>
      </c>
      <c r="BG111" s="20">
        <f t="shared" si="61"/>
        <v>484.82037598845983</v>
      </c>
      <c r="BH111" s="59">
        <f t="shared" si="62"/>
        <v>764.30546017845916</v>
      </c>
      <c r="BI111" s="59">
        <f ca="1">AVERAGE(OFFSET($BH$3,0,0,'Données projet'!$E$11+1,1))-AVERAGE(OFFSET($H$3,0,0,'Données projet'!$E$11+1,1))</f>
        <v>332.21938212432008</v>
      </c>
      <c r="BJ111" s="59">
        <f t="shared" si="92"/>
        <v>237.47732529948181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37.576357661082518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37.576357661082518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6.9935897435897401</v>
      </c>
      <c r="BY111" s="12">
        <f>IF('Données projet'!$A$114&gt;35,BY110+BX111-CG110,IF(A111&lt;'Données projet'!$A$114,$BV$205^A111,IF(A111='Données projet'!$A$114,'Données projet'!$B$114,BY110+BX111-CG110)))</f>
        <v>333.17307692307725</v>
      </c>
      <c r="BZ111" s="13">
        <f>BY111*VLOOKUP('Données projet'!$B$12,Paramètres!$A$1:$I$89,3,0)*VLOOKUP('Données projet'!$B$12,Paramètres!$A$1:$I$89,5,0)</f>
        <v>317.0475000000003</v>
      </c>
      <c r="CA111" s="13">
        <f t="shared" si="93"/>
        <v>74.738697596063702</v>
      </c>
      <c r="CB111" s="20">
        <f t="shared" si="64"/>
        <v>682.36096081314474</v>
      </c>
      <c r="CC111" s="59">
        <f t="shared" si="65"/>
        <v>961.84604500314413</v>
      </c>
      <c r="CD111" s="59">
        <f ca="1">AVERAGE(OFFSET($CC$3,0,0,'Données projet'!$E$12+1,1))-AVERAGE(OFFSET($H$3,0,0,'Données projet'!$E$12+1,1))</f>
        <v>439.09551305860475</v>
      </c>
      <c r="CE111" s="59">
        <f t="shared" si="94"/>
        <v>311.31528017256846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43.248260704264787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43.248260704264787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6.9935897435897401</v>
      </c>
      <c r="CT111" s="12">
        <f>IF('Données projet'!$A$140&gt;35,CT110+CS111-DB110,IF(A111&lt;'Données projet'!$A$140,$CQ$205^A111,IF(A111='Données projet'!$A$140,'Données projet'!$B$140,CT110+CS111-DB110)))</f>
        <v>333.17307692307725</v>
      </c>
      <c r="CU111" s="17">
        <f>CT111*VLOOKUP('Données projet'!$B$13,Paramètres!$A$1:$I$89,3,0)*VLOOKUP('Données projet'!$B$13,Paramètres!$A$1:$I$89,5,0)</f>
        <v>322.24500000000029</v>
      </c>
      <c r="CV111" s="13">
        <f t="shared" si="95"/>
        <v>75.820279341440056</v>
      </c>
      <c r="CW111" s="20">
        <f t="shared" si="67"/>
        <v>693.29702818634189</v>
      </c>
      <c r="CX111" s="59">
        <f t="shared" si="68"/>
        <v>972.78211237634127</v>
      </c>
      <c r="CY111" s="59">
        <f ca="1">AVERAGE(OFFSET($CX$3,0,0,'Données projet'!$E$13+1,1))-AVERAGE(OFFSET($H$3,0,0,'Données projet'!$E$13+1,1))</f>
        <v>445.01146841309549</v>
      </c>
      <c r="CZ111" s="59">
        <f t="shared" si="96"/>
        <v>315.40159257508969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43.957248584662565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43.957248584662565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-1.1368683772161603E-13</v>
      </c>
      <c r="DP111" s="17">
        <f>DO111*VLOOKUP('Données projet'!$B$14,Paramètres!$A$1:$I$89,3,0)*VLOOKUP('Données projet'!$B$14,Paramètres!$A$1:$I$89,5,0)</f>
        <v>-6.3550942286383367E-14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349.00268383833668</v>
      </c>
      <c r="DU111" s="59">
        <f t="shared" si="98"/>
        <v>459.94854391583749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79.345786845618534</v>
      </c>
      <c r="EB111" s="21">
        <f>EXP(-LN(2)/25)*EB110+(1-EXP(-LN(2)/25))/(LN(2)/25)*Calculateur!DW111*Calculateur!DY111*VLOOKUP('Données projet'!$B$14,Paramètres!$A$1:$I$89,3,0)*0.475*44/12</f>
        <v>13.252469018600799</v>
      </c>
      <c r="EC111" s="21">
        <f>EXP(-LN(2)/2)*EC110+(1-EXP(-LN(2)/2))/(LN(2)/2)*DW111*DZ111*VLOOKUP('Données projet'!$B$14,Paramètres!$A$1:$I$89,3,0)*0.475*44/12</f>
        <v>3.5994782619898153E-7</v>
      </c>
      <c r="ED111" s="22">
        <f t="shared" si="72"/>
        <v>92.598256224167159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1.7053025658242404E-13</v>
      </c>
      <c r="EK111" s="17">
        <f>EJ111*VLOOKUP('Données projet'!$B$15,Paramètres!$A$1:$I$89,3,0)*VLOOKUP('Données projet'!$B$15,Paramètres!$A$1:$I$89,5,0)</f>
        <v>1.3301360013429075E-13</v>
      </c>
      <c r="EL111" s="13">
        <f t="shared" si="99"/>
        <v>1.9329766731057041E-12</v>
      </c>
      <c r="EM111" s="20">
        <f t="shared" si="73"/>
        <v>3.5982663925596575E-12</v>
      </c>
      <c r="EN111" s="59">
        <f t="shared" si="74"/>
        <v>279.48508419000291</v>
      </c>
      <c r="EO111" s="59">
        <f ca="1">AVERAGE(OFFSET($EN$3,0,0,'Données projet'!$E$15+1,1))-AVERAGE(OFFSET($H$3,0,0,'Données projet'!$E$15+1,1))</f>
        <v>308.82719216177946</v>
      </c>
      <c r="EP111" s="59">
        <f t="shared" si="100"/>
        <v>302.59481222418219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37.477236816864689</v>
      </c>
      <c r="EW111" s="21">
        <f>EXP(-LN(2)/25)*EW110+(1-EXP(-LN(2)/25))/(LN(2)/25)*Calculateur!ER111*Calculateur!ET111*VLOOKUP('Données projet'!$B$15,Paramètres!$A$1:$I$89,3,0)*0.475*44/12</f>
        <v>23.133339470309135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60.610576287173828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942.58344565758966</v>
      </c>
      <c r="S112" s="59">
        <f ca="1">AVERAGE(OFFSET($R$3,0,0,'Données projet'!$E$9+1,1))-AVERAGE(OFFSET($H$3,0,0,'Données projet'!$E$9+1,1))</f>
        <v>421.33534980160005</v>
      </c>
      <c r="T112" s="59">
        <f t="shared" si="88"/>
        <v>299.0473530693472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340.16666666666663</v>
      </c>
      <c r="AG112" s="12">
        <f>VLOOKUP(A112,'Données projet'!$A$61:$I$81,9,0)</f>
        <v>6.9935897435897401</v>
      </c>
      <c r="AH112" s="12">
        <f t="array" ref="AH112">INDEX(AG:AG,MIN(IF(ISNUMBER(AG112:AG308),ROW(AG112:AG308),"")))</f>
        <v>6.9935897435897401</v>
      </c>
      <c r="AI112" s="13">
        <f>IF('Données projet'!$A$62&gt;35,AI111+AH112-AQ111,IF(A112&lt;'Données projet'!$A$62,$AF$205^A112,IF(A112='Données projet'!$A$62,'Données projet'!$B$62,AI111+AH112-AQ111)))</f>
        <v>340.16666666666697</v>
      </c>
      <c r="AJ112" s="13">
        <f>AI112*VLOOKUP('Données projet'!$B$10,Paramètres!$A$1:$I$89,3,0)*VLOOKUP('Données projet'!$B$10,Paramètres!$A$1:$I$89,5,0)</f>
        <v>344.92900000000037</v>
      </c>
      <c r="AK112" s="13">
        <f t="shared" si="89"/>
        <v>80.51745440725162</v>
      </c>
      <c r="AL112" s="20">
        <f t="shared" si="58"/>
        <v>740.98590809263044</v>
      </c>
      <c r="AM112" s="59">
        <f t="shared" si="59"/>
        <v>1020.7112284452197</v>
      </c>
      <c r="AN112" s="59">
        <f ca="1">AVERAGE(OFFSET($AM$3,0,0,'Données projet'!$E$10+1,1))-AVERAGE(OFFSET($H$3,0,0,'Données projet'!$E$10+1,1))</f>
        <v>462.74754756814662</v>
      </c>
      <c r="AO112" s="59">
        <f t="shared" si="90"/>
        <v>327.65191293226667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51.28846153846154</v>
      </c>
      <c r="AR112" s="16">
        <f>IF(ISNA(VLOOKUP(A112,'Données projet'!$A$61:$I$81,5,0)),0%,VLOOKUP(A112,'Données projet'!$A$61:$I$81,5,0)*VLOOKUP('Données projet'!$B$10,Paramètres!$A$1:$I$89,7,0))</f>
        <v>0.38700000000000001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67.429795661161677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67.429795661161677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340.16666666666663</v>
      </c>
      <c r="BB112" s="12">
        <f>VLOOKUP(A112,'Données projet'!$A$87:$I$107,9,0)</f>
        <v>6.9935897435897401</v>
      </c>
      <c r="BC112" s="12">
        <f t="array" ref="BC112">INDEX(BB:BB,MIN(IF(ISNUMBER(BB112:BB308),ROW(BB112:BB308),"")))</f>
        <v>6.9935897435897401</v>
      </c>
      <c r="BD112" s="12">
        <f>IF('Données projet'!$A$88&gt;35,BD111+BC112-BL111,IF(A112&lt;'Données projet'!$A$88,$BA$205^A112,IF(A112='Données projet'!$A$88,'Données projet'!$B$88,BD111+BC112-BL111)))</f>
        <v>340.16666666666697</v>
      </c>
      <c r="BE112" s="13">
        <f>BD112*VLOOKUP('Données projet'!$B$11,Paramètres!$A$1:$I$89,3,0)*VLOOKUP('Données projet'!$B$11,Paramètres!$A$1:$I$89,5,0)</f>
        <v>228.18380000000019</v>
      </c>
      <c r="BF112" s="13">
        <f t="shared" si="91"/>
        <v>55.889795617441671</v>
      </c>
      <c r="BG112" s="20">
        <f t="shared" si="61"/>
        <v>494.76151236704459</v>
      </c>
      <c r="BH112" s="59">
        <f t="shared" si="62"/>
        <v>774.48683271963387</v>
      </c>
      <c r="BI112" s="59">
        <f ca="1">AVERAGE(OFFSET($BH$3,0,0,'Données projet'!$E$11+1,1))-AVERAGE(OFFSET($H$3,0,0,'Données projet'!$E$11+1,1))</f>
        <v>332.21938212432008</v>
      </c>
      <c r="BJ112" s="59">
        <f t="shared" si="92"/>
        <v>237.47732529948181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51.28846153846154</v>
      </c>
      <c r="BM112" s="16">
        <f>IF(ISNA(VLOOKUP(A112,'Données projet'!$A$87:$I$107,5,0)),0%,VLOOKUP(A112,'Données projet'!$A$87:$I$107,5,0)*VLOOKUP('Données projet'!$B$11,Paramètres!$A$1:$I$89,7,0))</f>
        <v>0.47700000000000004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54.981218000639501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54.981218000639501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340.16666666666663</v>
      </c>
      <c r="BW112" s="12">
        <f>VLOOKUP(A112,'Données projet'!$A$113:$I$133,9,0)</f>
        <v>6.9935897435897401</v>
      </c>
      <c r="BX112" s="12">
        <f t="array" ref="BX112">INDEX(BW:BW,MIN(IF(ISNUMBER(BW112:BW308),ROW(BW112:BW308),"")))</f>
        <v>6.9935897435897401</v>
      </c>
      <c r="BY112" s="12">
        <f>IF('Données projet'!$A$114&gt;35,BY111+BX112-CG111,IF(A112&lt;'Données projet'!$A$114,$BV$205^A112,IF(A112='Données projet'!$A$114,'Données projet'!$B$114,BY111+BX112-CG111)))</f>
        <v>340.16666666666697</v>
      </c>
      <c r="BZ112" s="13">
        <f>BY112*VLOOKUP('Données projet'!$B$12,Paramètres!$A$1:$I$89,3,0)*VLOOKUP('Données projet'!$B$12,Paramètres!$A$1:$I$89,5,0)</f>
        <v>323.7026000000003</v>
      </c>
      <c r="CA112" s="13">
        <f t="shared" si="93"/>
        <v>76.123235026548272</v>
      </c>
      <c r="CB112" s="20">
        <f t="shared" si="64"/>
        <v>696.36332933790538</v>
      </c>
      <c r="CC112" s="59">
        <f t="shared" si="65"/>
        <v>976.08864969049466</v>
      </c>
      <c r="CD112" s="59">
        <f ca="1">AVERAGE(OFFSET($CC$3,0,0,'Données projet'!$E$12+1,1))-AVERAGE(OFFSET($H$3,0,0,'Données projet'!$E$12+1,1))</f>
        <v>439.09551305860475</v>
      </c>
      <c r="CE112" s="59">
        <f t="shared" si="94"/>
        <v>311.31528017256846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51.28846153846154</v>
      </c>
      <c r="CH112" s="16">
        <f>IF(ISNA(VLOOKUP(A112,'Données projet'!$A$113:$I$133,5,0)),0%,VLOOKUP(A112,'Données projet'!$A$113:$I$133,5,0)*VLOOKUP('Données projet'!$B$12,Paramètres!$A$1:$I$89,7,0))</f>
        <v>0.38700000000000001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63.280269774320935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63.280269774320935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>
        <f>VLOOKUP(A112,'Données projet'!$A$139:$I$159,2,0)</f>
        <v>340.16666666666663</v>
      </c>
      <c r="CR112" s="12">
        <f>VLOOKUP(A112,'Données projet'!$A$139:$I$159,9,0)</f>
        <v>6.9935897435897401</v>
      </c>
      <c r="CS112" s="12">
        <f t="array" ref="CS112">INDEX(CR:CR,MIN(IF(ISNUMBER(CR112:CR308),ROW(CR112:CR308),"")))</f>
        <v>6.9935897435897401</v>
      </c>
      <c r="CT112" s="12">
        <f>IF('Données projet'!$A$140&gt;35,CT111+CS112-DB111,IF(A112&lt;'Données projet'!$A$140,$CQ$205^A112,IF(A112='Données projet'!$A$140,'Données projet'!$B$140,CT111+CS112-DB111)))</f>
        <v>340.16666666666697</v>
      </c>
      <c r="CU112" s="17">
        <f>CT112*VLOOKUP('Données projet'!$B$13,Paramètres!$A$1:$I$89,3,0)*VLOOKUP('Données projet'!$B$13,Paramètres!$A$1:$I$89,5,0)</f>
        <v>329.00920000000031</v>
      </c>
      <c r="CV112" s="13">
        <f t="shared" si="95"/>
        <v>77.224853118004603</v>
      </c>
      <c r="CW112" s="20">
        <f t="shared" si="67"/>
        <v>707.52430918052517</v>
      </c>
      <c r="CX112" s="59">
        <f t="shared" si="68"/>
        <v>987.24962953311444</v>
      </c>
      <c r="CY112" s="59">
        <f ca="1">AVERAGE(OFFSET($CX$3,0,0,'Données projet'!$E$13+1,1))-AVERAGE(OFFSET($H$3,0,0,'Données projet'!$E$13+1,1))</f>
        <v>445.01146841309549</v>
      </c>
      <c r="CZ112" s="59">
        <f t="shared" si="96"/>
        <v>315.40159257508969</v>
      </c>
      <c r="DA112" s="15">
        <f>IF(ISNA(VLOOKUP(A112,'Données projet'!$A$139:$I$159,3,0)),0,VLOOKUP(A112,'Données projet'!$A$139:$I$159,3,0))</f>
        <v>10</v>
      </c>
      <c r="DB112" s="15">
        <f>IF(ISNA(VLOOKUP(A112,'Données projet'!$A$139:$I$159,4,0)),0,VLOOKUP(A112,'Données projet'!$A$139:$I$159,4,0))</f>
        <v>51.28846153846154</v>
      </c>
      <c r="DC112" s="16">
        <f>IF(ISNA(VLOOKUP(A112,'Données projet'!$A$139:$I$159,5,0)),0%,VLOOKUP(A112,'Données projet'!$A$139:$I$159,5,0)*VLOOKUP('Données projet'!$B$13,Paramètres!$A$1:$I$89,7,0))</f>
        <v>0.38700000000000001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64.317651246031119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64.317651246031119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-1.1368683772161603E-13</v>
      </c>
      <c r="DP112" s="17">
        <f>DO112*VLOOKUP('Données projet'!$B$14,Paramètres!$A$1:$I$89,3,0)*VLOOKUP('Données projet'!$B$14,Paramètres!$A$1:$I$89,5,0)</f>
        <v>-6.3550942286383367E-14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349.00268383833668</v>
      </c>
      <c r="DU112" s="59">
        <f t="shared" si="98"/>
        <v>459.94854391583749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77.789864361727211</v>
      </c>
      <c r="EB112" s="21">
        <f>EXP(-LN(2)/25)*EB111+(1-EXP(-LN(2)/25))/(LN(2)/25)*Calculateur!DW112*Calculateur!DY112*VLOOKUP('Données projet'!$B$14,Paramètres!$A$1:$I$89,3,0)*0.475*44/12</f>
        <v>12.890079556370104</v>
      </c>
      <c r="EC112" s="21">
        <f>EXP(-LN(2)/2)*EC111+(1-EXP(-LN(2)/2))/(LN(2)/2)*DW112*DZ112*VLOOKUP('Données projet'!$B$14,Paramètres!$A$1:$I$89,3,0)*0.475*44/12</f>
        <v>2.5452154877865667E-7</v>
      </c>
      <c r="ED112" s="22">
        <f t="shared" si="72"/>
        <v>90.67994417261886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1.7053025658242404E-13</v>
      </c>
      <c r="EK112" s="17">
        <f>EJ112*VLOOKUP('Données projet'!$B$15,Paramètres!$A$1:$I$89,3,0)*VLOOKUP('Données projet'!$B$15,Paramètres!$A$1:$I$89,5,0)</f>
        <v>1.3301360013429075E-13</v>
      </c>
      <c r="EL112" s="13">
        <f t="shared" si="99"/>
        <v>1.9329766731057041E-12</v>
      </c>
      <c r="EM112" s="20">
        <f t="shared" si="73"/>
        <v>3.5982663925596575E-12</v>
      </c>
      <c r="EN112" s="59">
        <f t="shared" si="74"/>
        <v>279.72532035259286</v>
      </c>
      <c r="EO112" s="59">
        <f ca="1">AVERAGE(OFFSET($EN$3,0,0,'Données projet'!$E$15+1,1))-AVERAGE(OFFSET($H$3,0,0,'Données projet'!$E$15+1,1))</f>
        <v>308.82719216177946</v>
      </c>
      <c r="EP112" s="59">
        <f t="shared" si="100"/>
        <v>302.59481222418219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36.742331061743307</v>
      </c>
      <c r="EW112" s="21">
        <f>EXP(-LN(2)/25)*EW111+(1-EXP(-LN(2)/25))/(LN(2)/25)*Calculateur!ER112*Calculateur!ET112*VLOOKUP('Données projet'!$B$15,Paramètres!$A$1:$I$89,3,0)*0.475*44/12</f>
        <v>22.500757085964082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59.24308814770739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858.02924366492857</v>
      </c>
      <c r="S113" s="59">
        <f ca="1">AVERAGE(OFFSET($R$3,0,0,'Données projet'!$E$9+1,1))-AVERAGE(OFFSET($H$3,0,0,'Données projet'!$E$9+1,1))</f>
        <v>421.33534980160005</v>
      </c>
      <c r="T113" s="59">
        <f t="shared" si="88"/>
        <v>299.0473530693472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6.8461538461538511</v>
      </c>
      <c r="AI113" s="13">
        <f>IF('Données projet'!$A$62&gt;35,AI112+AH113-AQ112,IF(A113&lt;'Données projet'!$A$62,$AF$205^A113,IF(A113='Données projet'!$A$62,'Données projet'!$B$62,AI112+AH113-AQ112)))</f>
        <v>295.72435897435929</v>
      </c>
      <c r="AJ113" s="13">
        <f>AI113*VLOOKUP('Données projet'!$B$10,Paramètres!$A$1:$I$89,3,0)*VLOOKUP('Données projet'!$B$10,Paramètres!$A$1:$I$89,5,0)</f>
        <v>299.86450000000036</v>
      </c>
      <c r="AK113" s="13">
        <f t="shared" si="89"/>
        <v>71.148056724241755</v>
      </c>
      <c r="AL113" s="20">
        <f t="shared" si="58"/>
        <v>646.18020296138832</v>
      </c>
      <c r="AM113" s="59">
        <f t="shared" si="59"/>
        <v>926.14159191623412</v>
      </c>
      <c r="AN113" s="59">
        <f ca="1">AVERAGE(OFFSET($AM$3,0,0,'Données projet'!$E$10+1,1))-AVERAGE(OFFSET($H$3,0,0,'Données projet'!$E$10+1,1))</f>
        <v>462.74754756814662</v>
      </c>
      <c r="AO113" s="59">
        <f t="shared" si="90"/>
        <v>327.65191293226667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66.10753849636059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66.10753849636059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6.8461538461538511</v>
      </c>
      <c r="BD113" s="12">
        <f>IF('Données projet'!$A$88&gt;35,BD112+BC113-BL112,IF(A113&lt;'Données projet'!$A$88,$BA$205^A113,IF(A113='Données projet'!$A$88,'Données projet'!$B$88,BD112+BC113-BL112)))</f>
        <v>295.72435897435929</v>
      </c>
      <c r="BE113" s="13">
        <f>BD113*VLOOKUP('Données projet'!$B$11,Paramètres!$A$1:$I$89,3,0)*VLOOKUP('Données projet'!$B$11,Paramètres!$A$1:$I$89,5,0)</f>
        <v>198.37190000000021</v>
      </c>
      <c r="BF113" s="13">
        <f t="shared" si="91"/>
        <v>49.386190586495843</v>
      </c>
      <c r="BG113" s="20">
        <f t="shared" si="61"/>
        <v>431.51200777148068</v>
      </c>
      <c r="BH113" s="59">
        <f t="shared" si="62"/>
        <v>711.47339672632654</v>
      </c>
      <c r="BI113" s="59">
        <f ca="1">AVERAGE(OFFSET($BH$3,0,0,'Données projet'!$E$11+1,1))-AVERAGE(OFFSET($H$3,0,0,'Données projet'!$E$11+1,1))</f>
        <v>332.21938212432008</v>
      </c>
      <c r="BJ113" s="59">
        <f t="shared" si="92"/>
        <v>237.47732529948181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53.903069850878609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53.903069850878609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6.8461538461538511</v>
      </c>
      <c r="BY113" s="12">
        <f>IF('Données projet'!$A$114&gt;35,BY112+BX113-CG112,IF(A113&lt;'Données projet'!$A$114,$BV$205^A113,IF(A113='Données projet'!$A$114,'Données projet'!$B$114,BY112+BX113-CG112)))</f>
        <v>295.72435897435929</v>
      </c>
      <c r="BZ113" s="13">
        <f>BY113*VLOOKUP('Données projet'!$B$12,Paramètres!$A$1:$I$89,3,0)*VLOOKUP('Données projet'!$B$12,Paramètres!$A$1:$I$89,5,0)</f>
        <v>281.41130000000032</v>
      </c>
      <c r="CA113" s="13">
        <f t="shared" si="93"/>
        <v>67.265169814085198</v>
      </c>
      <c r="CB113" s="20">
        <f t="shared" si="64"/>
        <v>607.27818492619883</v>
      </c>
      <c r="CC113" s="59">
        <f t="shared" si="65"/>
        <v>887.23957388104463</v>
      </c>
      <c r="CD113" s="59">
        <f ca="1">AVERAGE(OFFSET($CC$3,0,0,'Données projet'!$E$12+1,1))-AVERAGE(OFFSET($H$3,0,0,'Données projet'!$E$12+1,1))</f>
        <v>439.09551305860475</v>
      </c>
      <c r="CE113" s="59">
        <f t="shared" si="94"/>
        <v>311.31528017256846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62.039382281199913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62.039382281199913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6.8461538461538511</v>
      </c>
      <c r="CT113" s="12">
        <f>IF('Données projet'!$A$140&gt;35,CT112+CS113-DB112,IF(A113&lt;'Données projet'!$A$140,$CQ$205^A113,IF(A113='Données projet'!$A$140,'Données projet'!$B$140,CT112+CS113-DB112)))</f>
        <v>295.72435897435929</v>
      </c>
      <c r="CU113" s="17">
        <f>CT113*VLOOKUP('Données projet'!$B$13,Paramètres!$A$1:$I$89,3,0)*VLOOKUP('Données projet'!$B$13,Paramètres!$A$1:$I$89,5,0)</f>
        <v>286.02460000000031</v>
      </c>
      <c r="CV113" s="13">
        <f t="shared" si="95"/>
        <v>68.238598333856345</v>
      </c>
      <c r="CW113" s="20">
        <f t="shared" si="67"/>
        <v>617.00840376480016</v>
      </c>
      <c r="CX113" s="59">
        <f t="shared" si="68"/>
        <v>896.96979271964597</v>
      </c>
      <c r="CY113" s="59">
        <f ca="1">AVERAGE(OFFSET($CX$3,0,0,'Données projet'!$E$13+1,1))-AVERAGE(OFFSET($H$3,0,0,'Données projet'!$E$13+1,1))</f>
        <v>445.01146841309549</v>
      </c>
      <c r="CZ113" s="59">
        <f t="shared" si="96"/>
        <v>315.40159257508969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63.056421334990077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63.056421334990077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-1.1368683772161603E-13</v>
      </c>
      <c r="DP113" s="17">
        <f>DO113*VLOOKUP('Données projet'!$B$14,Paramètres!$A$1:$I$89,3,0)*VLOOKUP('Données projet'!$B$14,Paramètres!$A$1:$I$89,5,0)</f>
        <v>-6.3550942286383367E-14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349.00268383833668</v>
      </c>
      <c r="DU113" s="59">
        <f t="shared" si="98"/>
        <v>459.94854391583749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76.264452568725986</v>
      </c>
      <c r="EB113" s="21">
        <f>EXP(-LN(2)/25)*EB112+(1-EXP(-LN(2)/25))/(LN(2)/25)*Calculateur!DW113*Calculateur!DY113*VLOOKUP('Données projet'!$B$14,Paramètres!$A$1:$I$89,3,0)*0.475*44/12</f>
        <v>12.53759965304134</v>
      </c>
      <c r="EC113" s="21">
        <f>EXP(-LN(2)/2)*EC112+(1-EXP(-LN(2)/2))/(LN(2)/2)*DW113*DZ113*VLOOKUP('Données projet'!$B$14,Paramètres!$A$1:$I$89,3,0)*0.475*44/12</f>
        <v>1.7997391309949077E-7</v>
      </c>
      <c r="ED113" s="22">
        <f t="shared" si="72"/>
        <v>88.802052401741236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1.7053025658242404E-13</v>
      </c>
      <c r="EK113" s="17">
        <f>EJ113*VLOOKUP('Données projet'!$B$15,Paramètres!$A$1:$I$89,3,0)*VLOOKUP('Données projet'!$B$15,Paramètres!$A$1:$I$89,5,0)</f>
        <v>1.3301360013429075E-13</v>
      </c>
      <c r="EL113" s="13">
        <f t="shared" si="99"/>
        <v>1.9329766731057041E-12</v>
      </c>
      <c r="EM113" s="20">
        <f t="shared" si="73"/>
        <v>3.5982663925596575E-12</v>
      </c>
      <c r="EN113" s="59">
        <f t="shared" si="74"/>
        <v>279.96138895484944</v>
      </c>
      <c r="EO113" s="59">
        <f ca="1">AVERAGE(OFFSET($EN$3,0,0,'Données projet'!$E$15+1,1))-AVERAGE(OFFSET($H$3,0,0,'Données projet'!$E$15+1,1))</f>
        <v>308.82719216177946</v>
      </c>
      <c r="EP113" s="59">
        <f t="shared" si="100"/>
        <v>302.59481222418219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36.021836360231603</v>
      </c>
      <c r="EW113" s="21">
        <f>EXP(-LN(2)/25)*EW112+(1-EXP(-LN(2)/25))/(LN(2)/25)*Calculateur!ER113*Calculateur!ET113*VLOOKUP('Données projet'!$B$15,Paramètres!$A$1:$I$89,3,0)*0.475*44/12</f>
        <v>21.885472700185005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57.907309060416608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871.33875340933673</v>
      </c>
      <c r="S114" s="59">
        <f ca="1">AVERAGE(OFFSET($R$3,0,0,'Données projet'!$E$9+1,1))-AVERAGE(OFFSET($H$3,0,0,'Données projet'!$E$9+1,1))</f>
        <v>421.33534980160005</v>
      </c>
      <c r="T114" s="59">
        <f t="shared" si="88"/>
        <v>299.0473530693472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6.8461538461538511</v>
      </c>
      <c r="AI114" s="13">
        <f>IF('Données projet'!$A$62&gt;35,AI113+AH114-AQ113,IF(A114&lt;'Données projet'!$A$62,$AF$205^A114,IF(A114='Données projet'!$A$62,'Données projet'!$B$62,AI113+AH114-AQ113)))</f>
        <v>302.57051282051316</v>
      </c>
      <c r="AJ114" s="13">
        <f>AI114*VLOOKUP('Données projet'!$B$10,Paramètres!$A$1:$I$89,3,0)*VLOOKUP('Données projet'!$B$10,Paramètres!$A$1:$I$89,5,0)</f>
        <v>306.80650000000037</v>
      </c>
      <c r="AK114" s="13">
        <f t="shared" si="89"/>
        <v>72.601498865270955</v>
      </c>
      <c r="AL114" s="20">
        <f t="shared" si="58"/>
        <v>660.80226469034744</v>
      </c>
      <c r="AM114" s="59">
        <f t="shared" si="59"/>
        <v>940.99562698497107</v>
      </c>
      <c r="AN114" s="59">
        <f ca="1">AVERAGE(OFFSET($AM$3,0,0,'Données projet'!$E$10+1,1))-AVERAGE(OFFSET($H$3,0,0,'Données projet'!$E$10+1,1))</f>
        <v>462.74754756814662</v>
      </c>
      <c r="AO114" s="59">
        <f t="shared" si="90"/>
        <v>327.65191293226667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64.811209988064007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64.811209988064007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6.8461538461538511</v>
      </c>
      <c r="BD114" s="12">
        <f>IF('Données projet'!$A$88&gt;35,BD113+BC114-BL113,IF(A114&lt;'Données projet'!$A$88,$BA$205^A114,IF(A114='Données projet'!$A$88,'Données projet'!$B$88,BD113+BC114-BL113)))</f>
        <v>302.57051282051316</v>
      </c>
      <c r="BE114" s="13">
        <f>BD114*VLOOKUP('Données projet'!$B$11,Paramètres!$A$1:$I$89,3,0)*VLOOKUP('Données projet'!$B$11,Paramètres!$A$1:$I$89,5,0)</f>
        <v>202.96430000000024</v>
      </c>
      <c r="BF114" s="13">
        <f t="shared" si="91"/>
        <v>50.395072260685758</v>
      </c>
      <c r="BG114" s="20">
        <f t="shared" si="61"/>
        <v>441.26757335402812</v>
      </c>
      <c r="BH114" s="59">
        <f t="shared" si="62"/>
        <v>721.46093564865168</v>
      </c>
      <c r="BI114" s="59">
        <f ca="1">AVERAGE(OFFSET($BH$3,0,0,'Données projet'!$E$11+1,1))-AVERAGE(OFFSET($H$3,0,0,'Données projet'!$E$11+1,1))</f>
        <v>332.21938212432008</v>
      </c>
      <c r="BJ114" s="59">
        <f t="shared" si="92"/>
        <v>237.47732529948181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52.84606352872909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52.84606352872909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6.8461538461538511</v>
      </c>
      <c r="BY114" s="12">
        <f>IF('Données projet'!$A$114&gt;35,BY113+BX114-CG113,IF(A114&lt;'Données projet'!$A$114,$BV$205^A114,IF(A114='Données projet'!$A$114,'Données projet'!$B$114,BY113+BX114-CG113)))</f>
        <v>302.57051282051316</v>
      </c>
      <c r="BZ114" s="13">
        <f>BY114*VLOOKUP('Données projet'!$B$12,Paramètres!$A$1:$I$89,3,0)*VLOOKUP('Données projet'!$B$12,Paramètres!$A$1:$I$89,5,0)</f>
        <v>287.9261000000003</v>
      </c>
      <c r="CA114" s="13">
        <f t="shared" si="93"/>
        <v>68.639290723813005</v>
      </c>
      <c r="CB114" s="20">
        <f t="shared" si="64"/>
        <v>621.01805551064149</v>
      </c>
      <c r="CC114" s="59">
        <f t="shared" si="65"/>
        <v>901.211417805265</v>
      </c>
      <c r="CD114" s="59">
        <f ca="1">AVERAGE(OFFSET($CC$3,0,0,'Données projet'!$E$12+1,1))-AVERAGE(OFFSET($H$3,0,0,'Données projet'!$E$12+1,1))</f>
        <v>439.09551305860475</v>
      </c>
      <c r="CE114" s="59">
        <f t="shared" si="94"/>
        <v>311.31528017256846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60.822827834952356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60.822827834952356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6.8461538461538511</v>
      </c>
      <c r="CT114" s="12">
        <f>IF('Données projet'!$A$140&gt;35,CT113+CS114-DB113,IF(A114&lt;'Données projet'!$A$140,$CQ$205^A114,IF(A114='Données projet'!$A$140,'Données projet'!$B$140,CT113+CS114-DB113)))</f>
        <v>302.57051282051316</v>
      </c>
      <c r="CU114" s="17">
        <f>CT114*VLOOKUP('Données projet'!$B$13,Paramètres!$A$1:$I$89,3,0)*VLOOKUP('Données projet'!$B$13,Paramètres!$A$1:$I$89,5,0)</f>
        <v>292.64620000000036</v>
      </c>
      <c r="CV114" s="13">
        <f t="shared" si="95"/>
        <v>69.632604846888739</v>
      </c>
      <c r="CW114" s="20">
        <f t="shared" si="67"/>
        <v>630.9689184416651</v>
      </c>
      <c r="CX114" s="59">
        <f t="shared" si="68"/>
        <v>911.16228073628872</v>
      </c>
      <c r="CY114" s="59">
        <f ca="1">AVERAGE(OFFSET($CX$3,0,0,'Données projet'!$E$13+1,1))-AVERAGE(OFFSET($H$3,0,0,'Données projet'!$E$13+1,1))</f>
        <v>445.01146841309549</v>
      </c>
      <c r="CZ114" s="59">
        <f t="shared" si="96"/>
        <v>315.40159257508969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61.819923373230267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61.819923373230267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-1.1368683772161603E-13</v>
      </c>
      <c r="DP114" s="17">
        <f>DO114*VLOOKUP('Données projet'!$B$14,Paramètres!$A$1:$I$89,3,0)*VLOOKUP('Données projet'!$B$14,Paramètres!$A$1:$I$89,5,0)</f>
        <v>-6.3550942286383367E-14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349.00268383833668</v>
      </c>
      <c r="DU114" s="59">
        <f t="shared" si="98"/>
        <v>459.94854391583749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74.768953170576196</v>
      </c>
      <c r="EB114" s="21">
        <f>EXP(-LN(2)/25)*EB113+(1-EXP(-LN(2)/25))/(LN(2)/25)*Calculateur!DW114*Calculateur!DY114*VLOOKUP('Données projet'!$B$14,Paramètres!$A$1:$I$89,3,0)*0.475*44/12</f>
        <v>12.194758331205215</v>
      </c>
      <c r="EC114" s="21">
        <f>EXP(-LN(2)/2)*EC113+(1-EXP(-LN(2)/2))/(LN(2)/2)*DW114*DZ114*VLOOKUP('Données projet'!$B$14,Paramètres!$A$1:$I$89,3,0)*0.475*44/12</f>
        <v>1.2726077438932834E-7</v>
      </c>
      <c r="ED114" s="22">
        <f t="shared" si="72"/>
        <v>86.96371162904218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1.7053025658242404E-13</v>
      </c>
      <c r="EK114" s="17">
        <f>EJ114*VLOOKUP('Données projet'!$B$15,Paramètres!$A$1:$I$89,3,0)*VLOOKUP('Données projet'!$B$15,Paramètres!$A$1:$I$89,5,0)</f>
        <v>1.3301360013429075E-13</v>
      </c>
      <c r="EL114" s="13">
        <f t="shared" si="99"/>
        <v>1.9329766731057041E-12</v>
      </c>
      <c r="EM114" s="20">
        <f t="shared" si="73"/>
        <v>3.5982663925596575E-12</v>
      </c>
      <c r="EN114" s="59">
        <f t="shared" si="74"/>
        <v>280.19336229462715</v>
      </c>
      <c r="EO114" s="59">
        <f ca="1">AVERAGE(OFFSET($EN$3,0,0,'Données projet'!$E$15+1,1))-AVERAGE(OFFSET($H$3,0,0,'Données projet'!$E$15+1,1))</f>
        <v>308.82719216177946</v>
      </c>
      <c r="EP114" s="59">
        <f t="shared" si="100"/>
        <v>302.59481222418219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35.315470120358171</v>
      </c>
      <c r="EW114" s="21">
        <f>EXP(-LN(2)/25)*EW113+(1-EXP(-LN(2)/25))/(LN(2)/25)*Calculateur!ER114*Calculateur!ET114*VLOOKUP('Données projet'!$B$15,Paramètres!$A$1:$I$89,3,0)*0.475*44/12</f>
        <v>21.287013298291455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56.602483418649626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884.63821780580861</v>
      </c>
      <c r="S115" s="59">
        <f ca="1">AVERAGE(OFFSET($R$3,0,0,'Données projet'!$E$9+1,1))-AVERAGE(OFFSET($H$3,0,0,'Données projet'!$E$9+1,1))</f>
        <v>421.33534980160005</v>
      </c>
      <c r="T115" s="59">
        <f t="shared" si="88"/>
        <v>299.0473530693472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6.8461538461538511</v>
      </c>
      <c r="AI115" s="13">
        <f>IF('Données projet'!$A$62&gt;35,AI114+AH115-AQ114,IF(A115&lt;'Données projet'!$A$62,$AF$205^A115,IF(A115='Données projet'!$A$62,'Données projet'!$B$62,AI114+AH115-AQ114)))</f>
        <v>309.41666666666703</v>
      </c>
      <c r="AJ115" s="13">
        <f>AI115*VLOOKUP('Données projet'!$B$10,Paramètres!$A$1:$I$89,3,0)*VLOOKUP('Données projet'!$B$10,Paramètres!$A$1:$I$89,5,0)</f>
        <v>313.74850000000038</v>
      </c>
      <c r="AK115" s="13">
        <f t="shared" si="89"/>
        <v>74.051117708153953</v>
      </c>
      <c r="AL115" s="20">
        <f t="shared" si="58"/>
        <v>675.41766750836871</v>
      </c>
      <c r="AM115" s="59">
        <f t="shared" si="59"/>
        <v>955.83897892393952</v>
      </c>
      <c r="AN115" s="59">
        <f ca="1">AVERAGE(OFFSET($AM$3,0,0,'Données projet'!$E$10+1,1))-AVERAGE(OFFSET($H$3,0,0,'Données projet'!$E$10+1,1))</f>
        <v>462.74754756814662</v>
      </c>
      <c r="AO115" s="59">
        <f t="shared" si="90"/>
        <v>327.65191293226667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63.540301691132811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63.540301691132811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6.8461538461538511</v>
      </c>
      <c r="BD115" s="12">
        <f>IF('Données projet'!$A$88&gt;35,BD114+BC115-BL114,IF(A115&lt;'Données projet'!$A$88,$BA$205^A115,IF(A115='Données projet'!$A$88,'Données projet'!$B$88,BD114+BC115-BL114)))</f>
        <v>309.41666666666703</v>
      </c>
      <c r="BE115" s="13">
        <f>BD115*VLOOKUP('Données projet'!$B$11,Paramètres!$A$1:$I$89,3,0)*VLOOKUP('Données projet'!$B$11,Paramètres!$A$1:$I$89,5,0)</f>
        <v>207.55670000000023</v>
      </c>
      <c r="BF115" s="13">
        <f t="shared" si="91"/>
        <v>51.401300058724914</v>
      </c>
      <c r="BG115" s="20">
        <f t="shared" si="61"/>
        <v>451.01851676894626</v>
      </c>
      <c r="BH115" s="59">
        <f t="shared" si="62"/>
        <v>731.43982818451718</v>
      </c>
      <c r="BI115" s="59">
        <f ca="1">AVERAGE(OFFSET($BH$3,0,0,'Données projet'!$E$11+1,1))-AVERAGE(OFFSET($H$3,0,0,'Données projet'!$E$11+1,1))</f>
        <v>332.21938212432008</v>
      </c>
      <c r="BJ115" s="59">
        <f t="shared" si="92"/>
        <v>237.47732529948181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51.809784455846732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51.809784455846732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6.8461538461538511</v>
      </c>
      <c r="BY115" s="12">
        <f>IF('Données projet'!$A$114&gt;35,BY114+BX115-CG114,IF(A115&lt;'Données projet'!$A$114,$BV$205^A115,IF(A115='Données projet'!$A$114,'Données projet'!$B$114,BY114+BX115-CG114)))</f>
        <v>309.41666666666703</v>
      </c>
      <c r="BZ115" s="13">
        <f>BY115*VLOOKUP('Données projet'!$B$12,Paramètres!$A$1:$I$89,3,0)*VLOOKUP('Données projet'!$B$12,Paramètres!$A$1:$I$89,5,0)</f>
        <v>294.44090000000034</v>
      </c>
      <c r="CA115" s="13">
        <f t="shared" si="93"/>
        <v>70.009796990908342</v>
      </c>
      <c r="CB115" s="20">
        <f t="shared" si="64"/>
        <v>634.75163059249928</v>
      </c>
      <c r="CC115" s="59">
        <f t="shared" si="65"/>
        <v>915.17294200807009</v>
      </c>
      <c r="CD115" s="59">
        <f ca="1">AVERAGE(OFFSET($CC$3,0,0,'Données projet'!$E$12+1,1))-AVERAGE(OFFSET($H$3,0,0,'Données projet'!$E$12+1,1))</f>
        <v>439.09551305860475</v>
      </c>
      <c r="CE115" s="59">
        <f t="shared" si="94"/>
        <v>311.31528017256846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59.63012927937077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59.63012927937077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6.8461538461538511</v>
      </c>
      <c r="CT115" s="12">
        <f>IF('Données projet'!$A$140&gt;35,CT114+CS115-DB114,IF(A115&lt;'Données projet'!$A$140,$CQ$205^A115,IF(A115='Données projet'!$A$140,'Données projet'!$B$140,CT114+CS115-DB114)))</f>
        <v>309.41666666666703</v>
      </c>
      <c r="CU115" s="17">
        <f>CT115*VLOOKUP('Données projet'!$B$13,Paramètres!$A$1:$I$89,3,0)*VLOOKUP('Données projet'!$B$13,Paramètres!$A$1:$I$89,5,0)</f>
        <v>299.26780000000036</v>
      </c>
      <c r="CV115" s="13">
        <f t="shared" si="95"/>
        <v>71.022944407954824</v>
      </c>
      <c r="CW115" s="20">
        <f t="shared" si="67"/>
        <v>644.92304651052189</v>
      </c>
      <c r="CX115" s="59">
        <f t="shared" si="68"/>
        <v>925.3443579260927</v>
      </c>
      <c r="CY115" s="59">
        <f ca="1">AVERAGE(OFFSET($CX$3,0,0,'Données projet'!$E$13+1,1))-AVERAGE(OFFSET($H$3,0,0,'Données projet'!$E$13+1,1))</f>
        <v>445.01146841309549</v>
      </c>
      <c r="CZ115" s="59">
        <f t="shared" si="96"/>
        <v>315.40159257508969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60.607672382311279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60.607672382311279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-1.1368683772161603E-13</v>
      </c>
      <c r="DP115" s="17">
        <f>DO115*VLOOKUP('Données projet'!$B$14,Paramètres!$A$1:$I$89,3,0)*VLOOKUP('Données projet'!$B$14,Paramètres!$A$1:$I$89,5,0)</f>
        <v>-6.3550942286383367E-14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349.00268383833668</v>
      </c>
      <c r="DU115" s="59">
        <f t="shared" si="98"/>
        <v>459.94854391583749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73.302779603459555</v>
      </c>
      <c r="EB115" s="21">
        <f>EXP(-LN(2)/25)*EB114+(1-EXP(-LN(2)/25))/(LN(2)/25)*Calculateur!DW115*Calculateur!DY115*VLOOKUP('Données projet'!$B$14,Paramètres!$A$1:$I$89,3,0)*0.475*44/12</f>
        <v>11.861292023343939</v>
      </c>
      <c r="EC115" s="21">
        <f>EXP(-LN(2)/2)*EC114+(1-EXP(-LN(2)/2))/(LN(2)/2)*DW115*DZ115*VLOOKUP('Données projet'!$B$14,Paramètres!$A$1:$I$89,3,0)*0.475*44/12</f>
        <v>8.9986956549745383E-8</v>
      </c>
      <c r="ED115" s="22">
        <f t="shared" si="72"/>
        <v>85.164071716790446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1.7053025658242404E-13</v>
      </c>
      <c r="EK115" s="17">
        <f>EJ115*VLOOKUP('Données projet'!$B$15,Paramètres!$A$1:$I$89,3,0)*VLOOKUP('Données projet'!$B$15,Paramètres!$A$1:$I$89,5,0)</f>
        <v>1.3301360013429075E-13</v>
      </c>
      <c r="EL115" s="13">
        <f t="shared" si="99"/>
        <v>1.9329766731057041E-12</v>
      </c>
      <c r="EM115" s="20">
        <f t="shared" si="73"/>
        <v>3.5982663925596575E-12</v>
      </c>
      <c r="EN115" s="59">
        <f t="shared" si="74"/>
        <v>280.42131141557445</v>
      </c>
      <c r="EO115" s="59">
        <f ca="1">AVERAGE(OFFSET($EN$3,0,0,'Données projet'!$E$15+1,1))-AVERAGE(OFFSET($H$3,0,0,'Données projet'!$E$15+1,1))</f>
        <v>308.82719216177946</v>
      </c>
      <c r="EP115" s="59">
        <f t="shared" si="100"/>
        <v>302.59481222418219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34.622955291607795</v>
      </c>
      <c r="EW115" s="21">
        <f>EXP(-LN(2)/25)*EW114+(1-EXP(-LN(2)/25))/(LN(2)/25)*Calculateur!ER115*Calculateur!ET115*VLOOKUP('Données projet'!$B$15,Paramètres!$A$1:$I$89,3,0)*0.475*44/12</f>
        <v>20.704918800214298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55.327874091822096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897.92785522940608</v>
      </c>
      <c r="S116" s="59">
        <f ca="1">AVERAGE(OFFSET($R$3,0,0,'Données projet'!$E$9+1,1))-AVERAGE(OFFSET($H$3,0,0,'Données projet'!$E$9+1,1))</f>
        <v>421.33534980160005</v>
      </c>
      <c r="T116" s="59">
        <f t="shared" si="88"/>
        <v>299.0473530693472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6.8461538461538511</v>
      </c>
      <c r="AI116" s="13">
        <f>IF('Données projet'!$A$62&gt;35,AI115+AH116-AQ115,IF(A116&lt;'Données projet'!$A$62,$AF$205^A116,IF(A116='Données projet'!$A$62,'Données projet'!$B$62,AI115+AH116-AQ115)))</f>
        <v>316.26282051282089</v>
      </c>
      <c r="AJ116" s="13">
        <f>AI116*VLOOKUP('Données projet'!$B$10,Paramètres!$A$1:$I$89,3,0)*VLOOKUP('Données projet'!$B$10,Paramètres!$A$1:$I$89,5,0)</f>
        <v>320.69050000000038</v>
      </c>
      <c r="AK116" s="13">
        <f t="shared" si="89"/>
        <v>75.497007588010661</v>
      </c>
      <c r="AL116" s="20">
        <f t="shared" si="58"/>
        <v>690.02657571578584</v>
      </c>
      <c r="AM116" s="59">
        <f t="shared" si="59"/>
        <v>970.67188184467341</v>
      </c>
      <c r="AN116" s="59">
        <f ca="1">AVERAGE(OFFSET($AM$3,0,0,'Données projet'!$E$10+1,1))-AVERAGE(OFFSET($H$3,0,0,'Données projet'!$E$10+1,1))</f>
        <v>462.74754756814662</v>
      </c>
      <c r="AO116" s="59">
        <f t="shared" si="90"/>
        <v>327.65191293226667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62.294315130726915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62.294315130726915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6.8461538461538511</v>
      </c>
      <c r="BD116" s="12">
        <f>IF('Données projet'!$A$88&gt;35,BD115+BC116-BL115,IF(A116&lt;'Données projet'!$A$88,$BA$205^A116,IF(A116='Données projet'!$A$88,'Données projet'!$B$88,BD115+BC116-BL115)))</f>
        <v>316.26282051282089</v>
      </c>
      <c r="BE116" s="13">
        <f>BD116*VLOOKUP('Données projet'!$B$11,Paramètres!$A$1:$I$89,3,0)*VLOOKUP('Données projet'!$B$11,Paramètres!$A$1:$I$89,5,0)</f>
        <v>212.14910000000023</v>
      </c>
      <c r="BF116" s="13">
        <f t="shared" si="91"/>
        <v>52.404939461701829</v>
      </c>
      <c r="BG116" s="20">
        <f t="shared" si="61"/>
        <v>460.76495206246437</v>
      </c>
      <c r="BH116" s="59">
        <f t="shared" si="62"/>
        <v>741.410258191352</v>
      </c>
      <c r="BI116" s="59">
        <f ca="1">AVERAGE(OFFSET($BH$3,0,0,'Données projet'!$E$11+1,1))-AVERAGE(OFFSET($H$3,0,0,'Données projet'!$E$11+1,1))</f>
        <v>332.21938212432008</v>
      </c>
      <c r="BJ116" s="59">
        <f t="shared" si="92"/>
        <v>237.47732529948181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50.793826183515769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50.793826183515769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6.8461538461538511</v>
      </c>
      <c r="BY116" s="12">
        <f>IF('Données projet'!$A$114&gt;35,BY115+BX116-CG115,IF(A116&lt;'Données projet'!$A$114,$BV$205^A116,IF(A116='Données projet'!$A$114,'Données projet'!$B$114,BY115+BX116-CG115)))</f>
        <v>316.26282051282089</v>
      </c>
      <c r="BZ116" s="13">
        <f>BY116*VLOOKUP('Données projet'!$B$12,Paramètres!$A$1:$I$89,3,0)*VLOOKUP('Données projet'!$B$12,Paramètres!$A$1:$I$89,5,0)</f>
        <v>300.95570000000038</v>
      </c>
      <c r="CA116" s="13">
        <f t="shared" si="93"/>
        <v>71.376777802176036</v>
      </c>
      <c r="CB116" s="20">
        <f t="shared" si="64"/>
        <v>648.47906550545724</v>
      </c>
      <c r="CC116" s="59">
        <f t="shared" si="65"/>
        <v>929.12437163434493</v>
      </c>
      <c r="CD116" s="59">
        <f ca="1">AVERAGE(OFFSET($CC$3,0,0,'Données projet'!$E$12+1,1))-AVERAGE(OFFSET($H$3,0,0,'Données projet'!$E$12+1,1))</f>
        <v>439.09551305860475</v>
      </c>
      <c r="CE116" s="59">
        <f t="shared" si="94"/>
        <v>311.31528017256846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58.46081881498985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58.46081881498985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6.8461538461538511</v>
      </c>
      <c r="CT116" s="12">
        <f>IF('Données projet'!$A$140&gt;35,CT115+CS116-DB115,IF(A116&lt;'Données projet'!$A$140,$CQ$205^A116,IF(A116='Données projet'!$A$140,'Données projet'!$B$140,CT115+CS116-DB115)))</f>
        <v>316.26282051282089</v>
      </c>
      <c r="CU116" s="17">
        <f>CT116*VLOOKUP('Données projet'!$B$13,Paramètres!$A$1:$I$89,3,0)*VLOOKUP('Données projet'!$B$13,Paramètres!$A$1:$I$89,5,0)</f>
        <v>305.88940000000042</v>
      </c>
      <c r="CV116" s="13">
        <f t="shared" si="95"/>
        <v>72.409707494527041</v>
      </c>
      <c r="CW116" s="20">
        <f t="shared" si="67"/>
        <v>658.87094555296858</v>
      </c>
      <c r="CX116" s="59">
        <f t="shared" si="68"/>
        <v>939.51625168185615</v>
      </c>
      <c r="CY116" s="59">
        <f ca="1">AVERAGE(OFFSET($CX$3,0,0,'Données projet'!$E$13+1,1))-AVERAGE(OFFSET($H$3,0,0,'Données projet'!$E$13+1,1))</f>
        <v>445.01146841309549</v>
      </c>
      <c r="CZ116" s="59">
        <f t="shared" si="96"/>
        <v>315.40159257508969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59.419192893924119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59.419192893924119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-1.1368683772161603E-13</v>
      </c>
      <c r="DP116" s="17">
        <f>DO116*VLOOKUP('Données projet'!$B$14,Paramètres!$A$1:$I$89,3,0)*VLOOKUP('Données projet'!$B$14,Paramètres!$A$1:$I$89,5,0)</f>
        <v>-6.3550942286383367E-14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349.00268383833668</v>
      </c>
      <c r="DU116" s="59">
        <f t="shared" si="98"/>
        <v>459.94854391583749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71.865356805716502</v>
      </c>
      <c r="EB116" s="21">
        <f>EXP(-LN(2)/25)*EB115+(1-EXP(-LN(2)/25))/(LN(2)/25)*Calculateur!DW116*Calculateur!DY116*VLOOKUP('Données projet'!$B$14,Paramètres!$A$1:$I$89,3,0)*0.475*44/12</f>
        <v>11.536944369207362</v>
      </c>
      <c r="EC116" s="21">
        <f>EXP(-LN(2)/2)*EC115+(1-EXP(-LN(2)/2))/(LN(2)/2)*DW116*DZ116*VLOOKUP('Données projet'!$B$14,Paramètres!$A$1:$I$89,3,0)*0.475*44/12</f>
        <v>6.3630387194664168E-8</v>
      </c>
      <c r="ED116" s="22">
        <f t="shared" si="72"/>
        <v>83.402301238554244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1.7053025658242404E-13</v>
      </c>
      <c r="EK116" s="17">
        <f>EJ116*VLOOKUP('Données projet'!$B$15,Paramètres!$A$1:$I$89,3,0)*VLOOKUP('Données projet'!$B$15,Paramètres!$A$1:$I$89,5,0)</f>
        <v>1.3301360013429075E-13</v>
      </c>
      <c r="EL116" s="13">
        <f t="shared" si="99"/>
        <v>1.9329766731057041E-12</v>
      </c>
      <c r="EM116" s="20">
        <f t="shared" si="73"/>
        <v>3.5982663925596575E-12</v>
      </c>
      <c r="EN116" s="59">
        <f t="shared" si="74"/>
        <v>280.64530612889121</v>
      </c>
      <c r="EO116" s="59">
        <f ca="1">AVERAGE(OFFSET($EN$3,0,0,'Données projet'!$E$15+1,1))-AVERAGE(OFFSET($H$3,0,0,'Données projet'!$E$15+1,1))</f>
        <v>308.82719216177946</v>
      </c>
      <c r="EP116" s="59">
        <f t="shared" si="100"/>
        <v>302.59481222418219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33.94402025625687</v>
      </c>
      <c r="EW116" s="21">
        <f>EXP(-LN(2)/25)*EW115+(1-EXP(-LN(2)/25))/(LN(2)/25)*Calculateur!ER116*Calculateur!ET116*VLOOKUP('Données projet'!$B$15,Paramètres!$A$1:$I$89,3,0)*0.475*44/12</f>
        <v>20.138741706798079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54.082761963054949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911.20787604481916</v>
      </c>
      <c r="S117" s="59">
        <f ca="1">AVERAGE(OFFSET($R$3,0,0,'Données projet'!$E$9+1,1))-AVERAGE(OFFSET($H$3,0,0,'Données projet'!$E$9+1,1))</f>
        <v>421.33534980160005</v>
      </c>
      <c r="T117" s="59">
        <f t="shared" si="88"/>
        <v>299.0473530693472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6.8461538461538511</v>
      </c>
      <c r="AI117" s="13">
        <f>IF('Données projet'!$A$62&gt;35,AI116+AH117-AQ116,IF(A117&lt;'Données projet'!$A$62,$AF$205^A117,IF(A117='Données projet'!$A$62,'Données projet'!$B$62,AI116+AH117-AQ116)))</f>
        <v>323.10897435897476</v>
      </c>
      <c r="AJ117" s="13">
        <f>AI117*VLOOKUP('Données projet'!$B$10,Paramètres!$A$1:$I$89,3,0)*VLOOKUP('Données projet'!$B$10,Paramètres!$A$1:$I$89,5,0)</f>
        <v>327.63250000000045</v>
      </c>
      <c r="AK117" s="13">
        <f t="shared" si="89"/>
        <v>76.939258522537983</v>
      </c>
      <c r="AL117" s="20">
        <f t="shared" si="58"/>
        <v>704.62914609342113</v>
      </c>
      <c r="AM117" s="59">
        <f t="shared" si="59"/>
        <v>985.49456112812663</v>
      </c>
      <c r="AN117" s="59">
        <f ca="1">AVERAGE(OFFSET($AM$3,0,0,'Données projet'!$E$10+1,1))-AVERAGE(OFFSET($H$3,0,0,'Données projet'!$E$10+1,1))</f>
        <v>462.74754756814662</v>
      </c>
      <c r="AO117" s="59">
        <f t="shared" si="90"/>
        <v>327.65191293226667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61.072761606793819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61.072761606793819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6.8461538461538511</v>
      </c>
      <c r="BD117" s="12">
        <f>IF('Données projet'!$A$88&gt;35,BD116+BC117-BL116,IF(A117&lt;'Données projet'!$A$88,$BA$205^A117,IF(A117='Données projet'!$A$88,'Données projet'!$B$88,BD116+BC117-BL116)))</f>
        <v>323.10897435897476</v>
      </c>
      <c r="BE117" s="13">
        <f>BD117*VLOOKUP('Données projet'!$B$11,Paramètres!$A$1:$I$89,3,0)*VLOOKUP('Données projet'!$B$11,Paramètres!$A$1:$I$89,5,0)</f>
        <v>216.74150000000029</v>
      </c>
      <c r="BF117" s="13">
        <f t="shared" si="91"/>
        <v>53.406052953840948</v>
      </c>
      <c r="BG117" s="20">
        <f t="shared" si="61"/>
        <v>470.50698806127343</v>
      </c>
      <c r="BH117" s="59">
        <f t="shared" si="62"/>
        <v>751.37240309597883</v>
      </c>
      <c r="BI117" s="59">
        <f ca="1">AVERAGE(OFFSET($BH$3,0,0,'Données projet'!$E$11+1,1))-AVERAGE(OFFSET($H$3,0,0,'Données projet'!$E$11+1,1))</f>
        <v>332.21938212432008</v>
      </c>
      <c r="BJ117" s="59">
        <f t="shared" si="92"/>
        <v>237.47732529948181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49.797790233231858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49.797790233231858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6.8461538461538511</v>
      </c>
      <c r="BY117" s="12">
        <f>IF('Données projet'!$A$114&gt;35,BY116+BX117-CG116,IF(A117&lt;'Données projet'!$A$114,$BV$205^A117,IF(A117='Données projet'!$A$114,'Données projet'!$B$114,BY116+BX117-CG116)))</f>
        <v>323.10897435897476</v>
      </c>
      <c r="BZ117" s="13">
        <f>BY117*VLOOKUP('Données projet'!$B$12,Paramètres!$A$1:$I$89,3,0)*VLOOKUP('Données projet'!$B$12,Paramètres!$A$1:$I$89,5,0)</f>
        <v>307.47050000000041</v>
      </c>
      <c r="CA117" s="13">
        <f t="shared" si="93"/>
        <v>72.740318262620519</v>
      </c>
      <c r="CB117" s="20">
        <f t="shared" si="64"/>
        <v>662.2005084740648</v>
      </c>
      <c r="CC117" s="59">
        <f t="shared" si="65"/>
        <v>943.06592350877031</v>
      </c>
      <c r="CD117" s="59">
        <f ca="1">AVERAGE(OFFSET($CC$3,0,0,'Données projet'!$E$12+1,1))-AVERAGE(OFFSET($H$3,0,0,'Données projet'!$E$12+1,1))</f>
        <v>439.09551305860475</v>
      </c>
      <c r="CE117" s="59">
        <f t="shared" si="94"/>
        <v>311.31528017256846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57.314437815606482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57.314437815606482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6.8461538461538511</v>
      </c>
      <c r="CT117" s="12">
        <f>IF('Données projet'!$A$140&gt;35,CT116+CS117-DB116,IF(A117&lt;'Données projet'!$A$140,$CQ$205^A117,IF(A117='Données projet'!$A$140,'Données projet'!$B$140,CT116+CS117-DB116)))</f>
        <v>323.10897435897476</v>
      </c>
      <c r="CU117" s="17">
        <f>CT117*VLOOKUP('Données projet'!$B$13,Paramètres!$A$1:$I$89,3,0)*VLOOKUP('Données projet'!$B$13,Paramètres!$A$1:$I$89,5,0)</f>
        <v>312.51100000000037</v>
      </c>
      <c r="CV117" s="13">
        <f t="shared" si="95"/>
        <v>73.792980443207668</v>
      </c>
      <c r="CW117" s="20">
        <f t="shared" si="67"/>
        <v>672.81276593858729</v>
      </c>
      <c r="CX117" s="59">
        <f t="shared" si="68"/>
        <v>953.67818097329268</v>
      </c>
      <c r="CY117" s="59">
        <f ca="1">AVERAGE(OFFSET($CX$3,0,0,'Données projet'!$E$13+1,1))-AVERAGE(OFFSET($H$3,0,0,'Données projet'!$E$13+1,1))</f>
        <v>445.01146841309549</v>
      </c>
      <c r="CZ117" s="59">
        <f t="shared" si="96"/>
        <v>315.40159257508969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58.254018763403323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58.254018763403323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-1.1368683772161603E-13</v>
      </c>
      <c r="DP117" s="17">
        <f>DO117*VLOOKUP('Données projet'!$B$14,Paramètres!$A$1:$I$89,3,0)*VLOOKUP('Données projet'!$B$14,Paramètres!$A$1:$I$89,5,0)</f>
        <v>-6.3550942286383367E-14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349.00268383833668</v>
      </c>
      <c r="DU117" s="59">
        <f t="shared" si="98"/>
        <v>459.94854391583749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70.456120992295851</v>
      </c>
      <c r="EB117" s="21">
        <f>EXP(-LN(2)/25)*EB116+(1-EXP(-LN(2)/25))/(LN(2)/25)*Calculateur!DW117*Calculateur!DY117*VLOOKUP('Données projet'!$B$14,Paramètres!$A$1:$I$89,3,0)*0.475*44/12</f>
        <v>11.221466018729849</v>
      </c>
      <c r="EC117" s="21">
        <f>EXP(-LN(2)/2)*EC116+(1-EXP(-LN(2)/2))/(LN(2)/2)*DW117*DZ117*VLOOKUP('Données projet'!$B$14,Paramètres!$A$1:$I$89,3,0)*0.475*44/12</f>
        <v>4.4993478274872691E-8</v>
      </c>
      <c r="ED117" s="22">
        <f t="shared" si="72"/>
        <v>81.677587056019192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1.7053025658242404E-13</v>
      </c>
      <c r="EK117" s="17">
        <f>EJ117*VLOOKUP('Données projet'!$B$15,Paramètres!$A$1:$I$89,3,0)*VLOOKUP('Données projet'!$B$15,Paramètres!$A$1:$I$89,5,0)</f>
        <v>1.3301360013429075E-13</v>
      </c>
      <c r="EL117" s="13">
        <f t="shared" si="99"/>
        <v>1.9329766731057041E-12</v>
      </c>
      <c r="EM117" s="20">
        <f t="shared" si="73"/>
        <v>3.5982663925596575E-12</v>
      </c>
      <c r="EN117" s="59">
        <f t="shared" si="74"/>
        <v>280.86541503470903</v>
      </c>
      <c r="EO117" s="59">
        <f ca="1">AVERAGE(OFFSET($EN$3,0,0,'Données projet'!$E$15+1,1))-AVERAGE(OFFSET($H$3,0,0,'Données projet'!$E$15+1,1))</f>
        <v>308.82719216177946</v>
      </c>
      <c r="EP117" s="59">
        <f t="shared" si="100"/>
        <v>302.59481222418219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33.278398722839697</v>
      </c>
      <c r="EW117" s="21">
        <f>EXP(-LN(2)/25)*EW116+(1-EXP(-LN(2)/25))/(LN(2)/25)*Calculateur!ER117*Calculateur!ET117*VLOOKUP('Données projet'!$B$15,Paramètres!$A$1:$I$89,3,0)*0.475*44/12</f>
        <v>19.588046755775288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52.866445478614985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924.47848307592767</v>
      </c>
      <c r="S118" s="59">
        <f ca="1">AVERAGE(OFFSET($R$3,0,0,'Données projet'!$E$9+1,1))-AVERAGE(OFFSET($H$3,0,0,'Données projet'!$E$9+1,1))</f>
        <v>421.33534980160005</v>
      </c>
      <c r="T118" s="59">
        <f t="shared" si="88"/>
        <v>299.0473530693472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6.8461538461538511</v>
      </c>
      <c r="AI118" s="13">
        <f>IF('Données projet'!$A$62&gt;35,AI117+AH118-AQ117,IF(A118&lt;'Données projet'!$A$62,$AF$205^A118,IF(A118='Données projet'!$A$62,'Données projet'!$B$62,AI117+AH118-AQ117)))</f>
        <v>329.95512820512863</v>
      </c>
      <c r="AJ118" s="13">
        <f>AI118*VLOOKUP('Données projet'!$B$10,Paramètres!$A$1:$I$89,3,0)*VLOOKUP('Données projet'!$B$10,Paramètres!$A$1:$I$89,5,0)</f>
        <v>334.57450000000046</v>
      </c>
      <c r="AK118" s="13">
        <f t="shared" si="89"/>
        <v>78.377956496830535</v>
      </c>
      <c r="AL118" s="20">
        <f t="shared" si="58"/>
        <v>719.22552839864738</v>
      </c>
      <c r="AM118" s="59">
        <f t="shared" si="59"/>
        <v>1000.3072339417447</v>
      </c>
      <c r="AN118" s="59">
        <f ca="1">AVERAGE(OFFSET($AM$3,0,0,'Données projet'!$E$10+1,1))-AVERAGE(OFFSET($H$3,0,0,'Données projet'!$E$10+1,1))</f>
        <v>462.74754756814662</v>
      </c>
      <c r="AO118" s="59">
        <f t="shared" si="90"/>
        <v>327.65191293226667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59.875162002390972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59.875162002390972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6.8461538461538511</v>
      </c>
      <c r="BD118" s="12">
        <f>IF('Données projet'!$A$88&gt;35,BD117+BC118-BL117,IF(A118&lt;'Données projet'!$A$88,$BA$205^A118,IF(A118='Données projet'!$A$88,'Données projet'!$B$88,BD117+BC118-BL117)))</f>
        <v>329.95512820512863</v>
      </c>
      <c r="BE118" s="13">
        <f>BD118*VLOOKUP('Données projet'!$B$11,Paramètres!$A$1:$I$89,3,0)*VLOOKUP('Données projet'!$B$11,Paramètres!$A$1:$I$89,5,0)</f>
        <v>221.33390000000028</v>
      </c>
      <c r="BF118" s="13">
        <f t="shared" si="91"/>
        <v>54.404700220205555</v>
      </c>
      <c r="BG118" s="20">
        <f t="shared" si="61"/>
        <v>480.24472871685845</v>
      </c>
      <c r="BH118" s="59">
        <f t="shared" si="62"/>
        <v>761.3264342599557</v>
      </c>
      <c r="BI118" s="59">
        <f ca="1">AVERAGE(OFFSET($BH$3,0,0,'Données projet'!$E$11+1,1))-AVERAGE(OFFSET($H$3,0,0,'Données projet'!$E$11+1,1))</f>
        <v>332.21938212432008</v>
      </c>
      <c r="BJ118" s="59">
        <f t="shared" si="92"/>
        <v>237.47732529948181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48.821285940411073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48.821285940411073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6.8461538461538511</v>
      </c>
      <c r="BY118" s="12">
        <f>IF('Données projet'!$A$114&gt;35,BY117+BX118-CG117,IF(A118&lt;'Données projet'!$A$114,$BV$205^A118,IF(A118='Données projet'!$A$114,'Données projet'!$B$114,BY117+BX118-CG117)))</f>
        <v>329.95512820512863</v>
      </c>
      <c r="BZ118" s="13">
        <f>BY118*VLOOKUP('Données projet'!$B$12,Paramètres!$A$1:$I$89,3,0)*VLOOKUP('Données projet'!$B$12,Paramètres!$A$1:$I$89,5,0)</f>
        <v>313.98530000000039</v>
      </c>
      <c r="CA118" s="13">
        <f t="shared" si="93"/>
        <v>74.100499664721866</v>
      </c>
      <c r="CB118" s="20">
        <f t="shared" si="64"/>
        <v>675.91610108272448</v>
      </c>
      <c r="CC118" s="59">
        <f t="shared" si="65"/>
        <v>956.9978066258218</v>
      </c>
      <c r="CD118" s="59">
        <f ca="1">AVERAGE(OFFSET($CC$3,0,0,'Données projet'!$E$12+1,1))-AVERAGE(OFFSET($H$3,0,0,'Données projet'!$E$12+1,1))</f>
        <v>439.09551305860475</v>
      </c>
      <c r="CE118" s="59">
        <f t="shared" si="94"/>
        <v>311.31528017256846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56.190536648397654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56.190536648397654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6.8461538461538511</v>
      </c>
      <c r="CT118" s="12">
        <f>IF('Données projet'!$A$140&gt;35,CT117+CS118-DB117,IF(A118&lt;'Données projet'!$A$140,$CQ$205^A118,IF(A118='Données projet'!$A$140,'Données projet'!$B$140,CT117+CS118-DB117)))</f>
        <v>329.95512820512863</v>
      </c>
      <c r="CU118" s="17">
        <f>CT118*VLOOKUP('Données projet'!$B$13,Paramètres!$A$1:$I$89,3,0)*VLOOKUP('Données projet'!$B$13,Paramètres!$A$1:$I$89,5,0)</f>
        <v>319.13260000000042</v>
      </c>
      <c r="CV118" s="13">
        <f t="shared" si="95"/>
        <v>75.172845722901712</v>
      </c>
      <c r="CW118" s="20">
        <f t="shared" si="67"/>
        <v>686.74865130072124</v>
      </c>
      <c r="CX118" s="59">
        <f t="shared" si="68"/>
        <v>967.83035684381844</v>
      </c>
      <c r="CY118" s="59">
        <f ca="1">AVERAGE(OFFSET($CX$3,0,0,'Données projet'!$E$13+1,1))-AVERAGE(OFFSET($H$3,0,0,'Données projet'!$E$13+1,1))</f>
        <v>445.01146841309549</v>
      </c>
      <c r="CZ118" s="59">
        <f t="shared" si="96"/>
        <v>315.40159257508969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57.111692986895989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57.111692986895989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-1.1368683772161603E-13</v>
      </c>
      <c r="DP118" s="17">
        <f>DO118*VLOOKUP('Données projet'!$B$14,Paramètres!$A$1:$I$89,3,0)*VLOOKUP('Données projet'!$B$14,Paramètres!$A$1:$I$89,5,0)</f>
        <v>-6.3550942286383367E-14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349.00268383833668</v>
      </c>
      <c r="DU118" s="59">
        <f t="shared" si="98"/>
        <v>459.94854391583749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69.074519433627401</v>
      </c>
      <c r="EB118" s="21">
        <f>EXP(-LN(2)/25)*EB117+(1-EXP(-LN(2)/25))/(LN(2)/25)*Calculateur!DW118*Calculateur!DY118*VLOOKUP('Données projet'!$B$14,Paramètres!$A$1:$I$89,3,0)*0.475*44/12</f>
        <v>10.914614440336431</v>
      </c>
      <c r="EC118" s="21">
        <f>EXP(-LN(2)/2)*EC117+(1-EXP(-LN(2)/2))/(LN(2)/2)*DW118*DZ118*VLOOKUP('Données projet'!$B$14,Paramètres!$A$1:$I$89,3,0)*0.475*44/12</f>
        <v>3.1815193597332084E-8</v>
      </c>
      <c r="ED118" s="22">
        <f t="shared" si="72"/>
        <v>79.989133905779028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1.7053025658242404E-13</v>
      </c>
      <c r="EK118" s="17">
        <f>EJ118*VLOOKUP('Données projet'!$B$15,Paramètres!$A$1:$I$89,3,0)*VLOOKUP('Données projet'!$B$15,Paramètres!$A$1:$I$89,5,0)</f>
        <v>1.3301360013429075E-13</v>
      </c>
      <c r="EL118" s="13">
        <f t="shared" si="99"/>
        <v>1.9329766731057041E-12</v>
      </c>
      <c r="EM118" s="20">
        <f t="shared" si="73"/>
        <v>3.5982663925596575E-12</v>
      </c>
      <c r="EN118" s="59">
        <f t="shared" si="74"/>
        <v>281.08170554310084</v>
      </c>
      <c r="EO118" s="59">
        <f ca="1">AVERAGE(OFFSET($EN$3,0,0,'Données projet'!$E$15+1,1))-AVERAGE(OFFSET($H$3,0,0,'Données projet'!$E$15+1,1))</f>
        <v>308.82719216177946</v>
      </c>
      <c r="EP118" s="59">
        <f t="shared" si="100"/>
        <v>302.59481222418219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32.625829621703787</v>
      </c>
      <c r="EW118" s="21">
        <f>EXP(-LN(2)/25)*EW117+(1-EXP(-LN(2)/25))/(LN(2)/25)*Calculateur!ER118*Calculateur!ET118*VLOOKUP('Données projet'!$B$15,Paramètres!$A$1:$I$89,3,0)*0.475*44/12</f>
        <v>19.052410587148003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51.67824020885179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937.73987203671459</v>
      </c>
      <c r="S119" s="59">
        <f ca="1">AVERAGE(OFFSET($R$3,0,0,'Données projet'!$E$9+1,1))-AVERAGE(OFFSET($H$3,0,0,'Données projet'!$E$9+1,1))</f>
        <v>421.33534980160005</v>
      </c>
      <c r="T119" s="59">
        <f t="shared" si="88"/>
        <v>299.0473530693472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6.8461538461538511</v>
      </c>
      <c r="AI119" s="13">
        <f>IF('Données projet'!$A$62&gt;35,AI118+AH119-AQ118,IF(A119&lt;'Données projet'!$A$62,$AF$205^A119,IF(A119='Données projet'!$A$62,'Données projet'!$B$62,AI118+AH119-AQ118)))</f>
        <v>336.8012820512825</v>
      </c>
      <c r="AJ119" s="13">
        <f>AI119*VLOOKUP('Données projet'!$B$10,Paramètres!$A$1:$I$89,3,0)*VLOOKUP('Données projet'!$B$10,Paramètres!$A$1:$I$89,5,0)</f>
        <v>341.51650000000046</v>
      </c>
      <c r="AK119" s="13">
        <f t="shared" si="89"/>
        <v>79.813183723893872</v>
      </c>
      <c r="AL119" s="20">
        <f t="shared" si="58"/>
        <v>733.81586581911597</v>
      </c>
      <c r="AM119" s="59">
        <f t="shared" si="59"/>
        <v>1015.1101097138375</v>
      </c>
      <c r="AN119" s="59">
        <f ca="1">AVERAGE(OFFSET($AM$3,0,0,'Données projet'!$E$10+1,1))-AVERAGE(OFFSET($H$3,0,0,'Données projet'!$E$10+1,1))</f>
        <v>462.74754756814662</v>
      </c>
      <c r="AO119" s="59">
        <f t="shared" si="90"/>
        <v>327.65191293226667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58.701046595766833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58.701046595766833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6.8461538461538511</v>
      </c>
      <c r="BD119" s="12">
        <f>IF('Données projet'!$A$88&gt;35,BD118+BC119-BL118,IF(A119&lt;'Données projet'!$A$88,$BA$205^A119,IF(A119='Données projet'!$A$88,'Données projet'!$B$88,BD118+BC119-BL118)))</f>
        <v>336.8012820512825</v>
      </c>
      <c r="BE119" s="13">
        <f>BD119*VLOOKUP('Données projet'!$B$11,Paramètres!$A$1:$I$89,3,0)*VLOOKUP('Données projet'!$B$11,Paramètres!$A$1:$I$89,5,0)</f>
        <v>225.92630000000028</v>
      </c>
      <c r="BF119" s="13">
        <f t="shared" si="91"/>
        <v>55.400938327528685</v>
      </c>
      <c r="BG119" s="20">
        <f t="shared" si="61"/>
        <v>489.97827342044621</v>
      </c>
      <c r="BH119" s="59">
        <f t="shared" si="62"/>
        <v>771.27251731516776</v>
      </c>
      <c r="BI119" s="59">
        <f ca="1">AVERAGE(OFFSET($BH$3,0,0,'Données projet'!$E$11+1,1))-AVERAGE(OFFSET($H$3,0,0,'Données projet'!$E$11+1,1))</f>
        <v>332.21938212432008</v>
      </c>
      <c r="BJ119" s="59">
        <f t="shared" si="92"/>
        <v>237.47732529948181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47.863930301163698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47.863930301163698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6.8461538461538511</v>
      </c>
      <c r="BY119" s="12">
        <f>IF('Données projet'!$A$114&gt;35,BY118+BX119-CG118,IF(A119&lt;'Données projet'!$A$114,$BV$205^A119,IF(A119='Données projet'!$A$114,'Données projet'!$B$114,BY118+BX119-CG118)))</f>
        <v>336.8012820512825</v>
      </c>
      <c r="BZ119" s="13">
        <f>BY119*VLOOKUP('Données projet'!$B$12,Paramètres!$A$1:$I$89,3,0)*VLOOKUP('Données projet'!$B$12,Paramètres!$A$1:$I$89,5,0)</f>
        <v>320.50010000000043</v>
      </c>
      <c r="CA119" s="13">
        <f t="shared" si="93"/>
        <v>75.457399734732135</v>
      </c>
      <c r="CB119" s="20">
        <f t="shared" si="64"/>
        <v>689.62597870465913</v>
      </c>
      <c r="CC119" s="59">
        <f t="shared" si="65"/>
        <v>970.92022259938062</v>
      </c>
      <c r="CD119" s="59">
        <f ca="1">AVERAGE(OFFSET($CC$3,0,0,'Données projet'!$E$12+1,1))-AVERAGE(OFFSET($H$3,0,0,'Données projet'!$E$12+1,1))</f>
        <v>439.09551305860475</v>
      </c>
      <c r="CE119" s="59">
        <f t="shared" si="94"/>
        <v>311.31528017256846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55.088674497565769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55.088674497565769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6.8461538461538511</v>
      </c>
      <c r="CT119" s="12">
        <f>IF('Données projet'!$A$140&gt;35,CT118+CS119-DB118,IF(A119&lt;'Données projet'!$A$140,$CQ$205^A119,IF(A119='Données projet'!$A$140,'Données projet'!$B$140,CT118+CS119-DB118)))</f>
        <v>336.8012820512825</v>
      </c>
      <c r="CU119" s="17">
        <f>CT119*VLOOKUP('Données projet'!$B$13,Paramètres!$A$1:$I$89,3,0)*VLOOKUP('Données projet'!$B$13,Paramètres!$A$1:$I$89,5,0)</f>
        <v>325.75420000000042</v>
      </c>
      <c r="CV119" s="13">
        <f t="shared" si="95"/>
        <v>76.549382184677185</v>
      </c>
      <c r="CW119" s="20">
        <f t="shared" si="67"/>
        <v>700.67873897164679</v>
      </c>
      <c r="CX119" s="59">
        <f t="shared" si="68"/>
        <v>981.97298286636828</v>
      </c>
      <c r="CY119" s="59">
        <f ca="1">AVERAGE(OFFSET($CX$3,0,0,'Données projet'!$E$13+1,1))-AVERAGE(OFFSET($H$3,0,0,'Données projet'!$E$13+1,1))</f>
        <v>445.01146841309549</v>
      </c>
      <c r="CZ119" s="59">
        <f t="shared" si="96"/>
        <v>315.40159257508969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55.991767522116042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55.991767522116042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-1.1368683772161603E-13</v>
      </c>
      <c r="DP119" s="17">
        <f>DO119*VLOOKUP('Données projet'!$B$14,Paramètres!$A$1:$I$89,3,0)*VLOOKUP('Données projet'!$B$14,Paramètres!$A$1:$I$89,5,0)</f>
        <v>-6.3550942286383367E-14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349.00268383833668</v>
      </c>
      <c r="DU119" s="59">
        <f t="shared" si="98"/>
        <v>459.94854391583749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67.720010238830696</v>
      </c>
      <c r="EB119" s="21">
        <f>EXP(-LN(2)/25)*EB118+(1-EXP(-LN(2)/25))/(LN(2)/25)*Calculateur!DW119*Calculateur!DY119*VLOOKUP('Données projet'!$B$14,Paramètres!$A$1:$I$89,3,0)*0.475*44/12</f>
        <v>10.616153734490803</v>
      </c>
      <c r="EC119" s="21">
        <f>EXP(-LN(2)/2)*EC118+(1-EXP(-LN(2)/2))/(LN(2)/2)*DW119*DZ119*VLOOKUP('Données projet'!$B$14,Paramètres!$A$1:$I$89,3,0)*0.475*44/12</f>
        <v>2.2496739137436346E-8</v>
      </c>
      <c r="ED119" s="22">
        <f t="shared" si="72"/>
        <v>78.336163995818239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1.7053025658242404E-13</v>
      </c>
      <c r="EK119" s="17">
        <f>EJ119*VLOOKUP('Données projet'!$B$15,Paramètres!$A$1:$I$89,3,0)*VLOOKUP('Données projet'!$B$15,Paramètres!$A$1:$I$89,5,0)</f>
        <v>1.3301360013429075E-13</v>
      </c>
      <c r="EL119" s="13">
        <f t="shared" si="99"/>
        <v>1.9329766731057041E-12</v>
      </c>
      <c r="EM119" s="20">
        <f t="shared" si="73"/>
        <v>3.5982663925596575E-12</v>
      </c>
      <c r="EN119" s="59">
        <f t="shared" si="74"/>
        <v>281.29424389472507</v>
      </c>
      <c r="EO119" s="59">
        <f ca="1">AVERAGE(OFFSET($EN$3,0,0,'Données projet'!$E$15+1,1))-AVERAGE(OFFSET($H$3,0,0,'Données projet'!$E$15+1,1))</f>
        <v>308.82719216177946</v>
      </c>
      <c r="EP119" s="59">
        <f t="shared" si="100"/>
        <v>302.59481222418219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31.986057002613304</v>
      </c>
      <c r="EW119" s="21">
        <f>EXP(-LN(2)/25)*EW118+(1-EXP(-LN(2)/25))/(LN(2)/25)*Calculateur!ER119*Calculateur!ET119*VLOOKUP('Données projet'!$B$15,Paramètres!$A$1:$I$89,3,0)*0.475*44/12</f>
        <v>18.531421417719713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50.51747842033302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950.99223192752379</v>
      </c>
      <c r="S120" s="59">
        <f ca="1">AVERAGE(OFFSET($R$3,0,0,'Données projet'!$E$9+1,1))-AVERAGE(OFFSET($H$3,0,0,'Données projet'!$E$9+1,1))</f>
        <v>421.33534980160005</v>
      </c>
      <c r="T120" s="59">
        <f t="shared" si="88"/>
        <v>299.0473530693472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6.8461538461538511</v>
      </c>
      <c r="AI120" s="13">
        <f>IF('Données projet'!$A$62&gt;35,AI119+AH120-AQ119,IF(A120&lt;'Données projet'!$A$62,$AF$205^A120,IF(A120='Données projet'!$A$62,'Données projet'!$B$62,AI119+AH120-AQ119)))</f>
        <v>343.64743589743637</v>
      </c>
      <c r="AJ120" s="13">
        <f>AI120*VLOOKUP('Données projet'!$B$10,Paramètres!$A$1:$I$89,3,0)*VLOOKUP('Données projet'!$B$10,Paramètres!$A$1:$I$89,5,0)</f>
        <v>348.45850000000053</v>
      </c>
      <c r="AK120" s="13">
        <f t="shared" si="89"/>
        <v>81.245018883378833</v>
      </c>
      <c r="AL120" s="20">
        <f t="shared" si="58"/>
        <v>748.40029538855242</v>
      </c>
      <c r="AM120" s="59">
        <f t="shared" si="59"/>
        <v>1029.903390569662</v>
      </c>
      <c r="AN120" s="59">
        <f ca="1">AVERAGE(OFFSET($AM$3,0,0,'Données projet'!$E$10+1,1))-AVERAGE(OFFSET($H$3,0,0,'Données projet'!$E$10+1,1))</f>
        <v>462.74754756814662</v>
      </c>
      <c r="AO120" s="59">
        <f t="shared" si="90"/>
        <v>327.65191293226667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57.549954876126904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57.549954876126904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6.8461538461538511</v>
      </c>
      <c r="BD120" s="12">
        <f>IF('Données projet'!$A$88&gt;35,BD119+BC120-BL119,IF(A120&lt;'Données projet'!$A$88,$BA$205^A120,IF(A120='Données projet'!$A$88,'Données projet'!$B$88,BD119+BC120-BL119)))</f>
        <v>343.64743589743637</v>
      </c>
      <c r="BE120" s="13">
        <f>BD120*VLOOKUP('Données projet'!$B$11,Paramètres!$A$1:$I$89,3,0)*VLOOKUP('Données projet'!$B$11,Paramètres!$A$1:$I$89,5,0)</f>
        <v>230.51870000000034</v>
      </c>
      <c r="BF120" s="13">
        <f t="shared" si="91"/>
        <v>56.394821889926483</v>
      </c>
      <c r="BG120" s="20">
        <f t="shared" si="61"/>
        <v>499.70771729162249</v>
      </c>
      <c r="BH120" s="59">
        <f t="shared" si="62"/>
        <v>781.21081247273219</v>
      </c>
      <c r="BI120" s="59">
        <f ca="1">AVERAGE(OFFSET($BH$3,0,0,'Données projet'!$E$11+1,1))-AVERAGE(OFFSET($H$3,0,0,'Données projet'!$E$11+1,1))</f>
        <v>332.21938212432008</v>
      </c>
      <c r="BJ120" s="59">
        <f t="shared" si="92"/>
        <v>237.47732529948181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46.925347822072681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46.925347822072681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6.8461538461538511</v>
      </c>
      <c r="BY120" s="12">
        <f>IF('Données projet'!$A$114&gt;35,BY119+BX120-CG119,IF(A120&lt;'Données projet'!$A$114,$BV$205^A120,IF(A120='Données projet'!$A$114,'Données projet'!$B$114,BY119+BX120-CG119)))</f>
        <v>343.64743589743637</v>
      </c>
      <c r="BZ120" s="13">
        <f>BY120*VLOOKUP('Données projet'!$B$12,Paramètres!$A$1:$I$89,3,0)*VLOOKUP('Données projet'!$B$12,Paramètres!$A$1:$I$89,5,0)</f>
        <v>327.01490000000047</v>
      </c>
      <c r="CA120" s="13">
        <f t="shared" si="93"/>
        <v>76.811092858380277</v>
      </c>
      <c r="CB120" s="20">
        <f t="shared" si="64"/>
        <v>703.3302708950132</v>
      </c>
      <c r="CC120" s="59">
        <f t="shared" si="65"/>
        <v>984.83336607612284</v>
      </c>
      <c r="CD120" s="59">
        <f ca="1">AVERAGE(OFFSET($CC$3,0,0,'Données projet'!$E$12+1,1))-AVERAGE(OFFSET($H$3,0,0,'Données projet'!$E$12+1,1))</f>
        <v>439.09551305860475</v>
      </c>
      <c r="CE120" s="59">
        <f t="shared" si="94"/>
        <v>311.31528017256846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54.008419191442144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54.008419191442144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6.8461538461538511</v>
      </c>
      <c r="CT120" s="12">
        <f>IF('Données projet'!$A$140&gt;35,CT119+CS120-DB119,IF(A120&lt;'Données projet'!$A$140,$CQ$205^A120,IF(A120='Données projet'!$A$140,'Données projet'!$B$140,CT119+CS120-DB119)))</f>
        <v>343.64743589743637</v>
      </c>
      <c r="CU120" s="17">
        <f>CT120*VLOOKUP('Données projet'!$B$13,Paramètres!$A$1:$I$89,3,0)*VLOOKUP('Données projet'!$B$13,Paramètres!$A$1:$I$89,5,0)</f>
        <v>332.37580000000042</v>
      </c>
      <c r="CV120" s="13">
        <f t="shared" si="95"/>
        <v>77.922665290736944</v>
      </c>
      <c r="CW120" s="20">
        <f t="shared" si="67"/>
        <v>714.6031603813675</v>
      </c>
      <c r="CX120" s="59">
        <f t="shared" si="68"/>
        <v>996.10625556247714</v>
      </c>
      <c r="CY120" s="59">
        <f ca="1">AVERAGE(OFFSET($CX$3,0,0,'Données projet'!$E$13+1,1))-AVERAGE(OFFSET($H$3,0,0,'Données projet'!$E$13+1,1))</f>
        <v>445.01146841309549</v>
      </c>
      <c r="CZ120" s="59">
        <f t="shared" si="96"/>
        <v>315.40159257508969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54.893803112613341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54.893803112613341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-1.1368683772161603E-13</v>
      </c>
      <c r="DP120" s="17">
        <f>DO120*VLOOKUP('Données projet'!$B$14,Paramètres!$A$1:$I$89,3,0)*VLOOKUP('Données projet'!$B$14,Paramètres!$A$1:$I$89,5,0)</f>
        <v>-6.3550942286383367E-14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349.00268383833668</v>
      </c>
      <c r="DU120" s="59">
        <f t="shared" si="98"/>
        <v>459.94854391583749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66.392062143174925</v>
      </c>
      <c r="EB120" s="21">
        <f>EXP(-LN(2)/25)*EB119+(1-EXP(-LN(2)/25))/(LN(2)/25)*Calculateur!DW120*Calculateur!DY120*VLOOKUP('Données projet'!$B$14,Paramètres!$A$1:$I$89,3,0)*0.475*44/12</f>
        <v>10.32585445234189</v>
      </c>
      <c r="EC120" s="21">
        <f>EXP(-LN(2)/2)*EC119+(1-EXP(-LN(2)/2))/(LN(2)/2)*DW120*DZ120*VLOOKUP('Données projet'!$B$14,Paramètres!$A$1:$I$89,3,0)*0.475*44/12</f>
        <v>1.5907596798666042E-8</v>
      </c>
      <c r="ED120" s="22">
        <f t="shared" si="72"/>
        <v>76.717916611424414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1.7053025658242404E-13</v>
      </c>
      <c r="EK120" s="17">
        <f>EJ120*VLOOKUP('Données projet'!$B$15,Paramètres!$A$1:$I$89,3,0)*VLOOKUP('Données projet'!$B$15,Paramètres!$A$1:$I$89,5,0)</f>
        <v>1.3301360013429075E-13</v>
      </c>
      <c r="EL120" s="13">
        <f t="shared" si="99"/>
        <v>1.9329766731057041E-12</v>
      </c>
      <c r="EM120" s="20">
        <f t="shared" si="73"/>
        <v>3.5982663925596575E-12</v>
      </c>
      <c r="EN120" s="59">
        <f t="shared" si="74"/>
        <v>281.50309518111322</v>
      </c>
      <c r="EO120" s="59">
        <f ca="1">AVERAGE(OFFSET($EN$3,0,0,'Données projet'!$E$15+1,1))-AVERAGE(OFFSET($H$3,0,0,'Données projet'!$E$15+1,1))</f>
        <v>308.82719216177946</v>
      </c>
      <c r="EP120" s="59">
        <f t="shared" si="100"/>
        <v>302.59481222418219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31.358829934360418</v>
      </c>
      <c r="EW120" s="21">
        <f>EXP(-LN(2)/25)*EW119+(1-EXP(-LN(2)/25))/(LN(2)/25)*Calculateur!ER120*Calculateur!ET120*VLOOKUP('Données projet'!$B$15,Paramètres!$A$1:$I$89,3,0)*0.475*44/12</f>
        <v>18.024678724527067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49.383508658887486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964.23574540015966</v>
      </c>
      <c r="S121" s="59">
        <f ca="1">AVERAGE(OFFSET($R$3,0,0,'Données projet'!$E$9+1,1))-AVERAGE(OFFSET($H$3,0,0,'Données projet'!$E$9+1,1))</f>
        <v>421.33534980160005</v>
      </c>
      <c r="T121" s="59">
        <f t="shared" si="88"/>
        <v>299.0473530693472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6.8461538461538511</v>
      </c>
      <c r="AI121" s="13">
        <f>IF('Données projet'!$A$62&gt;35,AI120+AH121-AQ120,IF(A121&lt;'Données projet'!$A$62,$AF$205^A121,IF(A121='Données projet'!$A$62,'Données projet'!$B$62,AI120+AH121-AQ120)))</f>
        <v>350.49358974359023</v>
      </c>
      <c r="AJ121" s="13">
        <f>AI121*VLOOKUP('Données projet'!$B$10,Paramètres!$A$1:$I$89,3,0)*VLOOKUP('Données projet'!$B$10,Paramètres!$A$1:$I$89,5,0)</f>
        <v>355.40050000000053</v>
      </c>
      <c r="AK121" s="13">
        <f t="shared" si="89"/>
        <v>82.673537340753484</v>
      </c>
      <c r="AL121" s="20">
        <f t="shared" si="58"/>
        <v>762.97894836847979</v>
      </c>
      <c r="AM121" s="59">
        <f t="shared" si="59"/>
        <v>1044.6872717330803</v>
      </c>
      <c r="AN121" s="59">
        <f ca="1">AVERAGE(OFFSET($AM$3,0,0,'Données projet'!$E$10+1,1))-AVERAGE(OFFSET($H$3,0,0,'Données projet'!$E$10+1,1))</f>
        <v>462.74754756814662</v>
      </c>
      <c r="AO121" s="59">
        <f t="shared" si="90"/>
        <v>327.65191293226667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56.421435363012492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56.421435363012492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6.8461538461538511</v>
      </c>
      <c r="BD121" s="12">
        <f>IF('Données projet'!$A$88&gt;35,BD120+BC121-BL120,IF(A121&lt;'Données projet'!$A$88,$BA$205^A121,IF(A121='Données projet'!$A$88,'Données projet'!$B$88,BD120+BC121-BL120)))</f>
        <v>350.49358974359023</v>
      </c>
      <c r="BE121" s="13">
        <f>BD121*VLOOKUP('Données projet'!$B$11,Paramètres!$A$1:$I$89,3,0)*VLOOKUP('Données projet'!$B$11,Paramètres!$A$1:$I$89,5,0)</f>
        <v>235.11110000000033</v>
      </c>
      <c r="BF121" s="13">
        <f t="shared" si="91"/>
        <v>57.38640322103258</v>
      </c>
      <c r="BG121" s="20">
        <f t="shared" si="61"/>
        <v>509.43315144329898</v>
      </c>
      <c r="BH121" s="59">
        <f t="shared" si="62"/>
        <v>791.14147480789939</v>
      </c>
      <c r="BI121" s="59">
        <f ca="1">AVERAGE(OFFSET($BH$3,0,0,'Données projet'!$E$11+1,1))-AVERAGE(OFFSET($H$3,0,0,'Données projet'!$E$11+1,1))</f>
        <v>332.21938212432008</v>
      </c>
      <c r="BJ121" s="59">
        <f t="shared" si="92"/>
        <v>237.47732529948181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46.005170372917853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46.005170372917853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6.8461538461538511</v>
      </c>
      <c r="BY121" s="12">
        <f>IF('Données projet'!$A$114&gt;35,BY120+BX121-CG120,IF(A121&lt;'Données projet'!$A$114,$BV$205^A121,IF(A121='Données projet'!$A$114,'Données projet'!$B$114,BY120+BX121-CG120)))</f>
        <v>350.49358974359023</v>
      </c>
      <c r="BZ121" s="13">
        <f>BY121*VLOOKUP('Données projet'!$B$12,Paramètres!$A$1:$I$89,3,0)*VLOOKUP('Données projet'!$B$12,Paramètres!$A$1:$I$89,5,0)</f>
        <v>333.5297000000005</v>
      </c>
      <c r="CA121" s="13">
        <f t="shared" si="93"/>
        <v>78.161650288083365</v>
      </c>
      <c r="CB121" s="20">
        <f t="shared" si="64"/>
        <v>717.029101751746</v>
      </c>
      <c r="CC121" s="59">
        <f t="shared" si="65"/>
        <v>998.73742511634646</v>
      </c>
      <c r="CD121" s="59">
        <f ca="1">AVERAGE(OFFSET($CC$3,0,0,'Données projet'!$E$12+1,1))-AVERAGE(OFFSET($H$3,0,0,'Données projet'!$E$12+1,1))</f>
        <v>439.09551305860475</v>
      </c>
      <c r="CE121" s="59">
        <f t="shared" si="94"/>
        <v>311.31528017256846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52.949347032980931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52.949347032980931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6.8461538461538511</v>
      </c>
      <c r="CT121" s="12">
        <f>IF('Données projet'!$A$140&gt;35,CT120+CS121-DB120,IF(A121&lt;'Données projet'!$A$140,$CQ$205^A121,IF(A121='Données projet'!$A$140,'Données projet'!$B$140,CT120+CS121-DB120)))</f>
        <v>350.49358974359023</v>
      </c>
      <c r="CU121" s="17">
        <f>CT121*VLOOKUP('Données projet'!$B$13,Paramètres!$A$1:$I$89,3,0)*VLOOKUP('Données projet'!$B$13,Paramètres!$A$1:$I$89,5,0)</f>
        <v>338.99740000000048</v>
      </c>
      <c r="CV121" s="13">
        <f t="shared" si="95"/>
        <v>79.292767324628201</v>
      </c>
      <c r="CW121" s="20">
        <f t="shared" si="67"/>
        <v>728.52204142372818</v>
      </c>
      <c r="CX121" s="59">
        <f t="shared" si="68"/>
        <v>1010.2303647883286</v>
      </c>
      <c r="CY121" s="59">
        <f ca="1">AVERAGE(OFFSET($CX$3,0,0,'Données projet'!$E$13+1,1))-AVERAGE(OFFSET($H$3,0,0,'Données projet'!$E$13+1,1))</f>
        <v>445.01146841309549</v>
      </c>
      <c r="CZ121" s="59">
        <f t="shared" si="96"/>
        <v>315.40159257508969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53.81736911548883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53.81736911548883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-1.1368683772161603E-13</v>
      </c>
      <c r="DP121" s="17">
        <f>DO121*VLOOKUP('Données projet'!$B$14,Paramètres!$A$1:$I$89,3,0)*VLOOKUP('Données projet'!$B$14,Paramètres!$A$1:$I$89,5,0)</f>
        <v>-6.3550942286383367E-14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349.00268383833668</v>
      </c>
      <c r="DU121" s="59">
        <f t="shared" si="98"/>
        <v>459.94854391583749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65.090154299706612</v>
      </c>
      <c r="EB121" s="21">
        <f>EXP(-LN(2)/25)*EB120+(1-EXP(-LN(2)/25))/(LN(2)/25)*Calculateur!DW121*Calculateur!DY121*VLOOKUP('Données projet'!$B$14,Paramètres!$A$1:$I$89,3,0)*0.475*44/12</f>
        <v>10.043493419329515</v>
      </c>
      <c r="EC121" s="21">
        <f>EXP(-LN(2)/2)*EC120+(1-EXP(-LN(2)/2))/(LN(2)/2)*DW121*DZ121*VLOOKUP('Données projet'!$B$14,Paramètres!$A$1:$I$89,3,0)*0.475*44/12</f>
        <v>1.1248369568718173E-8</v>
      </c>
      <c r="ED121" s="22">
        <f t="shared" si="72"/>
        <v>75.133647730284508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1.7053025658242404E-13</v>
      </c>
      <c r="EK121" s="17">
        <f>EJ121*VLOOKUP('Données projet'!$B$15,Paramètres!$A$1:$I$89,3,0)*VLOOKUP('Données projet'!$B$15,Paramètres!$A$1:$I$89,5,0)</f>
        <v>1.3301360013429075E-13</v>
      </c>
      <c r="EL121" s="13">
        <f t="shared" si="99"/>
        <v>1.9329766731057041E-12</v>
      </c>
      <c r="EM121" s="20">
        <f t="shared" si="73"/>
        <v>3.5982663925596575E-12</v>
      </c>
      <c r="EN121" s="59">
        <f t="shared" si="74"/>
        <v>281.70832336460398</v>
      </c>
      <c r="EO121" s="59">
        <f ca="1">AVERAGE(OFFSET($EN$3,0,0,'Données projet'!$E$15+1,1))-AVERAGE(OFFSET($H$3,0,0,'Données projet'!$E$15+1,1))</f>
        <v>308.82719216177946</v>
      </c>
      <c r="EP121" s="59">
        <f t="shared" si="100"/>
        <v>302.59481222418219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30.743902406345235</v>
      </c>
      <c r="EW121" s="21">
        <f>EXP(-LN(2)/25)*EW120+(1-EXP(-LN(2)/25))/(LN(2)/25)*Calculateur!ER121*Calculateur!ET121*VLOOKUP('Données projet'!$B$15,Paramètres!$A$1:$I$89,3,0)*0.475*44/12</f>
        <v>17.531792936928216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48.275695343273455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977.47058909490988</v>
      </c>
      <c r="S122" s="59">
        <f ca="1">AVERAGE(OFFSET($R$3,0,0,'Données projet'!$E$9+1,1))-AVERAGE(OFFSET($H$3,0,0,'Données projet'!$E$9+1,1))</f>
        <v>421.33534980160005</v>
      </c>
      <c r="T122" s="59">
        <f t="shared" si="88"/>
        <v>299.0473530693472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357.33974358974359</v>
      </c>
      <c r="AG122" s="12">
        <f>VLOOKUP(A122,'Données projet'!$A$61:$I$81,9,0)</f>
        <v>6.8461538461538511</v>
      </c>
      <c r="AH122" s="12">
        <f t="array" ref="AH122">INDEX(AG:AG,MIN(IF(ISNUMBER(AG122:AG318),ROW(AG122:AG318),"")))</f>
        <v>6.8461538461538511</v>
      </c>
      <c r="AI122" s="13">
        <f>IF('Données projet'!$A$62&gt;35,AI121+AH122-AQ121,IF(A122&lt;'Données projet'!$A$62,$AF$205^A122,IF(A122='Données projet'!$A$62,'Données projet'!$B$62,AI121+AH122-AQ121)))</f>
        <v>357.3397435897441</v>
      </c>
      <c r="AJ122" s="13">
        <f>AI122*VLOOKUP('Données projet'!$B$10,Paramètres!$A$1:$I$89,3,0)*VLOOKUP('Données projet'!$B$10,Paramètres!$A$1:$I$89,5,0)</f>
        <v>362.34250000000054</v>
      </c>
      <c r="AK122" s="13">
        <f t="shared" si="89"/>
        <v>84.098811348867258</v>
      </c>
      <c r="AL122" s="20">
        <f t="shared" si="58"/>
        <v>777.55195059927792</v>
      </c>
      <c r="AM122" s="59">
        <f t="shared" si="59"/>
        <v>1059.461941897207</v>
      </c>
      <c r="AN122" s="59">
        <f ca="1">AVERAGE(OFFSET($AM$3,0,0,'Données projet'!$E$10+1,1))-AVERAGE(OFFSET($H$3,0,0,'Données projet'!$E$10+1,1))</f>
        <v>462.74754756814662</v>
      </c>
      <c r="AO122" s="59">
        <f t="shared" si="90"/>
        <v>327.65191293226667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150.02564102564102</v>
      </c>
      <c r="AR122" s="16">
        <f>IF(ISNA(VLOOKUP(A122,'Données projet'!$A$61:$I$81,5,0)),0%,VLOOKUP(A122,'Données projet'!$A$61:$I$81,5,0)*VLOOKUP('Données projet'!$B$10,Paramètres!$A$1:$I$89,7,0))</f>
        <v>0.38700000000000001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120.39713998151436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120.39713998151436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357.33974358974359</v>
      </c>
      <c r="BB122" s="12">
        <f>VLOOKUP(A122,'Données projet'!$A$87:$I$107,9,0)</f>
        <v>6.8461538461538511</v>
      </c>
      <c r="BC122" s="12">
        <f t="array" ref="BC122">INDEX(BB:BB,MIN(IF(ISNUMBER(BB122:BB318),ROW(BB122:BB318),"")))</f>
        <v>6.8461538461538511</v>
      </c>
      <c r="BD122" s="12">
        <f>IF('Données projet'!$A$88&gt;35,BD121+BC122-BL121,IF(A122&lt;'Données projet'!$A$88,$BA$205^A122,IF(A122='Données projet'!$A$88,'Données projet'!$B$88,BD121+BC122-BL121)))</f>
        <v>357.3397435897441</v>
      </c>
      <c r="BE122" s="13">
        <f>BD122*VLOOKUP('Données projet'!$B$11,Paramètres!$A$1:$I$89,3,0)*VLOOKUP('Données projet'!$B$11,Paramètres!$A$1:$I$89,5,0)</f>
        <v>239.70350000000036</v>
      </c>
      <c r="BF122" s="13">
        <f t="shared" si="91"/>
        <v>58.375732473910162</v>
      </c>
      <c r="BG122" s="20">
        <f t="shared" si="61"/>
        <v>519.15466322539407</v>
      </c>
      <c r="BH122" s="59">
        <f t="shared" si="62"/>
        <v>801.06465452332327</v>
      </c>
      <c r="BI122" s="59">
        <f ca="1">AVERAGE(OFFSET($BH$3,0,0,'Données projet'!$E$11+1,1))-AVERAGE(OFFSET($H$3,0,0,'Données projet'!$E$11+1,1))</f>
        <v>332.21938212432008</v>
      </c>
      <c r="BJ122" s="59">
        <f t="shared" si="92"/>
        <v>237.47732529948181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150.02564102564102</v>
      </c>
      <c r="BM122" s="16">
        <f>IF(ISNA(VLOOKUP(A122,'Données projet'!$A$87:$I$107,5,0)),0%,VLOOKUP(A122,'Données projet'!$A$87:$I$107,5,0)*VLOOKUP('Données projet'!$B$11,Paramètres!$A$1:$I$89,7,0))</f>
        <v>0.47700000000000004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98.16997567723476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98.16997567723476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357.33974358974359</v>
      </c>
      <c r="BW122" s="12">
        <f>VLOOKUP(A122,'Données projet'!$A$113:$I$133,9,0)</f>
        <v>6.8461538461538511</v>
      </c>
      <c r="BX122" s="12">
        <f t="array" ref="BX122">INDEX(BW:BW,MIN(IF(ISNUMBER(BW122:BW318),ROW(BW122:BW318),"")))</f>
        <v>6.8461538461538511</v>
      </c>
      <c r="BY122" s="12">
        <f>IF('Données projet'!$A$114&gt;35,BY121+BX122-CG121,IF(A122&lt;'Données projet'!$A$114,$BV$205^A122,IF(A122='Données projet'!$A$114,'Données projet'!$B$114,BY121+BX122-CG121)))</f>
        <v>357.3397435897441</v>
      </c>
      <c r="BZ122" s="13">
        <f>BY122*VLOOKUP('Données projet'!$B$12,Paramètres!$A$1:$I$89,3,0)*VLOOKUP('Données projet'!$B$12,Paramètres!$A$1:$I$89,5,0)</f>
        <v>340.04450000000048</v>
      </c>
      <c r="CA122" s="13">
        <f t="shared" si="93"/>
        <v>79.509140333510132</v>
      </c>
      <c r="CB122" s="20">
        <f t="shared" si="64"/>
        <v>730.722590247531</v>
      </c>
      <c r="CC122" s="59">
        <f t="shared" si="65"/>
        <v>1012.6325815454602</v>
      </c>
      <c r="CD122" s="59">
        <f ca="1">AVERAGE(OFFSET($CC$3,0,0,'Données projet'!$E$12+1,1))-AVERAGE(OFFSET($H$3,0,0,'Données projet'!$E$12+1,1))</f>
        <v>439.09551305860475</v>
      </c>
      <c r="CE122" s="59">
        <f t="shared" si="94"/>
        <v>311.31528017256846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150.02564102564102</v>
      </c>
      <c r="CH122" s="16">
        <f>IF(ISNA(VLOOKUP(A122,'Données projet'!$A$113:$I$133,5,0)),0%,VLOOKUP(A122,'Données projet'!$A$113:$I$133,5,0)*VLOOKUP('Données projet'!$B$12,Paramètres!$A$1:$I$89,7,0))</f>
        <v>0.38700000000000001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112.98808521342116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112.98808521342116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>
        <f>VLOOKUP(A122,'Données projet'!$A$139:$I$159,2,0)</f>
        <v>357.33974358974359</v>
      </c>
      <c r="CR122" s="12">
        <f>VLOOKUP(A122,'Données projet'!$A$139:$I$159,9,0)</f>
        <v>6.8461538461538511</v>
      </c>
      <c r="CS122" s="12">
        <f t="array" ref="CS122">INDEX(CR:CR,MIN(IF(ISNUMBER(CR122:CR318),ROW(CR122:CR318),"")))</f>
        <v>6.8461538461538511</v>
      </c>
      <c r="CT122" s="12">
        <f>IF('Données projet'!$A$140&gt;35,CT121+CS122-DB121,IF(A122&lt;'Données projet'!$A$140,$CQ$205^A122,IF(A122='Données projet'!$A$140,'Données projet'!$B$140,CT121+CS122-DB121)))</f>
        <v>357.3397435897441</v>
      </c>
      <c r="CU122" s="17">
        <f>CT122*VLOOKUP('Données projet'!$B$13,Paramètres!$A$1:$I$89,3,0)*VLOOKUP('Données projet'!$B$13,Paramètres!$A$1:$I$89,5,0)</f>
        <v>345.61900000000048</v>
      </c>
      <c r="CV122" s="13">
        <f t="shared" si="95"/>
        <v>80.659757584563494</v>
      </c>
      <c r="CW122" s="20">
        <f t="shared" si="67"/>
        <v>742.43550279311557</v>
      </c>
      <c r="CX122" s="59">
        <f t="shared" si="68"/>
        <v>1024.3454940910447</v>
      </c>
      <c r="CY122" s="59">
        <f ca="1">AVERAGE(OFFSET($CX$3,0,0,'Données projet'!$E$13+1,1))-AVERAGE(OFFSET($H$3,0,0,'Données projet'!$E$13+1,1))</f>
        <v>445.01146841309549</v>
      </c>
      <c r="CZ122" s="59">
        <f t="shared" si="96"/>
        <v>315.40159257508969</v>
      </c>
      <c r="DA122" s="15">
        <f>IF(ISNA(VLOOKUP(A122,'Données projet'!$A$139:$I$159,3,0)),0,VLOOKUP(A122,'Données projet'!$A$139:$I$159,3,0))</f>
        <v>11</v>
      </c>
      <c r="DB122" s="15">
        <f>IF(ISNA(VLOOKUP(A122,'Données projet'!$A$139:$I$159,4,0)),0,VLOOKUP(A122,'Données projet'!$A$139:$I$159,4,0))</f>
        <v>150.02564102564102</v>
      </c>
      <c r="DC122" s="16">
        <f>IF(ISNA(VLOOKUP(A122,'Données projet'!$A$139:$I$159,5,0)),0%,VLOOKUP(A122,'Données projet'!$A$139:$I$159,5,0)*VLOOKUP('Données projet'!$B$13,Paramètres!$A$1:$I$89,7,0))</f>
        <v>0.38700000000000001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114.84034890544444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114.84034890544444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-1.1368683772161603E-13</v>
      </c>
      <c r="DP122" s="17">
        <f>DO122*VLOOKUP('Données projet'!$B$14,Paramètres!$A$1:$I$89,3,0)*VLOOKUP('Données projet'!$B$14,Paramètres!$A$1:$I$89,5,0)</f>
        <v>-6.3550942286383367E-14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349.00268383833668</v>
      </c>
      <c r="DU122" s="59">
        <f t="shared" si="98"/>
        <v>459.94854391583749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63.813776074963336</v>
      </c>
      <c r="EB122" s="21">
        <f>EXP(-LN(2)/25)*EB121+(1-EXP(-LN(2)/25))/(LN(2)/25)*Calculateur!DW122*Calculateur!DY122*VLOOKUP('Données projet'!$B$14,Paramètres!$A$1:$I$89,3,0)*0.475*44/12</f>
        <v>9.7688535636135843</v>
      </c>
      <c r="EC122" s="21">
        <f>EXP(-LN(2)/2)*EC121+(1-EXP(-LN(2)/2))/(LN(2)/2)*DW122*DZ122*VLOOKUP('Données projet'!$B$14,Paramètres!$A$1:$I$89,3,0)*0.475*44/12</f>
        <v>7.953798399333021E-9</v>
      </c>
      <c r="ED122" s="22">
        <f t="shared" si="72"/>
        <v>73.582629646530719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1.7053025658242404E-13</v>
      </c>
      <c r="EK122" s="17">
        <f>EJ122*VLOOKUP('Données projet'!$B$15,Paramètres!$A$1:$I$89,3,0)*VLOOKUP('Données projet'!$B$15,Paramètres!$A$1:$I$89,5,0)</f>
        <v>1.3301360013429075E-13</v>
      </c>
      <c r="EL122" s="13">
        <f t="shared" si="99"/>
        <v>1.9329766731057041E-12</v>
      </c>
      <c r="EM122" s="20">
        <f t="shared" si="73"/>
        <v>3.5982663925596575E-12</v>
      </c>
      <c r="EN122" s="59">
        <f t="shared" si="74"/>
        <v>281.90999129793272</v>
      </c>
      <c r="EO122" s="59">
        <f ca="1">AVERAGE(OFFSET($EN$3,0,0,'Données projet'!$E$15+1,1))-AVERAGE(OFFSET($H$3,0,0,'Données projet'!$E$15+1,1))</f>
        <v>308.82719216177946</v>
      </c>
      <c r="EP122" s="59">
        <f t="shared" si="100"/>
        <v>302.59481222418219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30.141033232085675</v>
      </c>
      <c r="EW122" s="21">
        <f>EXP(-LN(2)/25)*EW121+(1-EXP(-LN(2)/25))/(LN(2)/25)*Calculateur!ER122*Calculateur!ET122*VLOOKUP('Données projet'!$B$15,Paramètres!$A$1:$I$89,3,0)*0.475*44/12</f>
        <v>17.052385137110992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47.193418369196664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698.04226210907188</v>
      </c>
      <c r="S123" s="59">
        <f ca="1">AVERAGE(OFFSET($R$3,0,0,'Données projet'!$E$9+1,1))-AVERAGE(OFFSET($H$3,0,0,'Données projet'!$E$9+1,1))</f>
        <v>421.33534980160005</v>
      </c>
      <c r="T123" s="59">
        <f t="shared" si="88"/>
        <v>299.0473530693472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3.8301282051282044</v>
      </c>
      <c r="AI123" s="13">
        <f>IF('Données projet'!$A$62&gt;35,AI122+AH123-AQ122,IF(A123&lt;'Données projet'!$A$62,$AF$205^A123,IF(A123='Données projet'!$A$62,'Données projet'!$B$62,AI122+AH123-AQ122)))</f>
        <v>211.14423076923126</v>
      </c>
      <c r="AJ123" s="13">
        <f>AI123*VLOOKUP('Données projet'!$B$10,Paramètres!$A$1:$I$89,3,0)*VLOOKUP('Données projet'!$B$10,Paramètres!$A$1:$I$89,5,0)</f>
        <v>214.1002500000005</v>
      </c>
      <c r="AK123" s="13">
        <f t="shared" si="89"/>
        <v>52.83058262367053</v>
      </c>
      <c r="AL123" s="20">
        <f t="shared" si="58"/>
        <v>464.90453348622708</v>
      </c>
      <c r="AM123" s="59">
        <f t="shared" si="59"/>
        <v>747.0126942297037</v>
      </c>
      <c r="AN123" s="59">
        <f ca="1">AVERAGE(OFFSET($AM$3,0,0,'Données projet'!$E$10+1,1))-AVERAGE(OFFSET($H$3,0,0,'Données projet'!$E$10+1,1))</f>
        <v>462.74754756814662</v>
      </c>
      <c r="AO123" s="59">
        <f t="shared" si="90"/>
        <v>327.65191293226667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118.03622550148114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118.03622550148114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3.8301282051282044</v>
      </c>
      <c r="BD123" s="12">
        <f>IF('Données projet'!$A$88&gt;35,BD122+BC123-BL122,IF(A123&lt;'Données projet'!$A$88,$BA$205^A123,IF(A123='Données projet'!$A$88,'Données projet'!$B$88,BD122+BC123-BL122)))</f>
        <v>211.14423076923126</v>
      </c>
      <c r="BE123" s="13">
        <f>BD123*VLOOKUP('Données projet'!$B$11,Paramètres!$A$1:$I$89,3,0)*VLOOKUP('Données projet'!$B$11,Paramètres!$A$1:$I$89,5,0)</f>
        <v>141.63555000000034</v>
      </c>
      <c r="BF123" s="13">
        <f t="shared" si="91"/>
        <v>36.671433379560327</v>
      </c>
      <c r="BG123" s="20">
        <f t="shared" si="61"/>
        <v>310.55132938606818</v>
      </c>
      <c r="BH123" s="59">
        <f t="shared" si="62"/>
        <v>592.65949012954479</v>
      </c>
      <c r="BI123" s="59">
        <f ca="1">AVERAGE(OFFSET($BH$3,0,0,'Données projet'!$E$11+1,1))-AVERAGE(OFFSET($H$3,0,0,'Données projet'!$E$11+1,1))</f>
        <v>332.21938212432008</v>
      </c>
      <c r="BJ123" s="59">
        <f t="shared" si="92"/>
        <v>237.47732529948181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96.244922331976909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96.244922331976909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3.8301282051282044</v>
      </c>
      <c r="BY123" s="12">
        <f>IF('Données projet'!$A$114&gt;35,BY122+BX123-CG122,IF(A123&lt;'Données projet'!$A$114,$BV$205^A123,IF(A123='Données projet'!$A$114,'Données projet'!$B$114,BY122+BX123-CG122)))</f>
        <v>211.14423076923126</v>
      </c>
      <c r="BZ123" s="13">
        <f>BY123*VLOOKUP('Données projet'!$B$12,Paramètres!$A$1:$I$89,3,0)*VLOOKUP('Données projet'!$B$12,Paramètres!$A$1:$I$89,5,0)</f>
        <v>200.92485000000045</v>
      </c>
      <c r="CA123" s="13">
        <f t="shared" si="93"/>
        <v>49.947367154828399</v>
      </c>
      <c r="CB123" s="20">
        <f t="shared" si="64"/>
        <v>436.93577821132686</v>
      </c>
      <c r="CC123" s="59">
        <f t="shared" si="65"/>
        <v>719.04393895480348</v>
      </c>
      <c r="CD123" s="59">
        <f ca="1">AVERAGE(OFFSET($CC$3,0,0,'Données projet'!$E$12+1,1))-AVERAGE(OFFSET($H$3,0,0,'Données projet'!$E$12+1,1))</f>
        <v>439.09551305860475</v>
      </c>
      <c r="CE123" s="59">
        <f t="shared" si="94"/>
        <v>311.31528017256846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110.77245777831307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110.77245777831307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3.8301282051282044</v>
      </c>
      <c r="CT123" s="12">
        <f>IF('Données projet'!$A$140&gt;35,CT122+CS123-DB122,IF(A123&lt;'Données projet'!$A$140,$CQ$205^A123,IF(A123='Données projet'!$A$140,'Données projet'!$B$140,CT122+CS123-DB122)))</f>
        <v>211.14423076923126</v>
      </c>
      <c r="CU123" s="17">
        <f>CT123*VLOOKUP('Données projet'!$B$13,Paramètres!$A$1:$I$89,3,0)*VLOOKUP('Données projet'!$B$13,Paramètres!$A$1:$I$89,5,0)</f>
        <v>204.2187000000005</v>
      </c>
      <c r="CV123" s="13">
        <f t="shared" si="95"/>
        <v>50.670180935130624</v>
      </c>
      <c r="CW123" s="20">
        <f t="shared" si="67"/>
        <v>443.93146762868668</v>
      </c>
      <c r="CX123" s="59">
        <f t="shared" si="68"/>
        <v>726.03962837216329</v>
      </c>
      <c r="CY123" s="59">
        <f ca="1">AVERAGE(OFFSET($CX$3,0,0,'Données projet'!$E$13+1,1))-AVERAGE(OFFSET($H$3,0,0,'Données projet'!$E$13+1,1))</f>
        <v>445.01146841309549</v>
      </c>
      <c r="CZ123" s="59">
        <f t="shared" si="96"/>
        <v>315.40159257508969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112.58839970910508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112.58839970910508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-1.1368683772161603E-13</v>
      </c>
      <c r="DP123" s="17">
        <f>DO123*VLOOKUP('Données projet'!$B$14,Paramètres!$A$1:$I$89,3,0)*VLOOKUP('Données projet'!$B$14,Paramètres!$A$1:$I$89,5,0)</f>
        <v>-6.3550942286383367E-14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349.00268383833668</v>
      </c>
      <c r="DU123" s="59">
        <f t="shared" si="98"/>
        <v>459.94854391583749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62.562426848693427</v>
      </c>
      <c r="EB123" s="21">
        <f>EXP(-LN(2)/25)*EB122+(1-EXP(-LN(2)/25))/(LN(2)/25)*Calculateur!DW123*Calculateur!DY123*VLOOKUP('Données projet'!$B$14,Paramètres!$A$1:$I$89,3,0)*0.475*44/12</f>
        <v>9.5017237491948894</v>
      </c>
      <c r="EC123" s="21">
        <f>EXP(-LN(2)/2)*EC122+(1-EXP(-LN(2)/2))/(LN(2)/2)*DW123*DZ123*VLOOKUP('Données projet'!$B$14,Paramètres!$A$1:$I$89,3,0)*0.475*44/12</f>
        <v>5.6241847843590864E-9</v>
      </c>
      <c r="ED123" s="22">
        <f t="shared" si="72"/>
        <v>72.064150603512502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1.7053025658242404E-13</v>
      </c>
      <c r="EK123" s="17">
        <f>EJ123*VLOOKUP('Données projet'!$B$15,Paramètres!$A$1:$I$89,3,0)*VLOOKUP('Données projet'!$B$15,Paramètres!$A$1:$I$89,5,0)</f>
        <v>1.3301360013429075E-13</v>
      </c>
      <c r="EL123" s="13">
        <f t="shared" si="99"/>
        <v>1.9329766731057041E-12</v>
      </c>
      <c r="EM123" s="20">
        <f t="shared" si="73"/>
        <v>3.5982663925596575E-12</v>
      </c>
      <c r="EN123" s="59">
        <f t="shared" si="74"/>
        <v>282.1081607434802</v>
      </c>
      <c r="EO123" s="59">
        <f ca="1">AVERAGE(OFFSET($EN$3,0,0,'Données projet'!$E$15+1,1))-AVERAGE(OFFSET($H$3,0,0,'Données projet'!$E$15+1,1))</f>
        <v>308.82719216177946</v>
      </c>
      <c r="EP123" s="59">
        <f t="shared" si="100"/>
        <v>302.59481222418219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29.549985954619455</v>
      </c>
      <c r="EW123" s="21">
        <f>EXP(-LN(2)/25)*EW122+(1-EXP(-LN(2)/25))/(LN(2)/25)*Calculateur!ER123*Calculateur!ET123*VLOOKUP('Données projet'!$B$15,Paramètres!$A$1:$I$89,3,0)*0.475*44/12</f>
        <v>16.586086768790732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46.136072723410187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705.60490851074132</v>
      </c>
      <c r="S124" s="59">
        <f ca="1">AVERAGE(OFFSET($R$3,0,0,'Données projet'!$E$9+1,1))-AVERAGE(OFFSET($H$3,0,0,'Données projet'!$E$9+1,1))</f>
        <v>421.33534980160005</v>
      </c>
      <c r="T124" s="59">
        <f t="shared" si="88"/>
        <v>299.0473530693472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3.8301282051282044</v>
      </c>
      <c r="AI124" s="13">
        <f>IF('Données projet'!$A$62&gt;35,AI123+AH124-AQ123,IF(A124&lt;'Données projet'!$A$62,$AF$205^A124,IF(A124='Données projet'!$A$62,'Données projet'!$B$62,AI123+AH124-AQ123)))</f>
        <v>214.97435897435946</v>
      </c>
      <c r="AJ124" s="13">
        <f>AI124*VLOOKUP('Données projet'!$B$10,Paramètres!$A$1:$I$89,3,0)*VLOOKUP('Données projet'!$B$10,Paramètres!$A$1:$I$89,5,0)</f>
        <v>217.98400000000052</v>
      </c>
      <c r="AK124" s="13">
        <f t="shared" si="89"/>
        <v>53.676483595327532</v>
      </c>
      <c r="AL124" s="20">
        <f t="shared" si="58"/>
        <v>473.14200892852961</v>
      </c>
      <c r="AM124" s="59">
        <f t="shared" si="59"/>
        <v>755.44490132071405</v>
      </c>
      <c r="AN124" s="59">
        <f ca="1">AVERAGE(OFFSET($AM$3,0,0,'Données projet'!$E$10+1,1))-AVERAGE(OFFSET($H$3,0,0,'Données projet'!$E$10+1,1))</f>
        <v>462.74754756814662</v>
      </c>
      <c r="AO124" s="59">
        <f t="shared" si="90"/>
        <v>327.65191293226667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115.72160711438573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115.72160711438573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3.8301282051282044</v>
      </c>
      <c r="BD124" s="12">
        <f>IF('Données projet'!$A$88&gt;35,BD123+BC124-BL123,IF(A124&lt;'Données projet'!$A$88,$BA$205^A124,IF(A124='Données projet'!$A$88,'Données projet'!$B$88,BD123+BC124-BL123)))</f>
        <v>214.97435897435946</v>
      </c>
      <c r="BE124" s="13">
        <f>BD124*VLOOKUP('Données projet'!$B$11,Paramètres!$A$1:$I$89,3,0)*VLOOKUP('Données projet'!$B$11,Paramètres!$A$1:$I$89,5,0)</f>
        <v>144.20480000000032</v>
      </c>
      <c r="BF124" s="13">
        <f t="shared" si="91"/>
        <v>37.258600879657607</v>
      </c>
      <c r="BG124" s="20">
        <f t="shared" si="61"/>
        <v>316.04875653207085</v>
      </c>
      <c r="BH124" s="59">
        <f t="shared" si="62"/>
        <v>598.35164892425519</v>
      </c>
      <c r="BI124" s="59">
        <f ca="1">AVERAGE(OFFSET($BH$3,0,0,'Données projet'!$E$11+1,1))-AVERAGE(OFFSET($H$3,0,0,'Données projet'!$E$11+1,1))</f>
        <v>332.21938212432008</v>
      </c>
      <c r="BJ124" s="59">
        <f t="shared" si="92"/>
        <v>237.47732529948181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94.357618108652972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94.357618108652972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3.8301282051282044</v>
      </c>
      <c r="BY124" s="12">
        <f>IF('Données projet'!$A$114&gt;35,BY123+BX124-CG123,IF(A124&lt;'Données projet'!$A$114,$BV$205^A124,IF(A124='Données projet'!$A$114,'Données projet'!$B$114,BY123+BX124-CG123)))</f>
        <v>214.97435897435946</v>
      </c>
      <c r="BZ124" s="13">
        <f>BY124*VLOOKUP('Données projet'!$B$12,Paramètres!$A$1:$I$89,3,0)*VLOOKUP('Données projet'!$B$12,Paramètres!$A$1:$I$89,5,0)</f>
        <v>204.56960000000046</v>
      </c>
      <c r="CA124" s="13">
        <f t="shared" si="93"/>
        <v>50.747103298359882</v>
      </c>
      <c r="CB124" s="20">
        <f t="shared" si="64"/>
        <v>444.6765915779776</v>
      </c>
      <c r="CC124" s="59">
        <f t="shared" si="65"/>
        <v>726.97948397016194</v>
      </c>
      <c r="CD124" s="59">
        <f ca="1">AVERAGE(OFFSET($CC$3,0,0,'Données projet'!$E$12+1,1))-AVERAGE(OFFSET($H$3,0,0,'Données projet'!$E$12+1,1))</f>
        <v>439.09551305860475</v>
      </c>
      <c r="CE124" s="59">
        <f t="shared" si="94"/>
        <v>311.31528017256846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108.60027744580815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108.60027744580815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3.8301282051282044</v>
      </c>
      <c r="CT124" s="12">
        <f>IF('Données projet'!$A$140&gt;35,CT123+CS124-DB123,IF(A124&lt;'Données projet'!$A$140,$CQ$205^A124,IF(A124='Données projet'!$A$140,'Données projet'!$B$140,CT123+CS124-DB123)))</f>
        <v>214.97435897435946</v>
      </c>
      <c r="CU124" s="17">
        <f>CT124*VLOOKUP('Données projet'!$B$13,Paramètres!$A$1:$I$89,3,0)*VLOOKUP('Données projet'!$B$13,Paramètres!$A$1:$I$89,5,0)</f>
        <v>207.92320000000046</v>
      </c>
      <c r="CV124" s="13">
        <f t="shared" si="95"/>
        <v>51.481490467572804</v>
      </c>
      <c r="CW124" s="20">
        <f t="shared" si="67"/>
        <v>451.79650256435679</v>
      </c>
      <c r="CX124" s="59">
        <f t="shared" si="68"/>
        <v>734.09939495654112</v>
      </c>
      <c r="CY124" s="59">
        <f ca="1">AVERAGE(OFFSET($CX$3,0,0,'Données projet'!$E$13+1,1))-AVERAGE(OFFSET($H$3,0,0,'Données projet'!$E$13+1,1))</f>
        <v>445.01146841309549</v>
      </c>
      <c r="CZ124" s="59">
        <f t="shared" si="96"/>
        <v>315.40159257508969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110.38060986295254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110.38060986295254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-1.1368683772161603E-13</v>
      </c>
      <c r="DP124" s="17">
        <f>DO124*VLOOKUP('Données projet'!$B$14,Paramètres!$A$1:$I$89,3,0)*VLOOKUP('Données projet'!$B$14,Paramètres!$A$1:$I$89,5,0)</f>
        <v>-6.3550942286383367E-14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349.00268383833668</v>
      </c>
      <c r="DU124" s="59">
        <f t="shared" si="98"/>
        <v>459.94854391583749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61.335615817503005</v>
      </c>
      <c r="EB124" s="21">
        <f>EXP(-LN(2)/25)*EB123+(1-EXP(-LN(2)/25))/(LN(2)/25)*Calculateur!DW124*Calculateur!DY124*VLOOKUP('Données projet'!$B$14,Paramètres!$A$1:$I$89,3,0)*0.475*44/12</f>
        <v>9.2418986135992203</v>
      </c>
      <c r="EC124" s="21">
        <f>EXP(-LN(2)/2)*EC123+(1-EXP(-LN(2)/2))/(LN(2)/2)*DW124*DZ124*VLOOKUP('Données projet'!$B$14,Paramètres!$A$1:$I$89,3,0)*0.475*44/12</f>
        <v>3.9768991996665105E-9</v>
      </c>
      <c r="ED124" s="22">
        <f t="shared" si="72"/>
        <v>70.577514435079124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1.7053025658242404E-13</v>
      </c>
      <c r="EK124" s="17">
        <f>EJ124*VLOOKUP('Données projet'!$B$15,Paramètres!$A$1:$I$89,3,0)*VLOOKUP('Données projet'!$B$15,Paramètres!$A$1:$I$89,5,0)</f>
        <v>1.3301360013429075E-13</v>
      </c>
      <c r="EL124" s="13">
        <f t="shared" si="99"/>
        <v>1.9329766731057041E-12</v>
      </c>
      <c r="EM124" s="20">
        <f t="shared" si="73"/>
        <v>3.5982663925596575E-12</v>
      </c>
      <c r="EN124" s="59">
        <f t="shared" si="74"/>
        <v>282.30289239218797</v>
      </c>
      <c r="EO124" s="59">
        <f ca="1">AVERAGE(OFFSET($EN$3,0,0,'Données projet'!$E$15+1,1))-AVERAGE(OFFSET($H$3,0,0,'Données projet'!$E$15+1,1))</f>
        <v>308.82719216177946</v>
      </c>
      <c r="EP124" s="59">
        <f t="shared" si="100"/>
        <v>302.59481222418219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28.970528753761105</v>
      </c>
      <c r="EW124" s="21">
        <f>EXP(-LN(2)/25)*EW123+(1-EXP(-LN(2)/25))/(LN(2)/25)*Calculateur!ER124*Calculateur!ET124*VLOOKUP('Données projet'!$B$15,Paramètres!$A$1:$I$89,3,0)*0.475*44/12</f>
        <v>16.132539353873753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45.103068107634854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713.16141672900335</v>
      </c>
      <c r="S125" s="59">
        <f ca="1">AVERAGE(OFFSET($R$3,0,0,'Données projet'!$E$9+1,1))-AVERAGE(OFFSET($H$3,0,0,'Données projet'!$E$9+1,1))</f>
        <v>421.33534980160005</v>
      </c>
      <c r="T125" s="59">
        <f t="shared" si="88"/>
        <v>299.0473530693472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3.8301282051282044</v>
      </c>
      <c r="AI125" s="13">
        <f>IF('Données projet'!$A$62&gt;35,AI124+AH125-AQ124,IF(A125&lt;'Données projet'!$A$62,$AF$205^A125,IF(A125='Données projet'!$A$62,'Données projet'!$B$62,AI124+AH125-AQ124)))</f>
        <v>218.80448717948767</v>
      </c>
      <c r="AJ125" s="13">
        <f>AI125*VLOOKUP('Données projet'!$B$10,Paramètres!$A$1:$I$89,3,0)*VLOOKUP('Données projet'!$B$10,Paramètres!$A$1:$I$89,5,0)</f>
        <v>221.86775000000048</v>
      </c>
      <c r="AK125" s="13">
        <f t="shared" si="89"/>
        <v>54.520632005800415</v>
      </c>
      <c r="AL125" s="20">
        <f t="shared" si="58"/>
        <v>481.37643199343648</v>
      </c>
      <c r="AM125" s="59">
        <f t="shared" si="59"/>
        <v>763.87067787557828</v>
      </c>
      <c r="AN125" s="59">
        <f ca="1">AVERAGE(OFFSET($AM$3,0,0,'Données projet'!$E$10+1,1))-AVERAGE(OFFSET($H$3,0,0,'Données projet'!$E$10+1,1))</f>
        <v>462.74754756814662</v>
      </c>
      <c r="AO125" s="59">
        <f t="shared" si="90"/>
        <v>327.65191293226667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113.45237698208345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113.45237698208345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3.8301282051282044</v>
      </c>
      <c r="BD125" s="12">
        <f>IF('Données projet'!$A$88&gt;35,BD124+BC125-BL124,IF(A125&lt;'Données projet'!$A$88,$BA$205^A125,IF(A125='Données projet'!$A$88,'Données projet'!$B$88,BD124+BC125-BL124)))</f>
        <v>218.80448717948767</v>
      </c>
      <c r="BE125" s="13">
        <f>BD125*VLOOKUP('Données projet'!$B$11,Paramètres!$A$1:$I$89,3,0)*VLOOKUP('Données projet'!$B$11,Paramètres!$A$1:$I$89,5,0)</f>
        <v>146.77405000000033</v>
      </c>
      <c r="BF125" s="13">
        <f t="shared" si="91"/>
        <v>37.844551869780702</v>
      </c>
      <c r="BG125" s="20">
        <f t="shared" si="61"/>
        <v>321.54406492320192</v>
      </c>
      <c r="BH125" s="59">
        <f t="shared" si="62"/>
        <v>604.03831080534371</v>
      </c>
      <c r="BI125" s="59">
        <f ca="1">AVERAGE(OFFSET($BH$3,0,0,'Données projet'!$E$11+1,1))-AVERAGE(OFFSET($H$3,0,0,'Données projet'!$E$11+1,1))</f>
        <v>332.21938212432008</v>
      </c>
      <c r="BJ125" s="59">
        <f t="shared" si="92"/>
        <v>237.47732529948181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92.507322770006496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92.507322770006496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3.8301282051282044</v>
      </c>
      <c r="BY125" s="12">
        <f>IF('Données projet'!$A$114&gt;35,BY124+BX125-CG124,IF(A125&lt;'Données projet'!$A$114,$BV$205^A125,IF(A125='Données projet'!$A$114,'Données projet'!$B$114,BY124+BX125-CG124)))</f>
        <v>218.80448717948767</v>
      </c>
      <c r="BZ125" s="13">
        <f>BY125*VLOOKUP('Données projet'!$B$12,Paramètres!$A$1:$I$89,3,0)*VLOOKUP('Données projet'!$B$12,Paramètres!$A$1:$I$89,5,0)</f>
        <v>208.21435000000048</v>
      </c>
      <c r="CA125" s="13">
        <f t="shared" si="93"/>
        <v>51.545182526283547</v>
      </c>
      <c r="CB125" s="20">
        <f t="shared" si="64"/>
        <v>452.41451914994468</v>
      </c>
      <c r="CC125" s="59">
        <f t="shared" si="65"/>
        <v>734.90876503208642</v>
      </c>
      <c r="CD125" s="59">
        <f ca="1">AVERAGE(OFFSET($CC$3,0,0,'Données projet'!$E$12+1,1))-AVERAGE(OFFSET($H$3,0,0,'Données projet'!$E$12+1,1))</f>
        <v>439.09551305860475</v>
      </c>
      <c r="CE125" s="59">
        <f t="shared" si="94"/>
        <v>311.31528017256846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106.47069224472448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106.47069224472448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3.8301282051282044</v>
      </c>
      <c r="CT125" s="12">
        <f>IF('Données projet'!$A$140&gt;35,CT124+CS125-DB124,IF(A125&lt;'Données projet'!$A$140,$CQ$205^A125,IF(A125='Données projet'!$A$140,'Données projet'!$B$140,CT124+CS125-DB124)))</f>
        <v>218.80448717948767</v>
      </c>
      <c r="CU125" s="17">
        <f>CT125*VLOOKUP('Données projet'!$B$13,Paramètres!$A$1:$I$89,3,0)*VLOOKUP('Données projet'!$B$13,Paramètres!$A$1:$I$89,5,0)</f>
        <v>211.62770000000046</v>
      </c>
      <c r="CV125" s="13">
        <f t="shared" si="95"/>
        <v>52.291119106337845</v>
      </c>
      <c r="CW125" s="20">
        <f t="shared" si="67"/>
        <v>459.65860994353926</v>
      </c>
      <c r="CX125" s="59">
        <f t="shared" si="68"/>
        <v>742.15285582568106</v>
      </c>
      <c r="CY125" s="59">
        <f ca="1">AVERAGE(OFFSET($CX$3,0,0,'Données projet'!$E$13+1,1))-AVERAGE(OFFSET($H$3,0,0,'Données projet'!$E$13+1,1))</f>
        <v>445.01146841309549</v>
      </c>
      <c r="CZ125" s="59">
        <f t="shared" si="96"/>
        <v>315.40159257508969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108.21611342906421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108.21611342906421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-1.1368683772161603E-13</v>
      </c>
      <c r="DP125" s="17">
        <f>DO125*VLOOKUP('Données projet'!$B$14,Paramètres!$A$1:$I$89,3,0)*VLOOKUP('Données projet'!$B$14,Paramètres!$A$1:$I$89,5,0)</f>
        <v>-6.3550942286383367E-14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349.00268383833668</v>
      </c>
      <c r="DU125" s="59">
        <f t="shared" si="98"/>
        <v>459.94854391583749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60.132861802353389</v>
      </c>
      <c r="EB125" s="21">
        <f>EXP(-LN(2)/25)*EB124+(1-EXP(-LN(2)/25))/(LN(2)/25)*Calculateur!DW125*Calculateur!DY125*VLOOKUP('Données projet'!$B$14,Paramètres!$A$1:$I$89,3,0)*0.475*44/12</f>
        <v>8.989178410000024</v>
      </c>
      <c r="EC125" s="21">
        <f>EXP(-LN(2)/2)*EC124+(1-EXP(-LN(2)/2))/(LN(2)/2)*DW125*DZ125*VLOOKUP('Données projet'!$B$14,Paramètres!$A$1:$I$89,3,0)*0.475*44/12</f>
        <v>2.8120923921795432E-9</v>
      </c>
      <c r="ED125" s="22">
        <f t="shared" si="72"/>
        <v>69.122040215165498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1.7053025658242404E-13</v>
      </c>
      <c r="EK125" s="17">
        <f>EJ125*VLOOKUP('Données projet'!$B$15,Paramètres!$A$1:$I$89,3,0)*VLOOKUP('Données projet'!$B$15,Paramètres!$A$1:$I$89,5,0)</f>
        <v>1.3301360013429075E-13</v>
      </c>
      <c r="EL125" s="13">
        <f t="shared" si="99"/>
        <v>1.9329766731057041E-12</v>
      </c>
      <c r="EM125" s="20">
        <f t="shared" si="73"/>
        <v>3.5982663925596575E-12</v>
      </c>
      <c r="EN125" s="59">
        <f t="shared" si="74"/>
        <v>282.49424588214538</v>
      </c>
      <c r="EO125" s="59">
        <f ca="1">AVERAGE(OFFSET($EN$3,0,0,'Données projet'!$E$15+1,1))-AVERAGE(OFFSET($H$3,0,0,'Données projet'!$E$15+1,1))</f>
        <v>308.82719216177946</v>
      </c>
      <c r="EP125" s="59">
        <f t="shared" si="100"/>
        <v>302.59481222418219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28.402434355177594</v>
      </c>
      <c r="EW125" s="21">
        <f>EXP(-LN(2)/25)*EW124+(1-EXP(-LN(2)/25))/(LN(2)/25)*Calculateur!ER125*Calculateur!ET125*VLOOKUP('Données projet'!$B$15,Paramètres!$A$1:$I$89,3,0)*0.475*44/12</f>
        <v>15.691394216868702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44.093828572046291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720.71189925537874</v>
      </c>
      <c r="S126" s="59">
        <f ca="1">AVERAGE(OFFSET($R$3,0,0,'Données projet'!$E$9+1,1))-AVERAGE(OFFSET($H$3,0,0,'Données projet'!$E$9+1,1))</f>
        <v>421.33534980160005</v>
      </c>
      <c r="T126" s="59">
        <f t="shared" si="88"/>
        <v>299.0473530693472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222.63461538461539</v>
      </c>
      <c r="AG126" s="12">
        <f>VLOOKUP(A126,'Données projet'!$A$61:$I$81,9,0)</f>
        <v>3.8301282051282044</v>
      </c>
      <c r="AH126" s="12">
        <f t="array" ref="AH126">INDEX(AG:AG,MIN(IF(ISNUMBER(AG126:AG322),ROW(AG126:AG322),"")))</f>
        <v>3.8301282051282044</v>
      </c>
      <c r="AI126" s="13">
        <f>IF('Données projet'!$A$62&gt;35,AI125+AH126-AQ125,IF(A126&lt;'Données projet'!$A$62,$AF$205^A126,IF(A126='Données projet'!$A$62,'Données projet'!$B$62,AI125+AH126-AQ125)))</f>
        <v>222.63461538461587</v>
      </c>
      <c r="AJ126" s="13">
        <f>AI126*VLOOKUP('Données projet'!$B$10,Paramètres!$A$1:$I$89,3,0)*VLOOKUP('Données projet'!$B$10,Paramètres!$A$1:$I$89,5,0)</f>
        <v>225.7515000000005</v>
      </c>
      <c r="AK126" s="13">
        <f t="shared" si="89"/>
        <v>55.363062072917565</v>
      </c>
      <c r="AL126" s="20">
        <f t="shared" si="58"/>
        <v>489.60786227699901</v>
      </c>
      <c r="AM126" s="59">
        <f t="shared" si="59"/>
        <v>772.29014209384968</v>
      </c>
      <c r="AN126" s="59">
        <f ca="1">AVERAGE(OFFSET($AM$3,0,0,'Données projet'!$E$10+1,1))-AVERAGE(OFFSET($H$3,0,0,'Données projet'!$E$10+1,1))</f>
        <v>462.74754756814662</v>
      </c>
      <c r="AO126" s="59">
        <f t="shared" si="90"/>
        <v>327.65191293226667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77.17307692307692</v>
      </c>
      <c r="AR126" s="16">
        <f>IF(ISNA(VLOOKUP(A126,'Données projet'!$A$61:$I$81,5,0)),0%,VLOOKUP(A126,'Données projet'!$A$61:$I$81,5,0)*VLOOKUP('Données projet'!$B$10,Paramètres!$A$1:$I$89,7,0))</f>
        <v>0.38700000000000001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144.70582556401243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144.70582556401243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222.63461538461539</v>
      </c>
      <c r="BB126" s="12">
        <f>VLOOKUP(A126,'Données projet'!$A$87:$I$107,9,0)</f>
        <v>3.8301282051282044</v>
      </c>
      <c r="BC126" s="12">
        <f t="array" ref="BC126">INDEX(BB:BB,MIN(IF(ISNUMBER(BB126:BB322),ROW(BB126:BB322),"")))</f>
        <v>3.8301282051282044</v>
      </c>
      <c r="BD126" s="12">
        <f>IF('Données projet'!$A$88&gt;35,BD125+BC126-BL125,IF(A126&lt;'Données projet'!$A$88,$BA$205^A126,IF(A126='Données projet'!$A$88,'Données projet'!$B$88,BD125+BC126-BL125)))</f>
        <v>222.63461538461587</v>
      </c>
      <c r="BE126" s="13">
        <f>BD126*VLOOKUP('Données projet'!$B$11,Paramètres!$A$1:$I$89,3,0)*VLOOKUP('Données projet'!$B$11,Paramètres!$A$1:$I$89,5,0)</f>
        <v>149.34330000000031</v>
      </c>
      <c r="BF126" s="13">
        <f t="shared" si="91"/>
        <v>38.429310101642066</v>
      </c>
      <c r="BG126" s="20">
        <f t="shared" si="61"/>
        <v>327.03729592702717</v>
      </c>
      <c r="BH126" s="59">
        <f t="shared" si="62"/>
        <v>609.71957574387784</v>
      </c>
      <c r="BI126" s="59">
        <f ca="1">AVERAGE(OFFSET($BH$3,0,0,'Données projet'!$E$11+1,1))-AVERAGE(OFFSET($H$3,0,0,'Données projet'!$E$11+1,1))</f>
        <v>332.21938212432008</v>
      </c>
      <c r="BJ126" s="59">
        <f t="shared" si="92"/>
        <v>237.47732529948181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77.17307692307692</v>
      </c>
      <c r="BM126" s="16">
        <f>IF(ISNA(VLOOKUP(A126,'Données projet'!$A$87:$I$107,5,0)),0%,VLOOKUP(A126,'Données projet'!$A$87:$I$107,5,0)*VLOOKUP('Données projet'!$B$11,Paramètres!$A$1:$I$89,7,0))</f>
        <v>0.47700000000000004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117.9909039214255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117.9909039214255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222.63461538461539</v>
      </c>
      <c r="BW126" s="12">
        <f>VLOOKUP(A126,'Données projet'!$A$113:$I$133,9,0)</f>
        <v>3.8301282051282044</v>
      </c>
      <c r="BX126" s="12">
        <f t="array" ref="BX126">INDEX(BW:BW,MIN(IF(ISNUMBER(BW126:BW322),ROW(BW126:BW322),"")))</f>
        <v>3.8301282051282044</v>
      </c>
      <c r="BY126" s="12">
        <f>IF('Données projet'!$A$114&gt;35,BY125+BX126-CG125,IF(A126&lt;'Données projet'!$A$114,$BV$205^A126,IF(A126='Données projet'!$A$114,'Données projet'!$B$114,BY125+BX126-CG125)))</f>
        <v>222.63461538461587</v>
      </c>
      <c r="BZ126" s="13">
        <f>BY126*VLOOKUP('Données projet'!$B$12,Paramètres!$A$1:$I$89,3,0)*VLOOKUP('Données projet'!$B$12,Paramètres!$A$1:$I$89,5,0)</f>
        <v>211.85910000000047</v>
      </c>
      <c r="CA126" s="13">
        <f t="shared" si="93"/>
        <v>52.341637188998398</v>
      </c>
      <c r="CB126" s="20">
        <f t="shared" si="64"/>
        <v>460.14961727083966</v>
      </c>
      <c r="CC126" s="59">
        <f t="shared" si="65"/>
        <v>742.83189708769032</v>
      </c>
      <c r="CD126" s="59">
        <f ca="1">AVERAGE(OFFSET($CC$3,0,0,'Données projet'!$E$12+1,1))-AVERAGE(OFFSET($H$3,0,0,'Données projet'!$E$12+1,1))</f>
        <v>439.09551305860475</v>
      </c>
      <c r="CE126" s="59">
        <f t="shared" si="94"/>
        <v>311.31528017256846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77.17307692307692</v>
      </c>
      <c r="CH126" s="16">
        <f>IF(ISNA(VLOOKUP(A126,'Données projet'!$A$113:$I$133,5,0)),0%,VLOOKUP(A126,'Données projet'!$A$113:$I$133,5,0)*VLOOKUP('Données projet'!$B$12,Paramètres!$A$1:$I$89,7,0))</f>
        <v>0.38700000000000001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135.80085168315014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135.80085168315014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222.63461538461539</v>
      </c>
      <c r="CR126" s="12">
        <f>VLOOKUP(A126,'Données projet'!$A$139:$I$159,9,0)</f>
        <v>3.8301282051282044</v>
      </c>
      <c r="CS126" s="12">
        <f t="array" ref="CS126">INDEX(CR:CR,MIN(IF(ISNUMBER(CR126:CR322),ROW(CR126:CR322),"")))</f>
        <v>3.8301282051282044</v>
      </c>
      <c r="CT126" s="12">
        <f>IF('Données projet'!$A$140&gt;35,CT125+CS126-DB125,IF(A126&lt;'Données projet'!$A$140,$CQ$205^A126,IF(A126='Données projet'!$A$140,'Données projet'!$B$140,CT125+CS126-DB125)))</f>
        <v>222.63461538461587</v>
      </c>
      <c r="CU126" s="17">
        <f>CT126*VLOOKUP('Données projet'!$B$13,Paramètres!$A$1:$I$89,3,0)*VLOOKUP('Données projet'!$B$13,Paramètres!$A$1:$I$89,5,0)</f>
        <v>215.33220000000048</v>
      </c>
      <c r="CV126" s="13">
        <f t="shared" si="95"/>
        <v>53.09909966998385</v>
      </c>
      <c r="CW126" s="20">
        <f t="shared" si="67"/>
        <v>467.51784692522273</v>
      </c>
      <c r="CX126" s="59">
        <f t="shared" si="68"/>
        <v>750.20012674207339</v>
      </c>
      <c r="CY126" s="59">
        <f ca="1">AVERAGE(OFFSET($CX$3,0,0,'Données projet'!$E$13+1,1))-AVERAGE(OFFSET($H$3,0,0,'Données projet'!$E$13+1,1))</f>
        <v>445.01146841309549</v>
      </c>
      <c r="CZ126" s="59">
        <f t="shared" si="96"/>
        <v>315.40159257508969</v>
      </c>
      <c r="DA126" s="15">
        <f>IF(ISNA(VLOOKUP(A126,'Données projet'!$A$139:$I$159,3,0)),0,VLOOKUP(A126,'Données projet'!$A$139:$I$159,3,0))</f>
        <v>12</v>
      </c>
      <c r="DB126" s="15">
        <f>IF(ISNA(VLOOKUP(A126,'Données projet'!$A$139:$I$159,4,0)),0,VLOOKUP(A126,'Données projet'!$A$139:$I$159,4,0))</f>
        <v>77.17307692307692</v>
      </c>
      <c r="DC126" s="16">
        <f>IF(ISNA(VLOOKUP(A126,'Données projet'!$A$139:$I$159,5,0)),0%,VLOOKUP(A126,'Données projet'!$A$139:$I$159,5,0)*VLOOKUP('Données projet'!$B$13,Paramètres!$A$1:$I$89,7,0))</f>
        <v>0.38700000000000001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138.02709515336571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138.02709515336571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-1.1368683772161603E-13</v>
      </c>
      <c r="DP126" s="17">
        <f>DO126*VLOOKUP('Données projet'!$B$14,Paramètres!$A$1:$I$89,3,0)*VLOOKUP('Données projet'!$B$14,Paramètres!$A$1:$I$89,5,0)</f>
        <v>-6.3550942286383367E-14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349.00268383833668</v>
      </c>
      <c r="DU126" s="59">
        <f t="shared" si="98"/>
        <v>459.94854391583749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58.953693059833341</v>
      </c>
      <c r="EB126" s="21">
        <f>EXP(-LN(2)/25)*EB125+(1-EXP(-LN(2)/25))/(LN(2)/25)*Calculateur!DW126*Calculateur!DY126*VLOOKUP('Données projet'!$B$14,Paramètres!$A$1:$I$89,3,0)*0.475*44/12</f>
        <v>8.7433688536582252</v>
      </c>
      <c r="EC126" s="21">
        <f>EXP(-LN(2)/2)*EC125+(1-EXP(-LN(2)/2))/(LN(2)/2)*DW126*DZ126*VLOOKUP('Données projet'!$B$14,Paramètres!$A$1:$I$89,3,0)*0.475*44/12</f>
        <v>1.9884495998332552E-9</v>
      </c>
      <c r="ED126" s="22">
        <f t="shared" si="72"/>
        <v>67.69706191548002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1.7053025658242404E-13</v>
      </c>
      <c r="EK126" s="17">
        <f>EJ126*VLOOKUP('Données projet'!$B$15,Paramètres!$A$1:$I$89,3,0)*VLOOKUP('Données projet'!$B$15,Paramètres!$A$1:$I$89,5,0)</f>
        <v>1.3301360013429075E-13</v>
      </c>
      <c r="EL126" s="13">
        <f t="shared" si="99"/>
        <v>1.9329766731057041E-12</v>
      </c>
      <c r="EM126" s="20">
        <f t="shared" si="73"/>
        <v>3.5982663925596575E-12</v>
      </c>
      <c r="EN126" s="59">
        <f t="shared" si="74"/>
        <v>282.68227981685425</v>
      </c>
      <c r="EO126" s="59">
        <f ca="1">AVERAGE(OFFSET($EN$3,0,0,'Données projet'!$E$15+1,1))-AVERAGE(OFFSET($H$3,0,0,'Données projet'!$E$15+1,1))</f>
        <v>308.82719216177946</v>
      </c>
      <c r="EP126" s="59">
        <f t="shared" si="100"/>
        <v>302.59481222418219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27.845479941246936</v>
      </c>
      <c r="EW126" s="21">
        <f>EXP(-LN(2)/25)*EW125+(1-EXP(-LN(2)/25))/(LN(2)/25)*Calculateur!ER126*Calculateur!ET126*VLOOKUP('Données projet'!$B$15,Paramètres!$A$1:$I$89,3,0)*0.475*44/12</f>
        <v>15.262312216833868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43.107792158080805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576.48107627318097</v>
      </c>
      <c r="S127" s="59">
        <f ca="1">AVERAGE(OFFSET($R$3,0,0,'Données projet'!$E$9+1,1))-AVERAGE(OFFSET($H$3,0,0,'Données projet'!$E$9+1,1))</f>
        <v>421.33534980160005</v>
      </c>
      <c r="T127" s="59">
        <f t="shared" si="88"/>
        <v>299.0473530693472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2.3349358974358978</v>
      </c>
      <c r="AI127" s="13">
        <f>IF('Données projet'!$A$62&gt;35,AI126+AH127-AQ126,IF(A127&lt;'Données projet'!$A$62,$AF$205^A127,IF(A127='Données projet'!$A$62,'Données projet'!$B$62,AI126+AH127-AQ126)))</f>
        <v>147.79647435897488</v>
      </c>
      <c r="AJ127" s="13">
        <f>AI127*VLOOKUP('Données projet'!$B$10,Paramètres!$A$1:$I$89,3,0)*VLOOKUP('Données projet'!$B$10,Paramètres!$A$1:$I$89,5,0)</f>
        <v>149.86562500000053</v>
      </c>
      <c r="AK127" s="13">
        <f t="shared" si="89"/>
        <v>38.54804682725306</v>
      </c>
      <c r="AL127" s="20">
        <f t="shared" si="58"/>
        <v>328.15381176580001</v>
      </c>
      <c r="AM127" s="59">
        <f t="shared" si="59"/>
        <v>611.02086354897335</v>
      </c>
      <c r="AN127" s="59">
        <f ca="1">AVERAGE(OFFSET($AM$3,0,0,'Données projet'!$E$10+1,1))-AVERAGE(OFFSET($H$3,0,0,'Données projet'!$E$10+1,1))</f>
        <v>462.74754756814662</v>
      </c>
      <c r="AO127" s="59">
        <f t="shared" si="90"/>
        <v>327.65191293226667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141.86823258654061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141.86823258654061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2.3349358974358978</v>
      </c>
      <c r="BD127" s="12">
        <f>IF('Données projet'!$A$88&gt;35,BD126+BC127-BL126,IF(A127&lt;'Données projet'!$A$88,$BA$205^A127,IF(A127='Données projet'!$A$88,'Données projet'!$B$88,BD126+BC127-BL126)))</f>
        <v>147.79647435897488</v>
      </c>
      <c r="BE127" s="13">
        <f>BD127*VLOOKUP('Données projet'!$B$11,Paramètres!$A$1:$I$89,3,0)*VLOOKUP('Données projet'!$B$11,Paramètres!$A$1:$I$89,5,0)</f>
        <v>99.141875000000354</v>
      </c>
      <c r="BF127" s="13">
        <f t="shared" si="91"/>
        <v>26.757458671379844</v>
      </c>
      <c r="BG127" s="20">
        <f t="shared" si="61"/>
        <v>219.27467281098714</v>
      </c>
      <c r="BH127" s="59">
        <f t="shared" si="62"/>
        <v>502.14172459416045</v>
      </c>
      <c r="BI127" s="59">
        <f ca="1">AVERAGE(OFFSET($BH$3,0,0,'Données projet'!$E$11+1,1))-AVERAGE(OFFSET($H$3,0,0,'Données projet'!$E$11+1,1))</f>
        <v>332.21938212432008</v>
      </c>
      <c r="BJ127" s="59">
        <f t="shared" si="92"/>
        <v>237.47732529948181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115.67717426287155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115.67717426287155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2.3349358974358978</v>
      </c>
      <c r="BY127" s="12">
        <f>IF('Données projet'!$A$114&gt;35,BY126+BX127-CG126,IF(A127&lt;'Données projet'!$A$114,$BV$205^A127,IF(A127='Données projet'!$A$114,'Données projet'!$B$114,BY126+BX127-CG126)))</f>
        <v>147.79647435897488</v>
      </c>
      <c r="BZ127" s="13">
        <f>BY127*VLOOKUP('Données projet'!$B$12,Paramètres!$A$1:$I$89,3,0)*VLOOKUP('Données projet'!$B$12,Paramètres!$A$1:$I$89,5,0)</f>
        <v>140.64312500000051</v>
      </c>
      <c r="CA127" s="13">
        <f t="shared" si="93"/>
        <v>36.444297078784672</v>
      </c>
      <c r="CB127" s="20">
        <f t="shared" si="64"/>
        <v>308.4272601205509</v>
      </c>
      <c r="CC127" s="59">
        <f t="shared" si="65"/>
        <v>591.29431190372429</v>
      </c>
      <c r="CD127" s="59">
        <f ca="1">AVERAGE(OFFSET($CC$3,0,0,'Données projet'!$E$12+1,1))-AVERAGE(OFFSET($H$3,0,0,'Données projet'!$E$12+1,1))</f>
        <v>439.09551305860475</v>
      </c>
      <c r="CE127" s="59">
        <f t="shared" si="94"/>
        <v>311.31528017256846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133.13787981198428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133.13787981198428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2.3349358974358978</v>
      </c>
      <c r="CT127" s="12">
        <f>IF('Données projet'!$A$140&gt;35,CT126+CS127-DB126,IF(A127&lt;'Données projet'!$A$140,$CQ$205^A127,IF(A127='Données projet'!$A$140,'Données projet'!$B$140,CT126+CS127-DB126)))</f>
        <v>147.79647435897488</v>
      </c>
      <c r="CU127" s="17">
        <f>CT127*VLOOKUP('Données projet'!$B$13,Paramètres!$A$1:$I$89,3,0)*VLOOKUP('Données projet'!$B$13,Paramètres!$A$1:$I$89,5,0)</f>
        <v>142.9487500000005</v>
      </c>
      <c r="CV127" s="13">
        <f t="shared" si="95"/>
        <v>36.97170105706271</v>
      </c>
      <c r="CW127" s="20">
        <f t="shared" si="67"/>
        <v>313.36145225771844</v>
      </c>
      <c r="CX127" s="59">
        <f t="shared" si="68"/>
        <v>596.22850404089172</v>
      </c>
      <c r="CY127" s="59">
        <f ca="1">AVERAGE(OFFSET($CX$3,0,0,'Données projet'!$E$13+1,1))-AVERAGE(OFFSET($H$3,0,0,'Données projet'!$E$13+1,1))</f>
        <v>445.01146841309549</v>
      </c>
      <c r="CZ127" s="59">
        <f t="shared" si="96"/>
        <v>315.40159257508969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135.32046800562335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135.32046800562335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-1.1368683772161603E-13</v>
      </c>
      <c r="DP127" s="17">
        <f>DO127*VLOOKUP('Données projet'!$B$14,Paramètres!$A$1:$I$89,3,0)*VLOOKUP('Données projet'!$B$14,Paramètres!$A$1:$I$89,5,0)</f>
        <v>-6.3550942286383367E-14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349.00268383833668</v>
      </c>
      <c r="DU127" s="59">
        <f t="shared" si="98"/>
        <v>459.94854391583749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57.797647097132199</v>
      </c>
      <c r="EB127" s="21">
        <f>EXP(-LN(2)/25)*EB126+(1-EXP(-LN(2)/25))/(LN(2)/25)*Calculateur!DW127*Calculateur!DY127*VLOOKUP('Données projet'!$B$14,Paramètres!$A$1:$I$89,3,0)*0.475*44/12</f>
        <v>8.5042809725611566</v>
      </c>
      <c r="EC127" s="21">
        <f>EXP(-LN(2)/2)*EC126+(1-EXP(-LN(2)/2))/(LN(2)/2)*DW127*DZ127*VLOOKUP('Données projet'!$B$14,Paramètres!$A$1:$I$89,3,0)*0.475*44/12</f>
        <v>1.4060461960897716E-9</v>
      </c>
      <c r="ED127" s="22">
        <f t="shared" si="72"/>
        <v>66.301928071099411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1.7053025658242404E-13</v>
      </c>
      <c r="EK127" s="17">
        <f>EJ127*VLOOKUP('Données projet'!$B$15,Paramètres!$A$1:$I$89,3,0)*VLOOKUP('Données projet'!$B$15,Paramètres!$A$1:$I$89,5,0)</f>
        <v>1.3301360013429075E-13</v>
      </c>
      <c r="EL127" s="13">
        <f t="shared" si="99"/>
        <v>1.9329766731057041E-12</v>
      </c>
      <c r="EM127" s="20">
        <f t="shared" si="73"/>
        <v>3.5982663925596575E-12</v>
      </c>
      <c r="EN127" s="59">
        <f t="shared" si="74"/>
        <v>282.86705178317692</v>
      </c>
      <c r="EO127" s="59">
        <f ca="1">AVERAGE(OFFSET($EN$3,0,0,'Données projet'!$E$15+1,1))-AVERAGE(OFFSET($H$3,0,0,'Données projet'!$E$15+1,1))</f>
        <v>308.82719216177946</v>
      </c>
      <c r="EP127" s="59">
        <f t="shared" si="100"/>
        <v>302.59481222418219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27.299447063664811</v>
      </c>
      <c r="EW127" s="21">
        <f>EXP(-LN(2)/25)*EW126+(1-EXP(-LN(2)/25))/(LN(2)/25)*Calculateur!ER127*Calculateur!ET127*VLOOKUP('Données projet'!$B$15,Paramètres!$A$1:$I$89,3,0)*0.475*44/12</f>
        <v>14.844963486654429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42.144410550319236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581.1888398808785</v>
      </c>
      <c r="S128" s="59">
        <f ca="1">AVERAGE(OFFSET($R$3,0,0,'Données projet'!$E$9+1,1))-AVERAGE(OFFSET($H$3,0,0,'Données projet'!$E$9+1,1))</f>
        <v>421.33534980160005</v>
      </c>
      <c r="T128" s="59">
        <f t="shared" si="88"/>
        <v>299.0473530693472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2.3349358974358978</v>
      </c>
      <c r="AI128" s="13">
        <f>IF('Données projet'!$A$62&gt;35,AI127+AH128-AQ127,IF(A128&lt;'Données projet'!$A$62,$AF$205^A128,IF(A128='Données projet'!$A$62,'Données projet'!$B$62,AI127+AH128-AQ127)))</f>
        <v>150.13141025641079</v>
      </c>
      <c r="AJ128" s="13">
        <f>AI128*VLOOKUP('Données projet'!$B$10,Paramètres!$A$1:$I$89,3,0)*VLOOKUP('Données projet'!$B$10,Paramètres!$A$1:$I$89,5,0)</f>
        <v>152.23325000000054</v>
      </c>
      <c r="AK128" s="13">
        <f t="shared" si="89"/>
        <v>39.08566235307034</v>
      </c>
      <c r="AL128" s="20">
        <f t="shared" si="58"/>
        <v>333.21377234826514</v>
      </c>
      <c r="AM128" s="59">
        <f t="shared" si="59"/>
        <v>616.26239071723364</v>
      </c>
      <c r="AN128" s="59">
        <f ca="1">AVERAGE(OFFSET($AM$3,0,0,'Données projet'!$E$10+1,1))-AVERAGE(OFFSET($H$3,0,0,'Données projet'!$E$10+1,1))</f>
        <v>462.74754756814662</v>
      </c>
      <c r="AO128" s="59">
        <f t="shared" si="90"/>
        <v>327.65191293226667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139.0862830765962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139.0862830765962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2.3349358974358978</v>
      </c>
      <c r="BD128" s="12">
        <f>IF('Données projet'!$A$88&gt;35,BD127+BC128-BL127,IF(A128&lt;'Données projet'!$A$88,$BA$205^A128,IF(A128='Données projet'!$A$88,'Données projet'!$B$88,BD127+BC128-BL127)))</f>
        <v>150.13141025641079</v>
      </c>
      <c r="BE128" s="13">
        <f>BD128*VLOOKUP('Données projet'!$B$11,Paramètres!$A$1:$I$89,3,0)*VLOOKUP('Données projet'!$B$11,Paramètres!$A$1:$I$89,5,0)</f>
        <v>100.70815000000034</v>
      </c>
      <c r="BF128" s="13">
        <f t="shared" si="91"/>
        <v>27.130635171803128</v>
      </c>
      <c r="BG128" s="20">
        <f t="shared" si="61"/>
        <v>222.652550840891</v>
      </c>
      <c r="BH128" s="59">
        <f t="shared" si="62"/>
        <v>505.70116920985947</v>
      </c>
      <c r="BI128" s="59">
        <f ca="1">AVERAGE(OFFSET($BH$3,0,0,'Données projet'!$E$11+1,1))-AVERAGE(OFFSET($H$3,0,0,'Données projet'!$E$11+1,1))</f>
        <v>332.21938212432008</v>
      </c>
      <c r="BJ128" s="59">
        <f t="shared" si="92"/>
        <v>237.47732529948181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113.40881543168609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113.40881543168609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2.3349358974358978</v>
      </c>
      <c r="BY128" s="12">
        <f>IF('Données projet'!$A$114&gt;35,BY127+BX128-CG127,IF(A128&lt;'Données projet'!$A$114,$BV$205^A128,IF(A128='Données projet'!$A$114,'Données projet'!$B$114,BY127+BX128-CG127)))</f>
        <v>150.13141025641079</v>
      </c>
      <c r="BZ128" s="13">
        <f>BY128*VLOOKUP('Données projet'!$B$12,Paramètres!$A$1:$I$89,3,0)*VLOOKUP('Données projet'!$B$12,Paramètres!$A$1:$I$89,5,0)</f>
        <v>142.86505000000051</v>
      </c>
      <c r="CA128" s="13">
        <f t="shared" si="93"/>
        <v>36.952572375451552</v>
      </c>
      <c r="CB128" s="20">
        <f t="shared" si="64"/>
        <v>313.18235897057895</v>
      </c>
      <c r="CC128" s="59">
        <f t="shared" si="65"/>
        <v>596.23097733954751</v>
      </c>
      <c r="CD128" s="59">
        <f ca="1">AVERAGE(OFFSET($CC$3,0,0,'Données projet'!$E$12+1,1))-AVERAGE(OFFSET($H$3,0,0,'Données projet'!$E$12+1,1))</f>
        <v>439.09551305860475</v>
      </c>
      <c r="CE128" s="59">
        <f t="shared" si="94"/>
        <v>311.31528017256846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130.52712719495952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130.52712719495952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2.3349358974358978</v>
      </c>
      <c r="CT128" s="12">
        <f>IF('Données projet'!$A$140&gt;35,CT127+CS128-DB127,IF(A128&lt;'Données projet'!$A$140,$CQ$205^A128,IF(A128='Données projet'!$A$140,'Données projet'!$B$140,CT127+CS128-DB127)))</f>
        <v>150.13141025641079</v>
      </c>
      <c r="CU128" s="17">
        <f>CT128*VLOOKUP('Données projet'!$B$13,Paramètres!$A$1:$I$89,3,0)*VLOOKUP('Données projet'!$B$13,Paramètres!$A$1:$I$89,5,0)</f>
        <v>145.20710000000051</v>
      </c>
      <c r="CV128" s="13">
        <f t="shared" si="95"/>
        <v>37.487331864330997</v>
      </c>
      <c r="CW128" s="20">
        <f t="shared" si="67"/>
        <v>318.19280216371067</v>
      </c>
      <c r="CX128" s="59">
        <f t="shared" si="68"/>
        <v>601.24142053267917</v>
      </c>
      <c r="CY128" s="59">
        <f ca="1">AVERAGE(OFFSET($CX$3,0,0,'Données projet'!$E$13+1,1))-AVERAGE(OFFSET($H$3,0,0,'Données projet'!$E$13+1,1))</f>
        <v>445.01146841309549</v>
      </c>
      <c r="CZ128" s="59">
        <f t="shared" si="96"/>
        <v>315.40159257508969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132.66691616536869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132.66691616536869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-1.1368683772161603E-13</v>
      </c>
      <c r="DP128" s="17">
        <f>DO128*VLOOKUP('Données projet'!$B$14,Paramètres!$A$1:$I$89,3,0)*VLOOKUP('Données projet'!$B$14,Paramètres!$A$1:$I$89,5,0)</f>
        <v>-6.3550942286383367E-14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349.00268383833668</v>
      </c>
      <c r="DU128" s="59">
        <f t="shared" si="98"/>
        <v>459.94854391583749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56.664270490641215</v>
      </c>
      <c r="EB128" s="21">
        <f>EXP(-LN(2)/25)*EB127+(1-EXP(-LN(2)/25))/(LN(2)/25)*Calculateur!DW128*Calculateur!DY128*VLOOKUP('Données projet'!$B$14,Paramètres!$A$1:$I$89,3,0)*0.475*44/12</f>
        <v>8.2717309621457726</v>
      </c>
      <c r="EC128" s="21">
        <f>EXP(-LN(2)/2)*EC127+(1-EXP(-LN(2)/2))/(LN(2)/2)*DW128*DZ128*VLOOKUP('Données projet'!$B$14,Paramètres!$A$1:$I$89,3,0)*0.475*44/12</f>
        <v>9.9422479991662762E-10</v>
      </c>
      <c r="ED128" s="22">
        <f t="shared" si="72"/>
        <v>64.936001453781202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1.7053025658242404E-13</v>
      </c>
      <c r="EK128" s="17">
        <f>EJ128*VLOOKUP('Données projet'!$B$15,Paramètres!$A$1:$I$89,3,0)*VLOOKUP('Données projet'!$B$15,Paramètres!$A$1:$I$89,5,0)</f>
        <v>1.3301360013429075E-13</v>
      </c>
      <c r="EL128" s="13">
        <f t="shared" si="99"/>
        <v>1.9329766731057041E-12</v>
      </c>
      <c r="EM128" s="20">
        <f t="shared" si="73"/>
        <v>3.5982663925596575E-12</v>
      </c>
      <c r="EN128" s="59">
        <f t="shared" si="74"/>
        <v>283.04861836897209</v>
      </c>
      <c r="EO128" s="59">
        <f ca="1">AVERAGE(OFFSET($EN$3,0,0,'Données projet'!$E$15+1,1))-AVERAGE(OFFSET($H$3,0,0,'Données projet'!$E$15+1,1))</f>
        <v>308.82719216177946</v>
      </c>
      <c r="EP128" s="59">
        <f t="shared" si="100"/>
        <v>302.59481222418219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26.764121557764902</v>
      </c>
      <c r="EW128" s="21">
        <f>EXP(-LN(2)/25)*EW127+(1-EXP(-LN(2)/25))/(LN(2)/25)*Calculateur!ER128*Calculateur!ET128*VLOOKUP('Données projet'!$B$15,Paramètres!$A$1:$I$89,3,0)*0.475*44/12</f>
        <v>14.439027179449162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41.203148737214065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585.89192229739626</v>
      </c>
      <c r="S129" s="59">
        <f ca="1">AVERAGE(OFFSET($R$3,0,0,'Données projet'!$E$9+1,1))-AVERAGE(OFFSET($H$3,0,0,'Données projet'!$E$9+1,1))</f>
        <v>421.33534980160005</v>
      </c>
      <c r="T129" s="59">
        <f t="shared" si="88"/>
        <v>299.0473530693472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2.3349358974358978</v>
      </c>
      <c r="AI129" s="13">
        <f>IF('Données projet'!$A$62&gt;35,AI128+AH129-AQ128,IF(A129&lt;'Données projet'!$A$62,$AF$205^A129,IF(A129='Données projet'!$A$62,'Données projet'!$B$62,AI128+AH129-AQ128)))</f>
        <v>152.4663461538467</v>
      </c>
      <c r="AJ129" s="13">
        <f>AI129*VLOOKUP('Données projet'!$B$10,Paramètres!$A$1:$I$89,3,0)*VLOOKUP('Données projet'!$B$10,Paramètres!$A$1:$I$89,5,0)</f>
        <v>154.60087500000057</v>
      </c>
      <c r="AK129" s="13">
        <f t="shared" si="89"/>
        <v>39.622305459420097</v>
      </c>
      <c r="AL129" s="20">
        <f t="shared" si="58"/>
        <v>338.27203930015764</v>
      </c>
      <c r="AM129" s="59">
        <f t="shared" si="59"/>
        <v>621.49907448057979</v>
      </c>
      <c r="AN129" s="59">
        <f ca="1">AVERAGE(OFFSET($AM$3,0,0,'Données projet'!$E$10+1,1))-AVERAGE(OFFSET($H$3,0,0,'Données projet'!$E$10+1,1))</f>
        <v>462.74754756814662</v>
      </c>
      <c r="AO129" s="59">
        <f t="shared" si="90"/>
        <v>327.65191293226667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136.35888589972015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136.35888589972015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2.3349358974358978</v>
      </c>
      <c r="BD129" s="12">
        <f>IF('Données projet'!$A$88&gt;35,BD128+BC129-BL128,IF(A129&lt;'Données projet'!$A$88,$BA$205^A129,IF(A129='Données projet'!$A$88,'Données projet'!$B$88,BD128+BC129-BL128)))</f>
        <v>152.4663461538467</v>
      </c>
      <c r="BE129" s="13">
        <f>BD129*VLOOKUP('Données projet'!$B$11,Paramètres!$A$1:$I$89,3,0)*VLOOKUP('Données projet'!$B$11,Paramètres!$A$1:$I$89,5,0)</f>
        <v>102.27442500000038</v>
      </c>
      <c r="BF129" s="13">
        <f t="shared" si="91"/>
        <v>27.503136684105009</v>
      </c>
      <c r="BG129" s="20">
        <f t="shared" si="61"/>
        <v>226.02925326648355</v>
      </c>
      <c r="BH129" s="59">
        <f t="shared" si="62"/>
        <v>509.25628844690573</v>
      </c>
      <c r="BI129" s="59">
        <f ca="1">AVERAGE(OFFSET($BH$3,0,0,'Données projet'!$E$11+1,1))-AVERAGE(OFFSET($H$3,0,0,'Données projet'!$E$11+1,1))</f>
        <v>332.21938212432008</v>
      </c>
      <c r="BJ129" s="59">
        <f t="shared" si="92"/>
        <v>237.47732529948181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111.18493773361791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111.18493773361791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2.3349358974358978</v>
      </c>
      <c r="BY129" s="12">
        <f>IF('Données projet'!$A$114&gt;35,BY128+BX129-CG128,IF(A129&lt;'Données projet'!$A$114,$BV$205^A129,IF(A129='Données projet'!$A$114,'Données projet'!$B$114,BY128+BX129-CG128)))</f>
        <v>152.4663461538467</v>
      </c>
      <c r="BZ129" s="13">
        <f>BY129*VLOOKUP('Données projet'!$B$12,Paramètres!$A$1:$I$89,3,0)*VLOOKUP('Données projet'!$B$12,Paramètres!$A$1:$I$89,5,0)</f>
        <v>145.08697500000051</v>
      </c>
      <c r="CA129" s="13">
        <f t="shared" si="93"/>
        <v>37.459928322193456</v>
      </c>
      <c r="CB129" s="20">
        <f t="shared" si="64"/>
        <v>317.93585661948782</v>
      </c>
      <c r="CC129" s="59">
        <f t="shared" si="65"/>
        <v>601.16289179991008</v>
      </c>
      <c r="CD129" s="59">
        <f ca="1">AVERAGE(OFFSET($CC$3,0,0,'Données projet'!$E$12+1,1))-AVERAGE(OFFSET($H$3,0,0,'Données projet'!$E$12+1,1))</f>
        <v>439.09551305860475</v>
      </c>
      <c r="CE129" s="59">
        <f t="shared" si="94"/>
        <v>311.31528017256846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127.96756984435275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127.96756984435275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2.3349358974358978</v>
      </c>
      <c r="CT129" s="12">
        <f>IF('Données projet'!$A$140&gt;35,CT128+CS129-DB128,IF(A129&lt;'Données projet'!$A$140,$CQ$205^A129,IF(A129='Données projet'!$A$140,'Données projet'!$B$140,CT128+CS129-DB128)))</f>
        <v>152.4663461538467</v>
      </c>
      <c r="CU129" s="17">
        <f>CT129*VLOOKUP('Données projet'!$B$13,Paramètres!$A$1:$I$89,3,0)*VLOOKUP('Données projet'!$B$13,Paramètres!$A$1:$I$89,5,0)</f>
        <v>147.46545000000052</v>
      </c>
      <c r="CV129" s="13">
        <f t="shared" si="95"/>
        <v>38.002030017293436</v>
      </c>
      <c r="CW129" s="20">
        <f t="shared" si="67"/>
        <v>323.02252769678699</v>
      </c>
      <c r="CX129" s="59">
        <f t="shared" si="68"/>
        <v>606.2495628772092</v>
      </c>
      <c r="CY129" s="59">
        <f ca="1">AVERAGE(OFFSET($CX$3,0,0,'Données projet'!$E$13+1,1))-AVERAGE(OFFSET($H$3,0,0,'Données projet'!$E$13+1,1))</f>
        <v>445.01146841309549</v>
      </c>
      <c r="CZ129" s="59">
        <f t="shared" si="96"/>
        <v>315.40159257508969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130.06539885819461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130.06539885819461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-1.1368683772161603E-13</v>
      </c>
      <c r="DP129" s="17">
        <f>DO129*VLOOKUP('Données projet'!$B$14,Paramètres!$A$1:$I$89,3,0)*VLOOKUP('Données projet'!$B$14,Paramètres!$A$1:$I$89,5,0)</f>
        <v>-6.3550942286383367E-14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349.00268383833668</v>
      </c>
      <c r="DU129" s="59">
        <f t="shared" si="98"/>
        <v>459.94854391583749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55.553118708112045</v>
      </c>
      <c r="EB129" s="21">
        <f>EXP(-LN(2)/25)*EB128+(1-EXP(-LN(2)/25))/(LN(2)/25)*Calculateur!DW129*Calculateur!DY129*VLOOKUP('Données projet'!$B$14,Paramètres!$A$1:$I$89,3,0)*0.475*44/12</f>
        <v>8.0455400439944711</v>
      </c>
      <c r="EC129" s="21">
        <f>EXP(-LN(2)/2)*EC128+(1-EXP(-LN(2)/2))/(LN(2)/2)*DW129*DZ129*VLOOKUP('Données projet'!$B$14,Paramètres!$A$1:$I$89,3,0)*0.475*44/12</f>
        <v>7.030230980448858E-10</v>
      </c>
      <c r="ED129" s="22">
        <f t="shared" si="72"/>
        <v>63.598658752809541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1.7053025658242404E-13</v>
      </c>
      <c r="EK129" s="17">
        <f>EJ129*VLOOKUP('Données projet'!$B$15,Paramètres!$A$1:$I$89,3,0)*VLOOKUP('Données projet'!$B$15,Paramètres!$A$1:$I$89,5,0)</f>
        <v>1.3301360013429075E-13</v>
      </c>
      <c r="EL129" s="13">
        <f t="shared" si="99"/>
        <v>1.9329766731057041E-12</v>
      </c>
      <c r="EM129" s="20">
        <f t="shared" si="73"/>
        <v>3.5982663925596575E-12</v>
      </c>
      <c r="EN129" s="59">
        <f t="shared" si="74"/>
        <v>283.22703518042579</v>
      </c>
      <c r="EO129" s="59">
        <f ca="1">AVERAGE(OFFSET($EN$3,0,0,'Données projet'!$E$15+1,1))-AVERAGE(OFFSET($H$3,0,0,'Données projet'!$E$15+1,1))</f>
        <v>308.82719216177946</v>
      </c>
      <c r="EP129" s="59">
        <f t="shared" si="100"/>
        <v>302.59481222418219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26.239293458519374</v>
      </c>
      <c r="EW129" s="21">
        <f>EXP(-LN(2)/25)*EW128+(1-EXP(-LN(2)/25))/(LN(2)/25)*Calculateur!ER129*Calculateur!ET129*VLOOKUP('Données projet'!$B$15,Paramètres!$A$1:$I$89,3,0)*0.475*44/12</f>
        <v>14.044191221911687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40.283484680431059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590.59040432570123</v>
      </c>
      <c r="S130" s="59">
        <f ca="1">AVERAGE(OFFSET($R$3,0,0,'Données projet'!$E$9+1,1))-AVERAGE(OFFSET($H$3,0,0,'Données projet'!$E$9+1,1))</f>
        <v>421.33534980160005</v>
      </c>
      <c r="T130" s="59">
        <f t="shared" si="88"/>
        <v>299.0473530693472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154.80128205128204</v>
      </c>
      <c r="AG130" s="12">
        <f>VLOOKUP(A130,'Données projet'!$A$61:$I$81,9,0)</f>
        <v>2.3349358974358978</v>
      </c>
      <c r="AH130" s="12">
        <f t="array" ref="AH130">INDEX(AG:AG,MIN(IF(ISNUMBER(AG130:AG326),ROW(AG130:AG326),"")))</f>
        <v>2.3349358974358978</v>
      </c>
      <c r="AI130" s="13">
        <f>IF('Données projet'!$A$62&gt;35,AI129+AH130-AQ129,IF(A130&lt;'Données projet'!$A$62,$AF$205^A130,IF(A130='Données projet'!$A$62,'Données projet'!$B$62,AI129+AH130-AQ129)))</f>
        <v>154.80128205128261</v>
      </c>
      <c r="AJ130" s="13">
        <f>AI130*VLOOKUP('Données projet'!$B$10,Paramètres!$A$1:$I$89,3,0)*VLOOKUP('Données projet'!$B$10,Paramètres!$A$1:$I$89,5,0)</f>
        <v>156.96850000000057</v>
      </c>
      <c r="AK130" s="13">
        <f t="shared" si="89"/>
        <v>40.157992758290085</v>
      </c>
      <c r="AL130" s="20">
        <f t="shared" si="58"/>
        <v>343.32864155402285</v>
      </c>
      <c r="AM130" s="59">
        <f t="shared" si="59"/>
        <v>626.73099841310022</v>
      </c>
      <c r="AN130" s="59">
        <f ca="1">AVERAGE(OFFSET($AM$3,0,0,'Données projet'!$E$10+1,1))-AVERAGE(OFFSET($H$3,0,0,'Données projet'!$E$10+1,1))</f>
        <v>462.74754756814662</v>
      </c>
      <c r="AO130" s="59">
        <f t="shared" si="90"/>
        <v>327.65191293226667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49.916666666666671</v>
      </c>
      <c r="AR130" s="16">
        <f>IF(ISNA(VLOOKUP(A130,'Données projet'!$A$61:$I$81,5,0)),0%,VLOOKUP(A130,'Données projet'!$A$61:$I$81,5,0)*VLOOKUP('Données projet'!$B$10,Paramètres!$A$1:$I$89,7,0))</f>
        <v>0.38700000000000001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155.33914454809639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155.33914454809639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154.80128205128204</v>
      </c>
      <c r="BB130" s="12">
        <f>VLOOKUP(A130,'Données projet'!$A$87:$I$107,9,0)</f>
        <v>2.3349358974358978</v>
      </c>
      <c r="BC130" s="12">
        <f t="array" ref="BC130">INDEX(BB:BB,MIN(IF(ISNUMBER(BB130:BB326),ROW(BB130:BB326),"")))</f>
        <v>2.3349358974358978</v>
      </c>
      <c r="BD130" s="12">
        <f>IF('Données projet'!$A$88&gt;35,BD129+BC130-BL129,IF(A130&lt;'Données projet'!$A$88,$BA$205^A130,IF(A130='Données projet'!$A$88,'Données projet'!$B$88,BD129+BC130-BL129)))</f>
        <v>154.80128205128261</v>
      </c>
      <c r="BE130" s="13">
        <f>BD130*VLOOKUP('Données projet'!$B$11,Paramètres!$A$1:$I$89,3,0)*VLOOKUP('Données projet'!$B$11,Paramètres!$A$1:$I$89,5,0)</f>
        <v>103.84070000000038</v>
      </c>
      <c r="BF130" s="13">
        <f t="shared" si="91"/>
        <v>27.874974739208824</v>
      </c>
      <c r="BG130" s="20">
        <f t="shared" si="61"/>
        <v>229.40480017078934</v>
      </c>
      <c r="BH130" s="59">
        <f t="shared" si="62"/>
        <v>512.80715702986674</v>
      </c>
      <c r="BI130" s="59">
        <f ca="1">AVERAGE(OFFSET($BH$3,0,0,'Données projet'!$E$11+1,1))-AVERAGE(OFFSET($H$3,0,0,'Données projet'!$E$11+1,1))</f>
        <v>332.21938212432008</v>
      </c>
      <c r="BJ130" s="59">
        <f t="shared" si="92"/>
        <v>237.47732529948181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49.916666666666671</v>
      </c>
      <c r="BM130" s="16">
        <f>IF(ISNA(VLOOKUP(A130,'Données projet'!$A$87:$I$107,5,0)),0%,VLOOKUP(A130,'Données projet'!$A$87:$I$107,5,0)*VLOOKUP('Données projet'!$B$11,Paramètres!$A$1:$I$89,7,0))</f>
        <v>0.47700000000000004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126.6611486315247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126.6611486315247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154.80128205128204</v>
      </c>
      <c r="BW130" s="12">
        <f>VLOOKUP(A130,'Données projet'!$A$113:$I$133,9,0)</f>
        <v>2.3349358974358978</v>
      </c>
      <c r="BX130" s="12">
        <f t="array" ref="BX130">INDEX(BW:BW,MIN(IF(ISNUMBER(BW130:BW326),ROW(BW130:BW326),"")))</f>
        <v>2.3349358974358978</v>
      </c>
      <c r="BY130" s="12">
        <f>IF('Données projet'!$A$114&gt;35,BY129+BX130-CG129,IF(A130&lt;'Données projet'!$A$114,$BV$205^A130,IF(A130='Données projet'!$A$114,'Données projet'!$B$114,BY129+BX130-CG129)))</f>
        <v>154.80128205128261</v>
      </c>
      <c r="BZ130" s="13">
        <f>BY130*VLOOKUP('Données projet'!$B$12,Paramètres!$A$1:$I$89,3,0)*VLOOKUP('Données projet'!$B$12,Paramètres!$A$1:$I$89,5,0)</f>
        <v>147.30890000000053</v>
      </c>
      <c r="CA130" s="13">
        <f t="shared" si="93"/>
        <v>37.966380624403151</v>
      </c>
      <c r="CB130" s="20">
        <f t="shared" si="64"/>
        <v>322.68778042083636</v>
      </c>
      <c r="CC130" s="59">
        <f t="shared" si="65"/>
        <v>606.09013727991373</v>
      </c>
      <c r="CD130" s="59">
        <f ca="1">AVERAGE(OFFSET($CC$3,0,0,'Données projet'!$E$12+1,1))-AVERAGE(OFFSET($H$3,0,0,'Données projet'!$E$12+1,1))</f>
        <v>439.09551305860475</v>
      </c>
      <c r="CE130" s="59">
        <f t="shared" si="94"/>
        <v>311.31528017256846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49.916666666666671</v>
      </c>
      <c r="CH130" s="16">
        <f>IF(ISNA(VLOOKUP(A130,'Données projet'!$A$113:$I$133,5,0)),0%,VLOOKUP(A130,'Données projet'!$A$113:$I$133,5,0)*VLOOKUP('Données projet'!$B$12,Paramètres!$A$1:$I$89,7,0))</f>
        <v>0.38700000000000001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145.77981257590585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145.77981257590585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154.80128205128204</v>
      </c>
      <c r="CR130" s="12">
        <f>VLOOKUP(A130,'Données projet'!$A$139:$I$159,9,0)</f>
        <v>2.3349358974358978</v>
      </c>
      <c r="CS130" s="12">
        <f t="array" ref="CS130">INDEX(CR:CR,MIN(IF(ISNUMBER(CR130:CR326),ROW(CR130:CR326),"")))</f>
        <v>2.3349358974358978</v>
      </c>
      <c r="CT130" s="12">
        <f>IF('Données projet'!$A$140&gt;35,CT129+CS130-DB129,IF(A130&lt;'Données projet'!$A$140,$CQ$205^A130,IF(A130='Données projet'!$A$140,'Données projet'!$B$140,CT129+CS130-DB129)))</f>
        <v>154.80128205128261</v>
      </c>
      <c r="CU130" s="17">
        <f>CT130*VLOOKUP('Données projet'!$B$13,Paramètres!$A$1:$I$89,3,0)*VLOOKUP('Données projet'!$B$13,Paramètres!$A$1:$I$89,5,0)</f>
        <v>149.72380000000055</v>
      </c>
      <c r="CV130" s="13">
        <f t="shared" si="95"/>
        <v>38.515811448623552</v>
      </c>
      <c r="CW130" s="20">
        <f t="shared" si="67"/>
        <v>327.8506566063536</v>
      </c>
      <c r="CX130" s="59">
        <f t="shared" si="68"/>
        <v>611.25301346543097</v>
      </c>
      <c r="CY130" s="59">
        <f ca="1">AVERAGE(OFFSET($CX$3,0,0,'Données projet'!$E$13+1,1))-AVERAGE(OFFSET($H$3,0,0,'Données projet'!$E$13+1,1))</f>
        <v>445.01146841309549</v>
      </c>
      <c r="CZ130" s="59">
        <f t="shared" si="96"/>
        <v>315.40159257508969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49.916666666666671</v>
      </c>
      <c r="DC130" s="16">
        <f>IF(ISNA(VLOOKUP(A130,'Données projet'!$A$139:$I$159,5,0)),0%,VLOOKUP(A130,'Données projet'!$A$139:$I$159,5,0)*VLOOKUP('Données projet'!$B$13,Paramètres!$A$1:$I$89,7,0))</f>
        <v>0.38700000000000001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148.16964556895348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148.16964556895348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-1.1368683772161603E-13</v>
      </c>
      <c r="DP130" s="17">
        <f>DO130*VLOOKUP('Données projet'!$B$14,Paramètres!$A$1:$I$89,3,0)*VLOOKUP('Données projet'!$B$14,Paramètres!$A$1:$I$89,5,0)</f>
        <v>-6.3550942286383367E-14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349.00268383833668</v>
      </c>
      <c r="DU130" s="59">
        <f t="shared" si="98"/>
        <v>459.94854391583749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54.463755934302604</v>
      </c>
      <c r="EB130" s="21">
        <f>EXP(-LN(2)/25)*EB129+(1-EXP(-LN(2)/25))/(LN(2)/25)*Calculateur!DW130*Calculateur!DY130*VLOOKUP('Données projet'!$B$14,Paramètres!$A$1:$I$89,3,0)*0.475*44/12</f>
        <v>7.8255343283948795</v>
      </c>
      <c r="EC130" s="21">
        <f>EXP(-LN(2)/2)*EC129+(1-EXP(-LN(2)/2))/(LN(2)/2)*DW130*DZ130*VLOOKUP('Données projet'!$B$14,Paramètres!$A$1:$I$89,3,0)*0.475*44/12</f>
        <v>4.9711239995831381E-10</v>
      </c>
      <c r="ED130" s="22">
        <f t="shared" si="72"/>
        <v>62.289290263194594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1.7053025658242404E-13</v>
      </c>
      <c r="EK130" s="17">
        <f>EJ130*VLOOKUP('Données projet'!$B$15,Paramètres!$A$1:$I$89,3,0)*VLOOKUP('Données projet'!$B$15,Paramètres!$A$1:$I$89,5,0)</f>
        <v>1.3301360013429075E-13</v>
      </c>
      <c r="EL130" s="13">
        <f t="shared" si="99"/>
        <v>1.9329766731057041E-12</v>
      </c>
      <c r="EM130" s="20">
        <f t="shared" si="73"/>
        <v>3.5982663925596575E-12</v>
      </c>
      <c r="EN130" s="59">
        <f t="shared" si="74"/>
        <v>283.40235685908101</v>
      </c>
      <c r="EO130" s="59">
        <f ca="1">AVERAGE(OFFSET($EN$3,0,0,'Données projet'!$E$15+1,1))-AVERAGE(OFFSET($H$3,0,0,'Données projet'!$E$15+1,1))</f>
        <v>308.82719216177946</v>
      </c>
      <c r="EP130" s="59">
        <f t="shared" si="100"/>
        <v>302.59481222418219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25.724756918186515</v>
      </c>
      <c r="EW130" s="21">
        <f>EXP(-LN(2)/25)*EW129+(1-EXP(-LN(2)/25))/(LN(2)/25)*Calculateur!ER130*Calculateur!ET130*VLOOKUP('Données projet'!$B$15,Paramètres!$A$1:$I$89,3,0)*0.475*44/12</f>
        <v>13.660152074396594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39.384908992583107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496.63663799825895</v>
      </c>
      <c r="S131" s="59">
        <f ca="1">AVERAGE(OFFSET($R$3,0,0,'Données projet'!$E$9+1,1))-AVERAGE(OFFSET($H$3,0,0,'Données projet'!$E$9+1,1))</f>
        <v>421.33534980160005</v>
      </c>
      <c r="T131" s="59">
        <f t="shared" si="88"/>
        <v>299.0473530693472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1.5064102564102591</v>
      </c>
      <c r="AI131" s="13">
        <f>IF('Données projet'!$A$62&gt;35,AI130+AH131-AQ130,IF(A131&lt;'Données projet'!$A$62,$AF$205^A131,IF(A131='Données projet'!$A$62,'Données projet'!$B$62,AI130+AH131-AQ130)))</f>
        <v>106.39102564102619</v>
      </c>
      <c r="AJ131" s="13">
        <f>AI131*VLOOKUP('Données projet'!$B$10,Paramètres!$A$1:$I$89,3,0)*VLOOKUP('Données projet'!$B$10,Paramètres!$A$1:$I$89,5,0)</f>
        <v>107.88050000000057</v>
      </c>
      <c r="AK131" s="13">
        <f t="shared" si="89"/>
        <v>28.83104978583652</v>
      </c>
      <c r="AL131" s="20">
        <f t="shared" si="58"/>
        <v>238.10594921033294</v>
      </c>
      <c r="AM131" s="59">
        <f t="shared" si="59"/>
        <v>521.68058630890141</v>
      </c>
      <c r="AN131" s="59">
        <f ca="1">AVERAGE(OFFSET($AM$3,0,0,'Données projet'!$E$10+1,1))-AVERAGE(OFFSET($H$3,0,0,'Données projet'!$E$10+1,1))</f>
        <v>462.74754756814662</v>
      </c>
      <c r="AO131" s="59">
        <f t="shared" si="90"/>
        <v>327.65191293226667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152.29303867103084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152.29303867103084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1.5064102564102591</v>
      </c>
      <c r="BD131" s="12">
        <f>IF('Données projet'!$A$88&gt;35,BD130+BC131-BL130,IF(A131&lt;'Données projet'!$A$88,$BA$205^A131,IF(A131='Données projet'!$A$88,'Données projet'!$B$88,BD130+BC131-BL130)))</f>
        <v>106.39102564102619</v>
      </c>
      <c r="BE131" s="13">
        <f>BD131*VLOOKUP('Données projet'!$B$11,Paramètres!$A$1:$I$89,3,0)*VLOOKUP('Données projet'!$B$11,Paramètres!$A$1:$I$89,5,0)</f>
        <v>71.367100000000363</v>
      </c>
      <c r="BF131" s="13">
        <f t="shared" si="91"/>
        <v>20.012573569657771</v>
      </c>
      <c r="BG131" s="20">
        <f t="shared" si="61"/>
        <v>159.15293146715459</v>
      </c>
      <c r="BH131" s="59">
        <f t="shared" si="62"/>
        <v>442.72756856572312</v>
      </c>
      <c r="BI131" s="59">
        <f ca="1">AVERAGE(OFFSET($BH$3,0,0,'Données projet'!$E$11+1,1))-AVERAGE(OFFSET($H$3,0,0,'Données projet'!$E$11+1,1))</f>
        <v>332.21938212432008</v>
      </c>
      <c r="BJ131" s="59">
        <f t="shared" si="92"/>
        <v>237.47732529948181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124.1774007625328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124.1774007625328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1.5064102564102591</v>
      </c>
      <c r="BY131" s="12">
        <f>IF('Données projet'!$A$114&gt;35,BY130+BX131-CG130,IF(A131&lt;'Données projet'!$A$114,$BV$205^A131,IF(A131='Données projet'!$A$114,'Données projet'!$B$114,BY130+BX131-CG130)))</f>
        <v>106.39102564102619</v>
      </c>
      <c r="BZ131" s="13">
        <f>BY131*VLOOKUP('Données projet'!$B$12,Paramètres!$A$1:$I$89,3,0)*VLOOKUP('Données projet'!$B$12,Paramètres!$A$1:$I$89,5,0)</f>
        <v>101.24170000000052</v>
      </c>
      <c r="CA131" s="13">
        <f t="shared" si="93"/>
        <v>27.257602653564337</v>
      </c>
      <c r="CB131" s="20">
        <f t="shared" si="64"/>
        <v>223.80295212162545</v>
      </c>
      <c r="CC131" s="59">
        <f t="shared" si="65"/>
        <v>507.37758922019395</v>
      </c>
      <c r="CD131" s="59">
        <f ca="1">AVERAGE(OFFSET($CC$3,0,0,'Données projet'!$E$12+1,1))-AVERAGE(OFFSET($H$3,0,0,'Données projet'!$E$12+1,1))</f>
        <v>439.09551305860475</v>
      </c>
      <c r="CE131" s="59">
        <f t="shared" si="94"/>
        <v>311.31528017256846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142.9211593681982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142.9211593681982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1.5064102564102591</v>
      </c>
      <c r="CT131" s="12">
        <f>IF('Données projet'!$A$140&gt;35,CT130+CS131-DB130,IF(A131&lt;'Données projet'!$A$140,$CQ$205^A131,IF(A131='Données projet'!$A$140,'Données projet'!$B$140,CT130+CS131-DB130)))</f>
        <v>106.39102564102619</v>
      </c>
      <c r="CU131" s="17">
        <f>CT131*VLOOKUP('Données projet'!$B$13,Paramètres!$A$1:$I$89,3,0)*VLOOKUP('Données projet'!$B$13,Paramètres!$A$1:$I$89,5,0)</f>
        <v>102.90140000000054</v>
      </c>
      <c r="CV131" s="13">
        <f t="shared" si="95"/>
        <v>27.652061299501057</v>
      </c>
      <c r="CW131" s="20">
        <f t="shared" si="67"/>
        <v>227.38061176329856</v>
      </c>
      <c r="CX131" s="59">
        <f t="shared" si="68"/>
        <v>510.95524886186706</v>
      </c>
      <c r="CY131" s="59">
        <f ca="1">AVERAGE(OFFSET($CX$3,0,0,'Données projet'!$E$13+1,1))-AVERAGE(OFFSET($H$3,0,0,'Données projet'!$E$13+1,1))</f>
        <v>445.01146841309549</v>
      </c>
      <c r="CZ131" s="59">
        <f t="shared" si="96"/>
        <v>315.40159257508969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145.26412919390637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145.26412919390637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-1.1368683772161603E-13</v>
      </c>
      <c r="DP131" s="17">
        <f>DO131*VLOOKUP('Données projet'!$B$14,Paramètres!$A$1:$I$89,3,0)*VLOOKUP('Données projet'!$B$14,Paramètres!$A$1:$I$89,5,0)</f>
        <v>-6.3550942286383367E-14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349.00268383833668</v>
      </c>
      <c r="DU131" s="59">
        <f t="shared" si="98"/>
        <v>459.94854391583749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53.395754900041887</v>
      </c>
      <c r="EB131" s="21">
        <f>EXP(-LN(2)/25)*EB130+(1-EXP(-LN(2)/25))/(LN(2)/25)*Calculateur!DW131*Calculateur!DY131*VLOOKUP('Données projet'!$B$14,Paramètres!$A$1:$I$89,3,0)*0.475*44/12</f>
        <v>7.611544680657957</v>
      </c>
      <c r="EC131" s="21">
        <f>EXP(-LN(2)/2)*EC130+(1-EXP(-LN(2)/2))/(LN(2)/2)*DW131*DZ131*VLOOKUP('Données projet'!$B$14,Paramètres!$A$1:$I$89,3,0)*0.475*44/12</f>
        <v>3.515115490224429E-10</v>
      </c>
      <c r="ED131" s="22">
        <f t="shared" si="72"/>
        <v>61.007299581051356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1.7053025658242404E-13</v>
      </c>
      <c r="EK131" s="17">
        <f>EJ131*VLOOKUP('Données projet'!$B$15,Paramètres!$A$1:$I$89,3,0)*VLOOKUP('Données projet'!$B$15,Paramètres!$A$1:$I$89,5,0)</f>
        <v>1.3301360013429075E-13</v>
      </c>
      <c r="EL131" s="13">
        <f t="shared" si="99"/>
        <v>1.9329766731057041E-12</v>
      </c>
      <c r="EM131" s="20">
        <f t="shared" si="73"/>
        <v>3.5982663925596575E-12</v>
      </c>
      <c r="EN131" s="59">
        <f t="shared" si="74"/>
        <v>283.57463709857211</v>
      </c>
      <c r="EO131" s="59">
        <f ca="1">AVERAGE(OFFSET($EN$3,0,0,'Données projet'!$E$15+1,1))-AVERAGE(OFFSET($H$3,0,0,'Données projet'!$E$15+1,1))</f>
        <v>308.82719216177946</v>
      </c>
      <c r="EP131" s="59">
        <f t="shared" si="100"/>
        <v>302.59481222418219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25.220310125573285</v>
      </c>
      <c r="EW131" s="21">
        <f>EXP(-LN(2)/25)*EW130+(1-EXP(-LN(2)/25))/(LN(2)/25)*Calculateur!ER131*Calculateur!ET131*VLOOKUP('Données projet'!$B$15,Paramètres!$A$1:$I$89,3,0)*0.475*44/12</f>
        <v>13.286614497566042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38.506924623139327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499.74741555140815</v>
      </c>
      <c r="S132" s="59">
        <f ca="1">AVERAGE(OFFSET($R$3,0,0,'Données projet'!$E$9+1,1))-AVERAGE(OFFSET($H$3,0,0,'Données projet'!$E$9+1,1))</f>
        <v>421.33534980160005</v>
      </c>
      <c r="T132" s="59">
        <f t="shared" si="88"/>
        <v>299.0473530693472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1.5064102564102591</v>
      </c>
      <c r="AI132" s="13">
        <f>IF('Données projet'!$A$62&gt;35,AI131+AH132-AQ131,IF(A132&lt;'Données projet'!$A$62,$AF$205^A132,IF(A132='Données projet'!$A$62,'Données projet'!$B$62,AI131+AH132-AQ131)))</f>
        <v>107.89743589743645</v>
      </c>
      <c r="AJ132" s="13">
        <f>AI132*VLOOKUP('Données projet'!$B$10,Paramètres!$A$1:$I$89,3,0)*VLOOKUP('Données projet'!$B$10,Paramètres!$A$1:$I$89,5,0)</f>
        <v>109.40800000000057</v>
      </c>
      <c r="AK132" s="13">
        <f t="shared" si="89"/>
        <v>29.191460979261141</v>
      </c>
      <c r="AL132" s="20">
        <f t="shared" ref="AL132:AL153" si="112">(AJ132+AK132)*0.475*44/12</f>
        <v>241.39406120554747</v>
      </c>
      <c r="AM132" s="59">
        <f t="shared" ref="AM132:AM195" si="113">AL132+(AD132+AE132)*44/12</f>
        <v>525.13798986661277</v>
      </c>
      <c r="AN132" s="59">
        <f ca="1">AVERAGE(OFFSET($AM$3,0,0,'Données projet'!$E$10+1,1))-AVERAGE(OFFSET($H$3,0,0,'Données projet'!$E$10+1,1))</f>
        <v>462.74754756814662</v>
      </c>
      <c r="AO132" s="59">
        <f t="shared" si="90"/>
        <v>327.65191293226667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149.30666507227343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149.30666507227343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1.5064102564102591</v>
      </c>
      <c r="BD132" s="12">
        <f>IF('Données projet'!$A$88&gt;35,BD131+BC132-BL131,IF(A132&lt;'Données projet'!$A$88,$BA$205^A132,IF(A132='Données projet'!$A$88,'Données projet'!$B$88,BD131+BC132-BL131)))</f>
        <v>107.89743589743645</v>
      </c>
      <c r="BE132" s="13">
        <f>BD132*VLOOKUP('Données projet'!$B$11,Paramètres!$A$1:$I$89,3,0)*VLOOKUP('Données projet'!$B$11,Paramètres!$A$1:$I$89,5,0)</f>
        <v>72.377600000000371</v>
      </c>
      <c r="BF132" s="13">
        <f t="shared" si="91"/>
        <v>20.262746753683896</v>
      </c>
      <c r="BG132" s="20">
        <f t="shared" ref="BG132:BG153" si="115">(BE132+BF132)*0.475*44/12</f>
        <v>161.34860392933342</v>
      </c>
      <c r="BH132" s="59">
        <f t="shared" ref="BH132:BH195" si="116">BG132+(AY132+AZ132)*44/12</f>
        <v>445.09253259039878</v>
      </c>
      <c r="BI132" s="59">
        <f ca="1">AVERAGE(OFFSET($BH$3,0,0,'Données projet'!$E$11+1,1))-AVERAGE(OFFSET($H$3,0,0,'Données projet'!$E$11+1,1))</f>
        <v>332.21938212432008</v>
      </c>
      <c r="BJ132" s="59">
        <f t="shared" si="92"/>
        <v>237.47732529948181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121.74235767431522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121.74235767431522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1.5064102564102591</v>
      </c>
      <c r="BY132" s="12">
        <f>IF('Données projet'!$A$114&gt;35,BY131+BX132-CG131,IF(A132&lt;'Données projet'!$A$114,$BV$205^A132,IF(A132='Données projet'!$A$114,'Données projet'!$B$114,BY131+BX132-CG131)))</f>
        <v>107.89743589743645</v>
      </c>
      <c r="BZ132" s="13">
        <f>BY132*VLOOKUP('Données projet'!$B$12,Paramètres!$A$1:$I$89,3,0)*VLOOKUP('Données projet'!$B$12,Paramètres!$A$1:$I$89,5,0)</f>
        <v>102.67520000000054</v>
      </c>
      <c r="CA132" s="13">
        <f t="shared" si="93"/>
        <v>27.598344498736139</v>
      </c>
      <c r="CB132" s="20">
        <f t="shared" ref="CB132:CB153" si="118">(BZ132+CA132)*0.475*44/12</f>
        <v>226.89309000196636</v>
      </c>
      <c r="CC132" s="59">
        <f t="shared" ref="CC132:CC195" si="119">CB132+(BT132+BU132)*44/12</f>
        <v>510.63701866303171</v>
      </c>
      <c r="CD132" s="59">
        <f ca="1">AVERAGE(OFFSET($CC$3,0,0,'Données projet'!$E$12+1,1))-AVERAGE(OFFSET($H$3,0,0,'Données projet'!$E$12+1,1))</f>
        <v>439.09551305860475</v>
      </c>
      <c r="CE132" s="59">
        <f t="shared" si="94"/>
        <v>311.31528017256846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140.11856260628741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140.11856260628741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1.5064102564102591</v>
      </c>
      <c r="CT132" s="12">
        <f>IF('Données projet'!$A$140&gt;35,CT131+CS132-DB131,IF(A132&lt;'Données projet'!$A$140,$CQ$205^A132,IF(A132='Données projet'!$A$140,'Données projet'!$B$140,CT131+CS132-DB131)))</f>
        <v>107.89743589743645</v>
      </c>
      <c r="CU132" s="17">
        <f>CT132*VLOOKUP('Données projet'!$B$13,Paramètres!$A$1:$I$89,3,0)*VLOOKUP('Données projet'!$B$13,Paramètres!$A$1:$I$89,5,0)</f>
        <v>104.35840000000054</v>
      </c>
      <c r="CV132" s="13">
        <f t="shared" si="95"/>
        <v>27.997734193399655</v>
      </c>
      <c r="CW132" s="20">
        <f t="shared" ref="CW132:CW153" si="121">(CU132+CV132)*0.475*44/12</f>
        <v>230.52026705350534</v>
      </c>
      <c r="CX132" s="59">
        <f t="shared" ref="CX132:CX195" si="122">CW132+(CO132+CP132)*44/12</f>
        <v>514.26419571457063</v>
      </c>
      <c r="CY132" s="59">
        <f ca="1">AVERAGE(OFFSET($CX$3,0,0,'Données projet'!$E$13+1,1))-AVERAGE(OFFSET($H$3,0,0,'Données projet'!$E$13+1,1))</f>
        <v>445.01146841309549</v>
      </c>
      <c r="CZ132" s="59">
        <f t="shared" si="96"/>
        <v>315.40159257508969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142.41558822278392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142.41558822278392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-1.1368683772161603E-13</v>
      </c>
      <c r="DP132" s="17">
        <f>DO132*VLOOKUP('Données projet'!$B$14,Paramètres!$A$1:$I$89,3,0)*VLOOKUP('Données projet'!$B$14,Paramètres!$A$1:$I$89,5,0)</f>
        <v>-6.3550942286383367E-14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349.00268383833668</v>
      </c>
      <c r="DU132" s="59">
        <f t="shared" si="98"/>
        <v>459.94854391583749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52.348696714646714</v>
      </c>
      <c r="EB132" s="21">
        <f>EXP(-LN(2)/25)*EB131+(1-EXP(-LN(2)/25))/(LN(2)/25)*Calculateur!DW132*Calculateur!DY132*VLOOKUP('Données projet'!$B$14,Paramètres!$A$1:$I$89,3,0)*0.475*44/12</f>
        <v>7.4034065910916267</v>
      </c>
      <c r="EC132" s="21">
        <f>EXP(-LN(2)/2)*EC131+(1-EXP(-LN(2)/2))/(LN(2)/2)*DW132*DZ132*VLOOKUP('Données projet'!$B$14,Paramètres!$A$1:$I$89,3,0)*0.475*44/12</f>
        <v>2.4855619997915691E-10</v>
      </c>
      <c r="ED132" s="22">
        <f t="shared" ref="ED132:ED153" si="126">SUM(EA132:EC132)</f>
        <v>59.752103305986893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1.7053025658242404E-13</v>
      </c>
      <c r="EK132" s="17">
        <f>EJ132*VLOOKUP('Données projet'!$B$15,Paramètres!$A$1:$I$89,3,0)*VLOOKUP('Données projet'!$B$15,Paramètres!$A$1:$I$89,5,0)</f>
        <v>1.3301360013429075E-13</v>
      </c>
      <c r="EL132" s="13">
        <f t="shared" si="99"/>
        <v>1.9329766731057041E-12</v>
      </c>
      <c r="EM132" s="20">
        <f t="shared" ref="EM132:EM153" si="127">(EK132+EL132)*0.475*44/12</f>
        <v>3.5982663925596575E-12</v>
      </c>
      <c r="EN132" s="59">
        <f t="shared" ref="EN132:EN195" si="128">EM132+(EE132+EF132)*44/12</f>
        <v>283.74392866106894</v>
      </c>
      <c r="EO132" s="59">
        <f ca="1">AVERAGE(OFFSET($EN$3,0,0,'Données projet'!$E$15+1,1))-AVERAGE(OFFSET($H$3,0,0,'Données projet'!$E$15+1,1))</f>
        <v>308.82719216177946</v>
      </c>
      <c r="EP132" s="59">
        <f t="shared" si="100"/>
        <v>302.59481222418219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24.725755226881038</v>
      </c>
      <c r="EW132" s="21">
        <f>EXP(-LN(2)/25)*EW131+(1-EXP(-LN(2)/25))/(LN(2)/25)*Calculateur!ER132*Calculateur!ET132*VLOOKUP('Données projet'!$B$15,Paramètres!$A$1:$I$89,3,0)*0.475*44/12</f>
        <v>12.923291325417409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37.649046552298444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502.85433458365242</v>
      </c>
      <c r="S133" s="59">
        <f ca="1">AVERAGE(OFFSET($R$3,0,0,'Données projet'!$E$9+1,1))-AVERAGE(OFFSET($H$3,0,0,'Données projet'!$E$9+1,1))</f>
        <v>421.33534980160005</v>
      </c>
      <c r="T133" s="59">
        <f t="shared" ref="T133:T196" si="142">$T$3</f>
        <v>299.0473530693472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1.5064102564102591</v>
      </c>
      <c r="AI133" s="13">
        <f>IF('Données projet'!$A$62&gt;35,AI132+AH133-AQ132,IF(A133&lt;'Données projet'!$A$62,$AF$205^A133,IF(A133='Données projet'!$A$62,'Données projet'!$B$62,AI132+AH133-AQ132)))</f>
        <v>109.40384615384671</v>
      </c>
      <c r="AJ133" s="13">
        <f>AI133*VLOOKUP('Données projet'!$B$10,Paramètres!$A$1:$I$89,3,0)*VLOOKUP('Données projet'!$B$10,Paramètres!$A$1:$I$89,5,0)</f>
        <v>110.93550000000057</v>
      </c>
      <c r="AK133" s="13">
        <f t="shared" ref="AK133:AK153" si="143">EXP(-1.0587+0.8836*LN(AJ133)+0.284)</f>
        <v>29.551286917234709</v>
      </c>
      <c r="AL133" s="20">
        <f t="shared" si="112"/>
        <v>244.6811538808515</v>
      </c>
      <c r="AM133" s="59">
        <f t="shared" si="113"/>
        <v>528.59143727428363</v>
      </c>
      <c r="AN133" s="59">
        <f ca="1">AVERAGE(OFFSET($AM$3,0,0,'Données projet'!$E$10+1,1))-AVERAGE(OFFSET($H$3,0,0,'Données projet'!$E$10+1,1))</f>
        <v>462.74754756814662</v>
      </c>
      <c r="AO133" s="59">
        <f t="shared" ref="AO133:AO196" si="144">$AO$3</f>
        <v>327.65191293226667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146.37885243827961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146.37885243827961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1.5064102564102591</v>
      </c>
      <c r="BD133" s="12">
        <f>IF('Données projet'!$A$88&gt;35,BD132+BC133-BL132,IF(A133&lt;'Données projet'!$A$88,$BA$205^A133,IF(A133='Données projet'!$A$88,'Données projet'!$B$88,BD132+BC133-BL132)))</f>
        <v>109.40384615384671</v>
      </c>
      <c r="BE133" s="13">
        <f>BD133*VLOOKUP('Données projet'!$B$11,Paramètres!$A$1:$I$89,3,0)*VLOOKUP('Données projet'!$B$11,Paramètres!$A$1:$I$89,5,0)</f>
        <v>73.388100000000378</v>
      </c>
      <c r="BF133" s="13">
        <f t="shared" ref="BF133:BF153" si="145">EXP(-1.0587+0.8836*LN(BE133)+0.284)</f>
        <v>20.512513692781095</v>
      </c>
      <c r="BG133" s="20">
        <f t="shared" si="115"/>
        <v>163.54356884826106</v>
      </c>
      <c r="BH133" s="59">
        <f t="shared" si="116"/>
        <v>447.4538522416932</v>
      </c>
      <c r="BI133" s="59">
        <f ca="1">AVERAGE(OFFSET($BH$3,0,0,'Données projet'!$E$11+1,1))-AVERAGE(OFFSET($H$3,0,0,'Données projet'!$E$11+1,1))</f>
        <v>332.21938212432008</v>
      </c>
      <c r="BJ133" s="59">
        <f t="shared" ref="BJ133:BJ196" si="146">$BJ$3</f>
        <v>237.47732529948181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119.35506429582796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119.35506429582796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1.5064102564102591</v>
      </c>
      <c r="BY133" s="12">
        <f>IF('Données projet'!$A$114&gt;35,BY132+BX133-CG132,IF(A133&lt;'Données projet'!$A$114,$BV$205^A133,IF(A133='Données projet'!$A$114,'Données projet'!$B$114,BY132+BX133-CG132)))</f>
        <v>109.40384615384671</v>
      </c>
      <c r="BZ133" s="13">
        <f>BY133*VLOOKUP('Données projet'!$B$12,Paramètres!$A$1:$I$89,3,0)*VLOOKUP('Données projet'!$B$12,Paramètres!$A$1:$I$89,5,0)</f>
        <v>104.10870000000054</v>
      </c>
      <c r="CA133" s="13">
        <f t="shared" ref="CA133:CA153" si="147">EXP(-1.0587+0.8836*LN(BZ133)+0.284)</f>
        <v>27.938533028622686</v>
      </c>
      <c r="CB133" s="20">
        <f t="shared" si="118"/>
        <v>229.98226419151877</v>
      </c>
      <c r="CC133" s="59">
        <f t="shared" si="119"/>
        <v>513.89254758495088</v>
      </c>
      <c r="CD133" s="59">
        <f ca="1">AVERAGE(OFFSET($CC$3,0,0,'Données projet'!$E$12+1,1))-AVERAGE(OFFSET($H$3,0,0,'Données projet'!$E$12+1,1))</f>
        <v>439.09551305860475</v>
      </c>
      <c r="CE133" s="59">
        <f t="shared" ref="CE133:CE196" si="148">$CE$3</f>
        <v>311.31528017256846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137.37092305746245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137.37092305746245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1.5064102564102591</v>
      </c>
      <c r="CT133" s="12">
        <f>IF('Données projet'!$A$140&gt;35,CT132+CS133-DB132,IF(A133&lt;'Données projet'!$A$140,$CQ$205^A133,IF(A133='Données projet'!$A$140,'Données projet'!$B$140,CT132+CS133-DB132)))</f>
        <v>109.40384615384671</v>
      </c>
      <c r="CU133" s="17">
        <f>CT133*VLOOKUP('Données projet'!$B$13,Paramètres!$A$1:$I$89,3,0)*VLOOKUP('Données projet'!$B$13,Paramètres!$A$1:$I$89,5,0)</f>
        <v>105.81540000000054</v>
      </c>
      <c r="CV133" s="13">
        <f t="shared" ref="CV133:CV153" si="149">EXP(-1.0587+0.8836*LN(CU133)+0.284)</f>
        <v>28.342845764705768</v>
      </c>
      <c r="CW133" s="20">
        <f t="shared" si="121"/>
        <v>233.65894470686348</v>
      </c>
      <c r="CX133" s="59">
        <f t="shared" si="122"/>
        <v>517.56922810029562</v>
      </c>
      <c r="CY133" s="59">
        <f ca="1">AVERAGE(OFFSET($CX$3,0,0,'Données projet'!$E$13+1,1))-AVERAGE(OFFSET($H$3,0,0,'Données projet'!$E$13+1,1))</f>
        <v>445.01146841309549</v>
      </c>
      <c r="CZ133" s="59">
        <f t="shared" ref="CZ133:CZ196" si="150">$CZ$3</f>
        <v>315.40159257508969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139.62290540266676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139.62290540266676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-1.1368683772161603E-13</v>
      </c>
      <c r="DP133" s="17">
        <f>DO133*VLOOKUP('Données projet'!$B$14,Paramètres!$A$1:$I$89,3,0)*VLOOKUP('Données projet'!$B$14,Paramètres!$A$1:$I$89,5,0)</f>
        <v>-6.3550942286383367E-14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349.00268383833668</v>
      </c>
      <c r="DU133" s="59">
        <f t="shared" ref="DU133:DU196" si="152">$DU$3</f>
        <v>459.94854391583749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51.322170701624707</v>
      </c>
      <c r="EB133" s="21">
        <f>EXP(-LN(2)/25)*EB132+(1-EXP(-LN(2)/25))/(LN(2)/25)*Calculateur!DW133*Calculateur!DY133*VLOOKUP('Données projet'!$B$14,Paramètres!$A$1:$I$89,3,0)*0.475*44/12</f>
        <v>7.2009600485299945</v>
      </c>
      <c r="EC133" s="21">
        <f>EXP(-LN(2)/2)*EC132+(1-EXP(-LN(2)/2))/(LN(2)/2)*DW133*DZ133*VLOOKUP('Données projet'!$B$14,Paramètres!$A$1:$I$89,3,0)*0.475*44/12</f>
        <v>1.7575577451122145E-10</v>
      </c>
      <c r="ED133" s="22">
        <f t="shared" si="126"/>
        <v>58.523130750330452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1.7053025658242404E-13</v>
      </c>
      <c r="EK133" s="17">
        <f>EJ133*VLOOKUP('Données projet'!$B$15,Paramètres!$A$1:$I$89,3,0)*VLOOKUP('Données projet'!$B$15,Paramètres!$A$1:$I$89,5,0)</f>
        <v>1.3301360013429075E-13</v>
      </c>
      <c r="EL133" s="13">
        <f t="shared" ref="EL133:EL153" si="153">EXP(-1.0587+0.8836*LN(EK133)+0.284)</f>
        <v>1.9329766731057041E-12</v>
      </c>
      <c r="EM133" s="20">
        <f t="shared" si="127"/>
        <v>3.5982663925596575E-12</v>
      </c>
      <c r="EN133" s="59">
        <f t="shared" si="128"/>
        <v>283.91028339343569</v>
      </c>
      <c r="EO133" s="59">
        <f ca="1">AVERAGE(OFFSET($EN$3,0,0,'Données projet'!$E$15+1,1))-AVERAGE(OFFSET($H$3,0,0,'Données projet'!$E$15+1,1))</f>
        <v>308.82719216177946</v>
      </c>
      <c r="EP133" s="59">
        <f t="shared" ref="EP133:EP196" si="154">$EP$3</f>
        <v>302.59481222418219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24.240898248103441</v>
      </c>
      <c r="EW133" s="21">
        <f>EXP(-LN(2)/25)*EW132+(1-EXP(-LN(2)/25))/(LN(2)/25)*Calculateur!ER133*Calculateur!ET133*VLOOKUP('Données projet'!$B$15,Paramètres!$A$1:$I$89,3,0)*0.475*44/12</f>
        <v>12.569903244517516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36.810801492620953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505.95746020021585</v>
      </c>
      <c r="S134" s="59">
        <f ca="1">AVERAGE(OFFSET($R$3,0,0,'Données projet'!$E$9+1,1))-AVERAGE(OFFSET($H$3,0,0,'Données projet'!$E$9+1,1))</f>
        <v>421.33534980160005</v>
      </c>
      <c r="T134" s="59">
        <f t="shared" si="142"/>
        <v>299.0473530693472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110.91025641025641</v>
      </c>
      <c r="AG134" s="12">
        <f>VLOOKUP(A134,'Données projet'!$A$61:$I$81,9,0)</f>
        <v>1.5064102564102591</v>
      </c>
      <c r="AH134" s="12">
        <f t="array" ref="AH134">INDEX(AG:AG,MIN(IF(ISNUMBER(AG134:AG330),ROW(AG134:AG330),"")))</f>
        <v>1.5064102564102591</v>
      </c>
      <c r="AI134" s="13">
        <f>IF('Données projet'!$A$62&gt;35,AI133+AH134-AQ133,IF(A134&lt;'Données projet'!$A$62,$AF$205^A134,IF(A134='Données projet'!$A$62,'Données projet'!$B$62,AI133+AH134-AQ133)))</f>
        <v>110.91025641025698</v>
      </c>
      <c r="AJ134" s="13">
        <f>AI134*VLOOKUP('Données projet'!$B$10,Paramètres!$A$1:$I$89,3,0)*VLOOKUP('Données projet'!$B$10,Paramètres!$A$1:$I$89,5,0)</f>
        <v>112.46300000000058</v>
      </c>
      <c r="AK134" s="13">
        <f t="shared" si="143"/>
        <v>29.910536589672557</v>
      </c>
      <c r="AL134" s="20">
        <f t="shared" si="112"/>
        <v>247.96724289368069</v>
      </c>
      <c r="AM134" s="59">
        <f t="shared" si="113"/>
        <v>532.04099513678648</v>
      </c>
      <c r="AN134" s="59">
        <f ca="1">AVERAGE(OFFSET($AM$3,0,0,'Données projet'!$E$10+1,1))-AVERAGE(OFFSET($H$3,0,0,'Données projet'!$E$10+1,1))</f>
        <v>462.74754756814662</v>
      </c>
      <c r="AO134" s="59">
        <f t="shared" si="144"/>
        <v>327.65191293226667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110.91025641025641</v>
      </c>
      <c r="AR134" s="16">
        <f>IF(ISNA(VLOOKUP(A134,'Données projet'!$A$61:$I$81,5,0)),0%,VLOOKUP(A134,'Données projet'!$A$61:$I$81,5,0)*VLOOKUP('Données projet'!$B$10,Paramètres!$A$1:$I$89,7,0))</f>
        <v>0.38700000000000001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191.62203984280035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191.62203984280035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110.91025641025641</v>
      </c>
      <c r="BB134" s="12">
        <f>VLOOKUP(A134,'Données projet'!$A$87:$I$107,9,0)</f>
        <v>1.5064102564102591</v>
      </c>
      <c r="BC134" s="12">
        <f t="array" ref="BC134">INDEX(BB:BB,MIN(IF(ISNUMBER(BB134:BB330),ROW(BB134:BB330),"")))</f>
        <v>1.5064102564102591</v>
      </c>
      <c r="BD134" s="12">
        <f>IF('Données projet'!$A$88&gt;35,BD133+BC134-BL133,IF(A134&lt;'Données projet'!$A$88,$BA$205^A134,IF(A134='Données projet'!$A$88,'Données projet'!$B$88,BD133+BC134-BL133)))</f>
        <v>110.91025641025698</v>
      </c>
      <c r="BE134" s="13">
        <f>BD134*VLOOKUP('Données projet'!$B$11,Paramètres!$A$1:$I$89,3,0)*VLOOKUP('Données projet'!$B$11,Paramètres!$A$1:$I$89,5,0)</f>
        <v>74.398600000000386</v>
      </c>
      <c r="BF134" s="13">
        <f t="shared" si="145"/>
        <v>20.761880627143281</v>
      </c>
      <c r="BG134" s="20">
        <f t="shared" si="115"/>
        <v>165.73783709227521</v>
      </c>
      <c r="BH134" s="59">
        <f t="shared" si="116"/>
        <v>449.81158933538097</v>
      </c>
      <c r="BI134" s="59">
        <f ca="1">AVERAGE(OFFSET($BH$3,0,0,'Données projet'!$E$11+1,1))-AVERAGE(OFFSET($H$3,0,0,'Données projet'!$E$11+1,1))</f>
        <v>332.21938212432008</v>
      </c>
      <c r="BJ134" s="59">
        <f t="shared" si="146"/>
        <v>237.47732529948181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110.91025641025641</v>
      </c>
      <c r="BM134" s="16">
        <f>IF(ISNA(VLOOKUP(A134,'Données projet'!$A$87:$I$107,5,0)),0%,VLOOKUP(A134,'Données projet'!$A$87:$I$107,5,0)*VLOOKUP('Données projet'!$B$11,Paramètres!$A$1:$I$89,7,0))</f>
        <v>0.47700000000000004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156.24566325643718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156.24566325643718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110.91025641025641</v>
      </c>
      <c r="BW134" s="12">
        <f>VLOOKUP(A134,'Données projet'!$A$113:$I$133,9,0)</f>
        <v>1.5064102564102591</v>
      </c>
      <c r="BX134" s="12">
        <f t="array" ref="BX134">INDEX(BW:BW,MIN(IF(ISNUMBER(BW134:BW330),ROW(BW134:BW330),"")))</f>
        <v>1.5064102564102591</v>
      </c>
      <c r="BY134" s="12">
        <f>IF('Données projet'!$A$114&gt;35,BY133+BX134-CG133,IF(A134&lt;'Données projet'!$A$114,$BV$205^A134,IF(A134='Données projet'!$A$114,'Données projet'!$B$114,BY133+BX134-CG133)))</f>
        <v>110.91025641025698</v>
      </c>
      <c r="BZ134" s="13">
        <f>BY134*VLOOKUP('Données projet'!$B$12,Paramètres!$A$1:$I$89,3,0)*VLOOKUP('Données projet'!$B$12,Paramètres!$A$1:$I$89,5,0)</f>
        <v>105.54220000000053</v>
      </c>
      <c r="CA134" s="13">
        <f t="shared" si="147"/>
        <v>28.278176742516997</v>
      </c>
      <c r="CB134" s="20">
        <f t="shared" si="118"/>
        <v>233.07048949321802</v>
      </c>
      <c r="CC134" s="59">
        <f t="shared" si="119"/>
        <v>517.14424173632369</v>
      </c>
      <c r="CD134" s="59">
        <f ca="1">AVERAGE(OFFSET($CC$3,0,0,'Données projet'!$E$12+1,1))-AVERAGE(OFFSET($H$3,0,0,'Données projet'!$E$12+1,1))</f>
        <v>439.09551305860475</v>
      </c>
      <c r="CE134" s="59">
        <f t="shared" si="148"/>
        <v>311.31528017256846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110.91025641025641</v>
      </c>
      <c r="CH134" s="16">
        <f>IF(ISNA(VLOOKUP(A134,'Données projet'!$A$113:$I$133,5,0)),0%,VLOOKUP(A134,'Données projet'!$A$113:$I$133,5,0)*VLOOKUP('Données projet'!$B$12,Paramètres!$A$1:$I$89,7,0))</f>
        <v>0.38700000000000001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179.82991431401265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179.82991431401265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>
        <f>VLOOKUP(A134,'Données projet'!$A$139:$I$159,2,0)</f>
        <v>110.91025641025641</v>
      </c>
      <c r="CR134" s="12">
        <f>VLOOKUP(A134,'Données projet'!$A$139:$I$159,9,0)</f>
        <v>1.5064102564102591</v>
      </c>
      <c r="CS134" s="12">
        <f t="array" ref="CS134">INDEX(CR:CR,MIN(IF(ISNUMBER(CR134:CR330),ROW(CR134:CR330),"")))</f>
        <v>1.5064102564102591</v>
      </c>
      <c r="CT134" s="12">
        <f>IF('Données projet'!$A$140&gt;35,CT133+CS134-DB133,IF(A134&lt;'Données projet'!$A$140,$CQ$205^A134,IF(A134='Données projet'!$A$140,'Données projet'!$B$140,CT133+CS134-DB133)))</f>
        <v>110.91025641025698</v>
      </c>
      <c r="CU134" s="17">
        <f>CT134*VLOOKUP('Données projet'!$B$13,Paramètres!$A$1:$I$89,3,0)*VLOOKUP('Données projet'!$B$13,Paramètres!$A$1:$I$89,5,0)</f>
        <v>107.27240000000054</v>
      </c>
      <c r="CV134" s="13">
        <f t="shared" si="149"/>
        <v>28.687404635710084</v>
      </c>
      <c r="CW134" s="20">
        <f t="shared" si="121"/>
        <v>236.79665974052932</v>
      </c>
      <c r="CX134" s="59">
        <f t="shared" si="122"/>
        <v>520.87041198363499</v>
      </c>
      <c r="CY134" s="59">
        <f ca="1">AVERAGE(OFFSET($CX$3,0,0,'Données projet'!$E$13+1,1))-AVERAGE(OFFSET($H$3,0,0,'Données projet'!$E$13+1,1))</f>
        <v>445.01146841309549</v>
      </c>
      <c r="CZ134" s="59">
        <f t="shared" si="150"/>
        <v>315.40159257508969</v>
      </c>
      <c r="DA134" s="15">
        <f>IF(ISNA(VLOOKUP(A134,'Données projet'!$A$139:$I$159,3,0)),0,VLOOKUP(A134,'Données projet'!$A$139:$I$159,3,0))</f>
        <v>14</v>
      </c>
      <c r="DB134" s="15">
        <f>IF(ISNA(VLOOKUP(A134,'Données projet'!$A$139:$I$159,4,0)),0,VLOOKUP(A134,'Données projet'!$A$139:$I$159,4,0))</f>
        <v>110.91025641025641</v>
      </c>
      <c r="DC134" s="16">
        <f>IF(ISNA(VLOOKUP(A134,'Données projet'!$A$139:$I$159,5,0)),0%,VLOOKUP(A134,'Données projet'!$A$139:$I$159,5,0)*VLOOKUP('Données projet'!$B$13,Paramètres!$A$1:$I$89,7,0))</f>
        <v>0.38700000000000001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182.7779456962096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182.7779456962096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-1.1368683772161603E-13</v>
      </c>
      <c r="DP134" s="17">
        <f>DO134*VLOOKUP('Données projet'!$B$14,Paramètres!$A$1:$I$89,3,0)*VLOOKUP('Données projet'!$B$14,Paramètres!$A$1:$I$89,5,0)</f>
        <v>-6.3550942286383367E-14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349.00268383833668</v>
      </c>
      <c r="DU134" s="59">
        <f t="shared" si="152"/>
        <v>459.94854391583749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50.315774237599015</v>
      </c>
      <c r="EB134" s="21">
        <f>EXP(-LN(2)/25)*EB133+(1-EXP(-LN(2)/25))/(LN(2)/25)*Calculateur!DW134*Calculateur!DY134*VLOOKUP('Données projet'!$B$14,Paramètres!$A$1:$I$89,3,0)*0.475*44/12</f>
        <v>7.0040494173209105</v>
      </c>
      <c r="EC134" s="21">
        <f>EXP(-LN(2)/2)*EC133+(1-EXP(-LN(2)/2))/(LN(2)/2)*DW134*DZ134*VLOOKUP('Données projet'!$B$14,Paramètres!$A$1:$I$89,3,0)*0.475*44/12</f>
        <v>1.2427809998957845E-10</v>
      </c>
      <c r="ED134" s="22">
        <f t="shared" si="126"/>
        <v>57.31982365504421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1.7053025658242404E-13</v>
      </c>
      <c r="EK134" s="17">
        <f>EJ134*VLOOKUP('Données projet'!$B$15,Paramètres!$A$1:$I$89,3,0)*VLOOKUP('Données projet'!$B$15,Paramètres!$A$1:$I$89,5,0)</f>
        <v>1.3301360013429075E-13</v>
      </c>
      <c r="EL134" s="13">
        <f t="shared" si="153"/>
        <v>1.9329766731057041E-12</v>
      </c>
      <c r="EM134" s="20">
        <f t="shared" si="127"/>
        <v>3.5982663925596575E-12</v>
      </c>
      <c r="EN134" s="59">
        <f t="shared" si="128"/>
        <v>284.07375224310931</v>
      </c>
      <c r="EO134" s="59">
        <f ca="1">AVERAGE(OFFSET($EN$3,0,0,'Données projet'!$E$15+1,1))-AVERAGE(OFFSET($H$3,0,0,'Données projet'!$E$15+1,1))</f>
        <v>308.82719216177946</v>
      </c>
      <c r="EP134" s="59">
        <f t="shared" si="154"/>
        <v>302.59481222418219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23.765549018946118</v>
      </c>
      <c r="EW134" s="21">
        <f>EXP(-LN(2)/25)*EW133+(1-EXP(-LN(2)/25))/(LN(2)/25)*Calculateur!ER134*Calculateur!ET134*VLOOKUP('Données projet'!$B$15,Paramètres!$A$1:$I$89,3,0)*0.475*44/12</f>
        <v>12.226178579273702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35.991727598219818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284.23438527371115</v>
      </c>
      <c r="S135" s="59">
        <f ca="1">AVERAGE(OFFSET($R$3,0,0,'Données projet'!$E$9+1,1))-AVERAGE(OFFSET($H$3,0,0,'Données projet'!$E$9+1,1))</f>
        <v>421.33534980160005</v>
      </c>
      <c r="T135" s="59">
        <f t="shared" si="142"/>
        <v>299.0473530693472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5.763922672485933E-13</v>
      </c>
      <c r="AK135" s="13">
        <f t="shared" si="143"/>
        <v>7.0619171555808457E-12</v>
      </c>
      <c r="AL135" s="20">
        <f t="shared" si="112"/>
        <v>1.3303388911427938E-11</v>
      </c>
      <c r="AM135" s="59">
        <f t="shared" si="113"/>
        <v>284.23438527371246</v>
      </c>
      <c r="AN135" s="59">
        <f ca="1">AVERAGE(OFFSET($AM$3,0,0,'Données projet'!$E$10+1,1))-AVERAGE(OFFSET($H$3,0,0,'Données projet'!$E$10+1,1))</f>
        <v>462.74754756814662</v>
      </c>
      <c r="AO135" s="59">
        <f t="shared" si="144"/>
        <v>327.65191293226667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187.8644485193866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187.8644485193866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5.6843418860808015E-13</v>
      </c>
      <c r="BE135" s="13">
        <f>BD135*VLOOKUP('Données projet'!$B$11,Paramètres!$A$1:$I$89,3,0)*VLOOKUP('Données projet'!$B$11,Paramètres!$A$1:$I$89,5,0)</f>
        <v>3.8130565371830017E-13</v>
      </c>
      <c r="BF135" s="13">
        <f t="shared" si="145"/>
        <v>4.9019074112354236E-12</v>
      </c>
      <c r="BG135" s="20">
        <f t="shared" si="115"/>
        <v>9.2015960881277352E-12</v>
      </c>
      <c r="BH135" s="59">
        <f t="shared" si="116"/>
        <v>284.23438527370837</v>
      </c>
      <c r="BI135" s="59">
        <f ca="1">AVERAGE(OFFSET($BH$3,0,0,'Données projet'!$E$11+1,1))-AVERAGE(OFFSET($H$3,0,0,'Données projet'!$E$11+1,1))</f>
        <v>332.21938212432008</v>
      </c>
      <c r="BJ135" s="59">
        <f t="shared" si="146"/>
        <v>237.47732529948181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153.18178110042291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153.18178110042291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5.4092197387944907E-13</v>
      </c>
      <c r="CA135" s="13">
        <f t="shared" si="147"/>
        <v>6.6765148417791561E-12</v>
      </c>
      <c r="CB135" s="20">
        <f t="shared" si="118"/>
        <v>1.2570369120605403E-11</v>
      </c>
      <c r="CC135" s="59">
        <f t="shared" si="119"/>
        <v>284.23438527371172</v>
      </c>
      <c r="CD135" s="59">
        <f ca="1">AVERAGE(OFFSET($CC$3,0,0,'Données projet'!$E$12+1,1))-AVERAGE(OFFSET($H$3,0,0,'Données projet'!$E$12+1,1))</f>
        <v>439.09551305860475</v>
      </c>
      <c r="CE135" s="59">
        <f t="shared" si="148"/>
        <v>311.31528017256846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176.30355937973206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176.30355937973206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5.6843418860808015E-13</v>
      </c>
      <c r="CU135" s="17">
        <f>CT135*VLOOKUP('Données projet'!$B$13,Paramètres!$A$1:$I$89,3,0)*VLOOKUP('Données projet'!$B$13,Paramètres!$A$1:$I$89,5,0)</f>
        <v>5.4978954722173515E-13</v>
      </c>
      <c r="CV135" s="13">
        <f t="shared" si="149"/>
        <v>6.7731340873355904E-12</v>
      </c>
      <c r="CW135" s="20">
        <f t="shared" si="121"/>
        <v>1.2754091996854009E-11</v>
      </c>
      <c r="CX135" s="59">
        <f t="shared" si="122"/>
        <v>284.23438527371189</v>
      </c>
      <c r="CY135" s="59">
        <f ca="1">AVERAGE(OFFSET($CX$3,0,0,'Données projet'!$E$13+1,1))-AVERAGE(OFFSET($H$3,0,0,'Données projet'!$E$13+1,1))</f>
        <v>445.01146841309549</v>
      </c>
      <c r="CZ135" s="59">
        <f t="shared" si="150"/>
        <v>315.40159257508969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179.19378166464571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179.19378166464571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-1.1368683772161603E-13</v>
      </c>
      <c r="DP135" s="17">
        <f>DO135*VLOOKUP('Données projet'!$B$14,Paramètres!$A$1:$I$89,3,0)*VLOOKUP('Données projet'!$B$14,Paramètres!$A$1:$I$89,5,0)</f>
        <v>-6.3550942286383367E-14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349.00268383833668</v>
      </c>
      <c r="DU135" s="59">
        <f t="shared" si="152"/>
        <v>459.94854391583749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49.329112594391638</v>
      </c>
      <c r="EB135" s="21">
        <f>EXP(-LN(2)/25)*EB134+(1-EXP(-LN(2)/25))/(LN(2)/25)*Calculateur!DW135*Calculateur!DY135*VLOOKUP('Données projet'!$B$14,Paramètres!$A$1:$I$89,3,0)*0.475*44/12</f>
        <v>6.8125233176773197</v>
      </c>
      <c r="EC135" s="21">
        <f>EXP(-LN(2)/2)*EC134+(1-EXP(-LN(2)/2))/(LN(2)/2)*DW135*DZ135*VLOOKUP('Données projet'!$B$14,Paramètres!$A$1:$I$89,3,0)*0.475*44/12</f>
        <v>8.7877887255610725E-11</v>
      </c>
      <c r="ED135" s="22">
        <f t="shared" si="126"/>
        <v>56.141635912156836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1.7053025658242404E-13</v>
      </c>
      <c r="EK135" s="17">
        <f>EJ135*VLOOKUP('Données projet'!$B$15,Paramètres!$A$1:$I$89,3,0)*VLOOKUP('Données projet'!$B$15,Paramètres!$A$1:$I$89,5,0)</f>
        <v>1.3301360013429075E-13</v>
      </c>
      <c r="EL135" s="13">
        <f t="shared" si="153"/>
        <v>1.9329766731057041E-12</v>
      </c>
      <c r="EM135" s="20">
        <f t="shared" si="127"/>
        <v>3.5982663925596575E-12</v>
      </c>
      <c r="EN135" s="59">
        <f t="shared" si="128"/>
        <v>284.23438527370274</v>
      </c>
      <c r="EO135" s="59">
        <f ca="1">AVERAGE(OFFSET($EN$3,0,0,'Données projet'!$E$15+1,1))-AVERAGE(OFFSET($H$3,0,0,'Données projet'!$E$15+1,1))</f>
        <v>308.82719216177946</v>
      </c>
      <c r="EP135" s="59">
        <f t="shared" si="154"/>
        <v>302.59481222418219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23.29952109823817</v>
      </c>
      <c r="EW135" s="21">
        <f>EXP(-LN(2)/25)*EW134+(1-EXP(-LN(2)/25))/(LN(2)/25)*Calculateur!ER135*Calculateur!ET135*VLOOKUP('Données projet'!$B$15,Paramètres!$A$1:$I$89,3,0)*0.475*44/12</f>
        <v>11.891853083076674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35.191374181314842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284.39223168034539</v>
      </c>
      <c r="S136" s="59">
        <f ca="1">AVERAGE(OFFSET($R$3,0,0,'Données projet'!$E$9+1,1))-AVERAGE(OFFSET($H$3,0,0,'Données projet'!$E$9+1,1))</f>
        <v>421.33534980160005</v>
      </c>
      <c r="T136" s="59">
        <f t="shared" si="142"/>
        <v>299.0473530693472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5.763922672485933E-13</v>
      </c>
      <c r="AK136" s="13">
        <f t="shared" si="143"/>
        <v>7.0619171555808457E-12</v>
      </c>
      <c r="AL136" s="20">
        <f t="shared" si="112"/>
        <v>1.3303388911427938E-11</v>
      </c>
      <c r="AM136" s="59">
        <f t="shared" si="113"/>
        <v>284.3922316803467</v>
      </c>
      <c r="AN136" s="59">
        <f ca="1">AVERAGE(OFFSET($AM$3,0,0,'Données projet'!$E$10+1,1))-AVERAGE(OFFSET($H$3,0,0,'Données projet'!$E$10+1,1))</f>
        <v>462.74754756814662</v>
      </c>
      <c r="AO136" s="59">
        <f t="shared" si="144"/>
        <v>327.65191293226667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184.18054126992061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184.18054126992061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5.6843418860808015E-13</v>
      </c>
      <c r="BE136" s="13">
        <f>BD136*VLOOKUP('Données projet'!$B$11,Paramètres!$A$1:$I$89,3,0)*VLOOKUP('Données projet'!$B$11,Paramètres!$A$1:$I$89,5,0)</f>
        <v>3.8130565371830017E-13</v>
      </c>
      <c r="BF136" s="13">
        <f t="shared" si="145"/>
        <v>4.9019074112354236E-12</v>
      </c>
      <c r="BG136" s="20">
        <f t="shared" si="115"/>
        <v>9.2015960881277352E-12</v>
      </c>
      <c r="BH136" s="59">
        <f t="shared" si="116"/>
        <v>284.3922316803426</v>
      </c>
      <c r="BI136" s="59">
        <f ca="1">AVERAGE(OFFSET($BH$3,0,0,'Données projet'!$E$11+1,1))-AVERAGE(OFFSET($H$3,0,0,'Données projet'!$E$11+1,1))</f>
        <v>332.21938212432008</v>
      </c>
      <c r="BJ136" s="59">
        <f t="shared" si="146"/>
        <v>237.47732529948181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150.17797980470448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150.17797980470448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5.4092197387944907E-13</v>
      </c>
      <c r="CA136" s="13">
        <f t="shared" si="147"/>
        <v>6.6765148417791561E-12</v>
      </c>
      <c r="CB136" s="20">
        <f t="shared" si="118"/>
        <v>1.2570369120605403E-11</v>
      </c>
      <c r="CC136" s="59">
        <f t="shared" si="119"/>
        <v>284.39223168034596</v>
      </c>
      <c r="CD136" s="59">
        <f ca="1">AVERAGE(OFFSET($CC$3,0,0,'Données projet'!$E$12+1,1))-AVERAGE(OFFSET($H$3,0,0,'Données projet'!$E$12+1,1))</f>
        <v>439.09551305860475</v>
      </c>
      <c r="CE136" s="59">
        <f t="shared" si="148"/>
        <v>311.31528017256846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172.84635411484859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172.84635411484859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5.6843418860808015E-13</v>
      </c>
      <c r="CU136" s="17">
        <f>CT136*VLOOKUP('Données projet'!$B$13,Paramètres!$A$1:$I$89,3,0)*VLOOKUP('Données projet'!$B$13,Paramètres!$A$1:$I$89,5,0)</f>
        <v>5.4978954722173515E-13</v>
      </c>
      <c r="CV136" s="13">
        <f t="shared" si="149"/>
        <v>6.7731340873355904E-12</v>
      </c>
      <c r="CW136" s="20">
        <f t="shared" si="121"/>
        <v>1.2754091996854009E-11</v>
      </c>
      <c r="CX136" s="59">
        <f t="shared" si="122"/>
        <v>284.39223168034613</v>
      </c>
      <c r="CY136" s="59">
        <f ca="1">AVERAGE(OFFSET($CX$3,0,0,'Données projet'!$E$13+1,1))-AVERAGE(OFFSET($H$3,0,0,'Données projet'!$E$13+1,1))</f>
        <v>445.01146841309549</v>
      </c>
      <c r="CZ136" s="59">
        <f t="shared" si="150"/>
        <v>315.40159257508969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175.67990090361661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175.67990090361661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-1.1368683772161603E-13</v>
      </c>
      <c r="DP136" s="17">
        <f>DO136*VLOOKUP('Données projet'!$B$14,Paramètres!$A$1:$I$89,3,0)*VLOOKUP('Données projet'!$B$14,Paramètres!$A$1:$I$89,5,0)</f>
        <v>-6.3550942286383367E-14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349.00268383833668</v>
      </c>
      <c r="DU136" s="59">
        <f t="shared" si="152"/>
        <v>459.94854391583749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48.36179878420338</v>
      </c>
      <c r="EB136" s="21">
        <f>EXP(-LN(2)/25)*EB135+(1-EXP(-LN(2)/25))/(LN(2)/25)*Calculateur!DW136*Calculateur!DY136*VLOOKUP('Données projet'!$B$14,Paramètres!$A$1:$I$89,3,0)*0.475*44/12</f>
        <v>6.626234509300402</v>
      </c>
      <c r="EC136" s="21">
        <f>EXP(-LN(2)/2)*EC135+(1-EXP(-LN(2)/2))/(LN(2)/2)*DW136*DZ136*VLOOKUP('Données projet'!$B$14,Paramètres!$A$1:$I$89,3,0)*0.475*44/12</f>
        <v>6.2139049994789226E-11</v>
      </c>
      <c r="ED136" s="22">
        <f t="shared" si="126"/>
        <v>54.98803329356592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1.7053025658242404E-13</v>
      </c>
      <c r="EK136" s="17">
        <f>EJ136*VLOOKUP('Données projet'!$B$15,Paramètres!$A$1:$I$89,3,0)*VLOOKUP('Données projet'!$B$15,Paramètres!$A$1:$I$89,5,0)</f>
        <v>1.3301360013429075E-13</v>
      </c>
      <c r="EL136" s="13">
        <f t="shared" si="153"/>
        <v>1.9329766731057041E-12</v>
      </c>
      <c r="EM136" s="20">
        <f t="shared" si="127"/>
        <v>3.5982663925596575E-12</v>
      </c>
      <c r="EN136" s="59">
        <f t="shared" si="128"/>
        <v>284.39223168033698</v>
      </c>
      <c r="EO136" s="59">
        <f ca="1">AVERAGE(OFFSET($EN$3,0,0,'Données projet'!$E$15+1,1))-AVERAGE(OFFSET($H$3,0,0,'Données projet'!$E$15+1,1))</f>
        <v>308.82719216177946</v>
      </c>
      <c r="EP136" s="59">
        <f t="shared" si="154"/>
        <v>302.59481222418219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22.84263170080634</v>
      </c>
      <c r="EW136" s="21">
        <f>EXP(-LN(2)/25)*EW135+(1-EXP(-LN(2)/25))/(LN(2)/25)*Calculateur!ER136*Calculateur!ET136*VLOOKUP('Données projet'!$B$15,Paramètres!$A$1:$I$89,3,0)*0.475*44/12</f>
        <v>11.566669735154568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34.409301435960906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284.54733980471627</v>
      </c>
      <c r="S137" s="59">
        <f ca="1">AVERAGE(OFFSET($R$3,0,0,'Données projet'!$E$9+1,1))-AVERAGE(OFFSET($H$3,0,0,'Données projet'!$E$9+1,1))</f>
        <v>421.33534980160005</v>
      </c>
      <c r="T137" s="59">
        <f t="shared" si="142"/>
        <v>299.0473530693472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5.763922672485933E-13</v>
      </c>
      <c r="AK137" s="13">
        <f t="shared" si="143"/>
        <v>7.0619171555808457E-12</v>
      </c>
      <c r="AL137" s="20">
        <f t="shared" si="112"/>
        <v>1.3303388911427938E-11</v>
      </c>
      <c r="AM137" s="59">
        <f t="shared" si="113"/>
        <v>284.54733980471758</v>
      </c>
      <c r="AN137" s="59">
        <f ca="1">AVERAGE(OFFSET($AM$3,0,0,'Données projet'!$E$10+1,1))-AVERAGE(OFFSET($H$3,0,0,'Données projet'!$E$10+1,1))</f>
        <v>462.74754756814662</v>
      </c>
      <c r="AO137" s="59">
        <f t="shared" si="144"/>
        <v>327.65191293226667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180.56887319465508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180.56887319465508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5.6843418860808015E-13</v>
      </c>
      <c r="BE137" s="13">
        <f>BD137*VLOOKUP('Données projet'!$B$11,Paramètres!$A$1:$I$89,3,0)*VLOOKUP('Données projet'!$B$11,Paramètres!$A$1:$I$89,5,0)</f>
        <v>3.8130565371830017E-13</v>
      </c>
      <c r="BF137" s="13">
        <f t="shared" si="145"/>
        <v>4.9019074112354236E-12</v>
      </c>
      <c r="BG137" s="20">
        <f t="shared" si="115"/>
        <v>9.2015960881277352E-12</v>
      </c>
      <c r="BH137" s="59">
        <f t="shared" si="116"/>
        <v>284.54733980471349</v>
      </c>
      <c r="BI137" s="59">
        <f ca="1">AVERAGE(OFFSET($BH$3,0,0,'Données projet'!$E$11+1,1))-AVERAGE(OFFSET($H$3,0,0,'Données projet'!$E$11+1,1))</f>
        <v>332.21938212432008</v>
      </c>
      <c r="BJ137" s="59">
        <f t="shared" si="146"/>
        <v>237.47732529948181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147.23308122025719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147.23308122025719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5.4092197387944907E-13</v>
      </c>
      <c r="CA137" s="13">
        <f t="shared" si="147"/>
        <v>6.6765148417791561E-12</v>
      </c>
      <c r="CB137" s="20">
        <f t="shared" si="118"/>
        <v>1.2570369120605403E-11</v>
      </c>
      <c r="CC137" s="59">
        <f t="shared" si="119"/>
        <v>284.54733980471684</v>
      </c>
      <c r="CD137" s="59">
        <f ca="1">AVERAGE(OFFSET($CC$3,0,0,'Données projet'!$E$12+1,1))-AVERAGE(OFFSET($H$3,0,0,'Données projet'!$E$12+1,1))</f>
        <v>439.09551305860475</v>
      </c>
      <c r="CE137" s="59">
        <f t="shared" si="148"/>
        <v>311.31528017256846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169.45694253652249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169.45694253652249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5.6843418860808015E-13</v>
      </c>
      <c r="CU137" s="17">
        <f>CT137*VLOOKUP('Données projet'!$B$13,Paramètres!$A$1:$I$89,3,0)*VLOOKUP('Données projet'!$B$13,Paramètres!$A$1:$I$89,5,0)</f>
        <v>5.4978954722173515E-13</v>
      </c>
      <c r="CV137" s="13">
        <f t="shared" si="149"/>
        <v>6.7731340873355904E-12</v>
      </c>
      <c r="CW137" s="20">
        <f t="shared" si="121"/>
        <v>1.2754091996854009E-11</v>
      </c>
      <c r="CX137" s="59">
        <f t="shared" si="122"/>
        <v>284.54733980471701</v>
      </c>
      <c r="CY137" s="59">
        <f ca="1">AVERAGE(OFFSET($CX$3,0,0,'Données projet'!$E$13+1,1))-AVERAGE(OFFSET($H$3,0,0,'Données projet'!$E$13+1,1))</f>
        <v>445.01146841309549</v>
      </c>
      <c r="CZ137" s="59">
        <f t="shared" si="150"/>
        <v>315.40159257508969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172.23492520105566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172.23492520105566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-1.1368683772161603E-13</v>
      </c>
      <c r="DP137" s="17">
        <f>DO137*VLOOKUP('Données projet'!$B$14,Paramètres!$A$1:$I$89,3,0)*VLOOKUP('Données projet'!$B$14,Paramètres!$A$1:$I$89,5,0)</f>
        <v>-6.3550942286383367E-14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349.00268383833668</v>
      </c>
      <c r="DU137" s="59">
        <f t="shared" si="152"/>
        <v>459.94854391583749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47.413453407829749</v>
      </c>
      <c r="EB137" s="21">
        <f>EXP(-LN(2)/25)*EB136+(1-EXP(-LN(2)/25))/(LN(2)/25)*Calculateur!DW137*Calculateur!DY137*VLOOKUP('Données projet'!$B$14,Paramètres!$A$1:$I$89,3,0)*0.475*44/12</f>
        <v>6.4450397781850546</v>
      </c>
      <c r="EC137" s="21">
        <f>EXP(-LN(2)/2)*EC136+(1-EXP(-LN(2)/2))/(LN(2)/2)*DW137*DZ137*VLOOKUP('Données projet'!$B$14,Paramètres!$A$1:$I$89,3,0)*0.475*44/12</f>
        <v>4.3938943627805363E-11</v>
      </c>
      <c r="ED137" s="22">
        <f t="shared" si="126"/>
        <v>53.858493186058745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1.7053025658242404E-13</v>
      </c>
      <c r="EK137" s="17">
        <f>EJ137*VLOOKUP('Données projet'!$B$15,Paramètres!$A$1:$I$89,3,0)*VLOOKUP('Données projet'!$B$15,Paramètres!$A$1:$I$89,5,0)</f>
        <v>1.3301360013429075E-13</v>
      </c>
      <c r="EL137" s="13">
        <f t="shared" si="153"/>
        <v>1.9329766731057041E-12</v>
      </c>
      <c r="EM137" s="20">
        <f t="shared" si="127"/>
        <v>3.5982663925596575E-12</v>
      </c>
      <c r="EN137" s="59">
        <f t="shared" si="128"/>
        <v>284.54733980470786</v>
      </c>
      <c r="EO137" s="59">
        <f ca="1">AVERAGE(OFFSET($EN$3,0,0,'Données projet'!$E$15+1,1))-AVERAGE(OFFSET($H$3,0,0,'Données projet'!$E$15+1,1))</f>
        <v>308.82719216177946</v>
      </c>
      <c r="EP137" s="59">
        <f t="shared" si="154"/>
        <v>302.59481222418219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22.394701625783132</v>
      </c>
      <c r="EW137" s="21">
        <f>EXP(-LN(2)/25)*EW136+(1-EXP(-LN(2)/25))/(LN(2)/25)*Calculateur!ER137*Calculateur!ET137*VLOOKUP('Données projet'!$B$15,Paramètres!$A$1:$I$89,3,0)*0.475*44/12</f>
        <v>11.250378542982041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33.645080168765176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284.69975714989914</v>
      </c>
      <c r="S138" s="59">
        <f ca="1">AVERAGE(OFFSET($R$3,0,0,'Données projet'!$E$9+1,1))-AVERAGE(OFFSET($H$3,0,0,'Données projet'!$E$9+1,1))</f>
        <v>421.33534980160005</v>
      </c>
      <c r="T138" s="59">
        <f t="shared" si="142"/>
        <v>299.0473530693472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5.763922672485933E-13</v>
      </c>
      <c r="AK138" s="13">
        <f t="shared" si="143"/>
        <v>7.0619171555808457E-12</v>
      </c>
      <c r="AL138" s="20">
        <f t="shared" si="112"/>
        <v>1.3303388911427938E-11</v>
      </c>
      <c r="AM138" s="59">
        <f t="shared" si="113"/>
        <v>284.69975714990045</v>
      </c>
      <c r="AN138" s="59">
        <f ca="1">AVERAGE(OFFSET($AM$3,0,0,'Données projet'!$E$10+1,1))-AVERAGE(OFFSET($H$3,0,0,'Données projet'!$E$10+1,1))</f>
        <v>462.74754756814662</v>
      </c>
      <c r="AO138" s="59">
        <f t="shared" si="144"/>
        <v>327.65191293226667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177.0280277274455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177.0280277274455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5.6843418860808015E-13</v>
      </c>
      <c r="BE138" s="13">
        <f>BD138*VLOOKUP('Données projet'!$B$11,Paramètres!$A$1:$I$89,3,0)*VLOOKUP('Données projet'!$B$11,Paramètres!$A$1:$I$89,5,0)</f>
        <v>3.8130565371830017E-13</v>
      </c>
      <c r="BF138" s="13">
        <f t="shared" si="145"/>
        <v>4.9019074112354236E-12</v>
      </c>
      <c r="BG138" s="20">
        <f t="shared" si="115"/>
        <v>9.2015960881277352E-12</v>
      </c>
      <c r="BH138" s="59">
        <f t="shared" si="116"/>
        <v>284.69975714989636</v>
      </c>
      <c r="BI138" s="59">
        <f ca="1">AVERAGE(OFFSET($BH$3,0,0,'Données projet'!$E$11+1,1))-AVERAGE(OFFSET($H$3,0,0,'Données projet'!$E$11+1,1))</f>
        <v>332.21938212432008</v>
      </c>
      <c r="BJ138" s="59">
        <f t="shared" si="146"/>
        <v>237.47732529948181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144.34593030084014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144.34593030084014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5.4092197387944907E-13</v>
      </c>
      <c r="CA138" s="13">
        <f t="shared" si="147"/>
        <v>6.6765148417791561E-12</v>
      </c>
      <c r="CB138" s="20">
        <f t="shared" si="118"/>
        <v>1.2570369120605403E-11</v>
      </c>
      <c r="CC138" s="59">
        <f t="shared" si="119"/>
        <v>284.69975714989971</v>
      </c>
      <c r="CD138" s="59">
        <f ca="1">AVERAGE(OFFSET($CC$3,0,0,'Données projet'!$E$12+1,1))-AVERAGE(OFFSET($H$3,0,0,'Données projet'!$E$12+1,1))</f>
        <v>439.09551305860475</v>
      </c>
      <c r="CE138" s="59">
        <f t="shared" si="148"/>
        <v>311.31528017256846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166.13399525191042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166.13399525191042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5.6843418860808015E-13</v>
      </c>
      <c r="CU138" s="17">
        <f>CT138*VLOOKUP('Données projet'!$B$13,Paramètres!$A$1:$I$89,3,0)*VLOOKUP('Données projet'!$B$13,Paramètres!$A$1:$I$89,5,0)</f>
        <v>5.4978954722173515E-13</v>
      </c>
      <c r="CV138" s="13">
        <f t="shared" si="149"/>
        <v>6.7731340873355904E-12</v>
      </c>
      <c r="CW138" s="20">
        <f t="shared" si="121"/>
        <v>1.2754091996854009E-11</v>
      </c>
      <c r="CX138" s="59">
        <f t="shared" si="122"/>
        <v>284.69975714989988</v>
      </c>
      <c r="CY138" s="59">
        <f ca="1">AVERAGE(OFFSET($CX$3,0,0,'Données projet'!$E$13+1,1))-AVERAGE(OFFSET($H$3,0,0,'Données projet'!$E$13+1,1))</f>
        <v>445.01146841309549</v>
      </c>
      <c r="CZ138" s="59">
        <f t="shared" si="150"/>
        <v>315.40159257508969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168.85750337079421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168.85750337079421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-1.1368683772161603E-13</v>
      </c>
      <c r="DP138" s="17">
        <f>DO138*VLOOKUP('Données projet'!$B$14,Paramètres!$A$1:$I$89,3,0)*VLOOKUP('Données projet'!$B$14,Paramètres!$A$1:$I$89,5,0)</f>
        <v>-6.3550942286383367E-14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349.00268383833668</v>
      </c>
      <c r="DU138" s="59">
        <f t="shared" si="152"/>
        <v>459.94854391583749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46.48370450585324</v>
      </c>
      <c r="EB138" s="21">
        <f>EXP(-LN(2)/25)*EB137+(1-EXP(-LN(2)/25))/(LN(2)/25)*Calculateur!DW138*Calculateur!DY138*VLOOKUP('Données projet'!$B$14,Paramètres!$A$1:$I$89,3,0)*0.475*44/12</f>
        <v>6.2687998265206728</v>
      </c>
      <c r="EC138" s="21">
        <f>EXP(-LN(2)/2)*EC137+(1-EXP(-LN(2)/2))/(LN(2)/2)*DW138*DZ138*VLOOKUP('Données projet'!$B$14,Paramètres!$A$1:$I$89,3,0)*0.475*44/12</f>
        <v>3.1069524997394613E-11</v>
      </c>
      <c r="ED138" s="22">
        <f t="shared" si="126"/>
        <v>52.752504332404982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1.7053025658242404E-13</v>
      </c>
      <c r="EK138" s="17">
        <f>EJ138*VLOOKUP('Données projet'!$B$15,Paramètres!$A$1:$I$89,3,0)*VLOOKUP('Données projet'!$B$15,Paramètres!$A$1:$I$89,5,0)</f>
        <v>1.3301360013429075E-13</v>
      </c>
      <c r="EL138" s="13">
        <f t="shared" si="153"/>
        <v>1.9329766731057041E-12</v>
      </c>
      <c r="EM138" s="20">
        <f t="shared" si="127"/>
        <v>3.5982663925596575E-12</v>
      </c>
      <c r="EN138" s="59">
        <f t="shared" si="128"/>
        <v>284.69975714989073</v>
      </c>
      <c r="EO138" s="59">
        <f ca="1">AVERAGE(OFFSET($EN$3,0,0,'Données projet'!$E$15+1,1))-AVERAGE(OFFSET($H$3,0,0,'Données projet'!$E$15+1,1))</f>
        <v>308.82719216177946</v>
      </c>
      <c r="EP138" s="59">
        <f t="shared" si="154"/>
        <v>302.59481222418219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21.955555186320762</v>
      </c>
      <c r="EW138" s="21">
        <f>EXP(-LN(2)/25)*EW137+(1-EXP(-LN(2)/25))/(LN(2)/25)*Calculateur!ER138*Calculateur!ET138*VLOOKUP('Données projet'!$B$15,Paramètres!$A$1:$I$89,3,0)*0.475*44/12</f>
        <v>10.942736350092503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32.898291536413268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284.84953039489722</v>
      </c>
      <c r="S139" s="59">
        <f ca="1">AVERAGE(OFFSET($R$3,0,0,'Données projet'!$E$9+1,1))-AVERAGE(OFFSET($H$3,0,0,'Données projet'!$E$9+1,1))</f>
        <v>421.33534980160005</v>
      </c>
      <c r="T139" s="59">
        <f t="shared" si="142"/>
        <v>299.0473530693472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5.763922672485933E-13</v>
      </c>
      <c r="AK139" s="13">
        <f t="shared" si="143"/>
        <v>7.0619171555808457E-12</v>
      </c>
      <c r="AL139" s="20">
        <f t="shared" si="112"/>
        <v>1.3303388911427938E-11</v>
      </c>
      <c r="AM139" s="59">
        <f t="shared" si="113"/>
        <v>284.84953039489852</v>
      </c>
      <c r="AN139" s="59">
        <f ca="1">AVERAGE(OFFSET($AM$3,0,0,'Données projet'!$E$10+1,1))-AVERAGE(OFFSET($H$3,0,0,'Données projet'!$E$10+1,1))</f>
        <v>462.74754756814662</v>
      </c>
      <c r="AO139" s="59">
        <f t="shared" si="144"/>
        <v>327.65191293226667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173.55661608014543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173.55661608014543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5.6843418860808015E-13</v>
      </c>
      <c r="BE139" s="13">
        <f>BD139*VLOOKUP('Données projet'!$B$11,Paramètres!$A$1:$I$89,3,0)*VLOOKUP('Données projet'!$B$11,Paramètres!$A$1:$I$89,5,0)</f>
        <v>3.8130565371830017E-13</v>
      </c>
      <c r="BF139" s="13">
        <f t="shared" si="145"/>
        <v>4.9019074112354236E-12</v>
      </c>
      <c r="BG139" s="20">
        <f t="shared" si="115"/>
        <v>9.2015960881277352E-12</v>
      </c>
      <c r="BH139" s="59">
        <f t="shared" si="116"/>
        <v>284.84953039489443</v>
      </c>
      <c r="BI139" s="59">
        <f ca="1">AVERAGE(OFFSET($BH$3,0,0,'Données projet'!$E$11+1,1))-AVERAGE(OFFSET($H$3,0,0,'Données projet'!$E$11+1,1))</f>
        <v>332.21938212432008</v>
      </c>
      <c r="BJ139" s="59">
        <f t="shared" si="146"/>
        <v>237.47732529948181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141.51539464996469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141.51539464996469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5.4092197387944907E-13</v>
      </c>
      <c r="CA139" s="13">
        <f t="shared" si="147"/>
        <v>6.6765148417791561E-12</v>
      </c>
      <c r="CB139" s="20">
        <f t="shared" si="118"/>
        <v>1.2570369120605403E-11</v>
      </c>
      <c r="CC139" s="59">
        <f t="shared" si="119"/>
        <v>284.84953039489778</v>
      </c>
      <c r="CD139" s="59">
        <f ca="1">AVERAGE(OFFSET($CC$3,0,0,'Données projet'!$E$12+1,1))-AVERAGE(OFFSET($H$3,0,0,'Données projet'!$E$12+1,1))</f>
        <v>439.09551305860475</v>
      </c>
      <c r="CE139" s="59">
        <f t="shared" si="148"/>
        <v>311.31528017256846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162.87620893675188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162.87620893675188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5.6843418860808015E-13</v>
      </c>
      <c r="CU139" s="17">
        <f>CT139*VLOOKUP('Données projet'!$B$13,Paramètres!$A$1:$I$89,3,0)*VLOOKUP('Données projet'!$B$13,Paramètres!$A$1:$I$89,5,0)</f>
        <v>5.4978954722173515E-13</v>
      </c>
      <c r="CV139" s="13">
        <f t="shared" si="149"/>
        <v>6.7731340873355904E-12</v>
      </c>
      <c r="CW139" s="20">
        <f t="shared" si="121"/>
        <v>1.2754091996854009E-11</v>
      </c>
      <c r="CX139" s="59">
        <f t="shared" si="122"/>
        <v>284.84953039489795</v>
      </c>
      <c r="CY139" s="59">
        <f ca="1">AVERAGE(OFFSET($CX$3,0,0,'Données projet'!$E$13+1,1))-AVERAGE(OFFSET($H$3,0,0,'Données projet'!$E$13+1,1))</f>
        <v>445.01146841309549</v>
      </c>
      <c r="CZ139" s="59">
        <f t="shared" si="150"/>
        <v>315.40159257508969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165.54631072260028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165.54631072260028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-1.1368683772161603E-13</v>
      </c>
      <c r="DP139" s="17">
        <f>DO139*VLOOKUP('Données projet'!$B$14,Paramètres!$A$1:$I$89,3,0)*VLOOKUP('Données projet'!$B$14,Paramètres!$A$1:$I$89,5,0)</f>
        <v>-6.3550942286383367E-14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349.00268383833668</v>
      </c>
      <c r="DU139" s="59">
        <f t="shared" si="152"/>
        <v>459.94854391583749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45.572187412753649</v>
      </c>
      <c r="EB139" s="21">
        <f>EXP(-LN(2)/25)*EB138+(1-EXP(-LN(2)/25))/(LN(2)/25)*Calculateur!DW139*Calculateur!DY139*VLOOKUP('Données projet'!$B$14,Paramètres!$A$1:$I$89,3,0)*0.475*44/12</f>
        <v>6.09737916560261</v>
      </c>
      <c r="EC139" s="21">
        <f>EXP(-LN(2)/2)*EC138+(1-EXP(-LN(2)/2))/(LN(2)/2)*DW139*DZ139*VLOOKUP('Données projet'!$B$14,Paramètres!$A$1:$I$89,3,0)*0.475*44/12</f>
        <v>2.1969471813902681E-11</v>
      </c>
      <c r="ED139" s="22">
        <f t="shared" si="126"/>
        <v>51.66956657837823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1.7053025658242404E-13</v>
      </c>
      <c r="EK139" s="17">
        <f>EJ139*VLOOKUP('Données projet'!$B$15,Paramètres!$A$1:$I$89,3,0)*VLOOKUP('Données projet'!$B$15,Paramètres!$A$1:$I$89,5,0)</f>
        <v>1.3301360013429075E-13</v>
      </c>
      <c r="EL139" s="13">
        <f t="shared" si="153"/>
        <v>1.9329766731057041E-12</v>
      </c>
      <c r="EM139" s="20">
        <f t="shared" si="127"/>
        <v>3.5982663925596575E-12</v>
      </c>
      <c r="EN139" s="59">
        <f t="shared" si="128"/>
        <v>284.8495303948888</v>
      </c>
      <c r="EO139" s="59">
        <f ca="1">AVERAGE(OFFSET($EN$3,0,0,'Données projet'!$E$15+1,1))-AVERAGE(OFFSET($H$3,0,0,'Données projet'!$E$15+1,1))</f>
        <v>308.82719216177946</v>
      </c>
      <c r="EP139" s="59">
        <f t="shared" si="154"/>
        <v>302.59481222418219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21.525020140683367</v>
      </c>
      <c r="EW139" s="21">
        <f>EXP(-LN(2)/25)*EW138+(1-EXP(-LN(2)/25))/(LN(2)/25)*Calculateur!ER139*Calculateur!ET139*VLOOKUP('Données projet'!$B$15,Paramètres!$A$1:$I$89,3,0)*0.475*44/12</f>
        <v>10.643506649145728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32.168526789829095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284.99670540893737</v>
      </c>
      <c r="S140" s="59">
        <f ca="1">AVERAGE(OFFSET($R$3,0,0,'Données projet'!$E$9+1,1))-AVERAGE(OFFSET($H$3,0,0,'Données projet'!$E$9+1,1))</f>
        <v>421.33534980160005</v>
      </c>
      <c r="T140" s="59">
        <f t="shared" si="142"/>
        <v>299.0473530693472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5.763922672485933E-13</v>
      </c>
      <c r="AK140" s="13">
        <f t="shared" si="143"/>
        <v>7.0619171555808457E-12</v>
      </c>
      <c r="AL140" s="20">
        <f t="shared" si="112"/>
        <v>1.3303388911427938E-11</v>
      </c>
      <c r="AM140" s="59">
        <f t="shared" si="113"/>
        <v>284.99670540893868</v>
      </c>
      <c r="AN140" s="59">
        <f ca="1">AVERAGE(OFFSET($AM$3,0,0,'Données projet'!$E$10+1,1))-AVERAGE(OFFSET($H$3,0,0,'Données projet'!$E$10+1,1))</f>
        <v>462.74754756814662</v>
      </c>
      <c r="AO140" s="59">
        <f t="shared" si="144"/>
        <v>327.65191293226667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170.15327669789687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170.15327669789687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5.6843418860808015E-13</v>
      </c>
      <c r="BE140" s="13">
        <f>BD140*VLOOKUP('Données projet'!$B$11,Paramètres!$A$1:$I$89,3,0)*VLOOKUP('Données projet'!$B$11,Paramètres!$A$1:$I$89,5,0)</f>
        <v>3.8130565371830017E-13</v>
      </c>
      <c r="BF140" s="13">
        <f t="shared" si="145"/>
        <v>4.9019074112354236E-12</v>
      </c>
      <c r="BG140" s="20">
        <f t="shared" si="115"/>
        <v>9.2015960881277352E-12</v>
      </c>
      <c r="BH140" s="59">
        <f t="shared" si="116"/>
        <v>284.99670540893459</v>
      </c>
      <c r="BI140" s="59">
        <f ca="1">AVERAGE(OFFSET($BH$3,0,0,'Données projet'!$E$11+1,1))-AVERAGE(OFFSET($H$3,0,0,'Données projet'!$E$11+1,1))</f>
        <v>332.21938212432008</v>
      </c>
      <c r="BJ140" s="59">
        <f t="shared" si="146"/>
        <v>237.47732529948181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138.74036407674663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138.74036407674663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5.4092197387944907E-13</v>
      </c>
      <c r="CA140" s="13">
        <f t="shared" si="147"/>
        <v>6.6765148417791561E-12</v>
      </c>
      <c r="CB140" s="20">
        <f t="shared" si="118"/>
        <v>1.2570369120605403E-11</v>
      </c>
      <c r="CC140" s="59">
        <f t="shared" si="119"/>
        <v>284.99670540893794</v>
      </c>
      <c r="CD140" s="59">
        <f ca="1">AVERAGE(OFFSET($CC$3,0,0,'Données projet'!$E$12+1,1))-AVERAGE(OFFSET($H$3,0,0,'Données projet'!$E$12+1,1))</f>
        <v>439.09551305860475</v>
      </c>
      <c r="CE140" s="59">
        <f t="shared" si="148"/>
        <v>311.31528017256846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159.68230582418016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159.68230582418016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5.6843418860808015E-13</v>
      </c>
      <c r="CU140" s="17">
        <f>CT140*VLOOKUP('Données projet'!$B$13,Paramètres!$A$1:$I$89,3,0)*VLOOKUP('Données projet'!$B$13,Paramètres!$A$1:$I$89,5,0)</f>
        <v>5.4978954722173515E-13</v>
      </c>
      <c r="CV140" s="13">
        <f t="shared" si="149"/>
        <v>6.7731340873355904E-12</v>
      </c>
      <c r="CW140" s="20">
        <f t="shared" si="121"/>
        <v>1.2754091996854009E-11</v>
      </c>
      <c r="CX140" s="59">
        <f t="shared" si="122"/>
        <v>284.99670540893811</v>
      </c>
      <c r="CY140" s="59">
        <f ca="1">AVERAGE(OFFSET($CX$3,0,0,'Données projet'!$E$13+1,1))-AVERAGE(OFFSET($H$3,0,0,'Données projet'!$E$13+1,1))</f>
        <v>445.01146841309549</v>
      </c>
      <c r="CZ140" s="59">
        <f t="shared" si="150"/>
        <v>315.40159257508969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162.30004854260935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162.30004854260935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-1.1368683772161603E-13</v>
      </c>
      <c r="DP140" s="17">
        <f>DO140*VLOOKUP('Données projet'!$B$14,Paramètres!$A$1:$I$89,3,0)*VLOOKUP('Données projet'!$B$14,Paramètres!$A$1:$I$89,5,0)</f>
        <v>-6.3550942286383367E-14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349.00268383833668</v>
      </c>
      <c r="DU140" s="59">
        <f t="shared" si="152"/>
        <v>459.94854391583749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44.678544613879218</v>
      </c>
      <c r="EB140" s="21">
        <f>EXP(-LN(2)/25)*EB139+(1-EXP(-LN(2)/25))/(LN(2)/25)*Calculateur!DW140*Calculateur!DY140*VLOOKUP('Données projet'!$B$14,Paramètres!$A$1:$I$89,3,0)*0.475*44/12</f>
        <v>5.9306460116719721</v>
      </c>
      <c r="EC140" s="21">
        <f>EXP(-LN(2)/2)*EC139+(1-EXP(-LN(2)/2))/(LN(2)/2)*DW140*DZ140*VLOOKUP('Données projet'!$B$14,Paramètres!$A$1:$I$89,3,0)*0.475*44/12</f>
        <v>1.5534762498697307E-11</v>
      </c>
      <c r="ED140" s="22">
        <f t="shared" si="126"/>
        <v>50.609190625566725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1.7053025658242404E-13</v>
      </c>
      <c r="EK140" s="17">
        <f>EJ140*VLOOKUP('Données projet'!$B$15,Paramètres!$A$1:$I$89,3,0)*VLOOKUP('Données projet'!$B$15,Paramètres!$A$1:$I$89,5,0)</f>
        <v>1.3301360013429075E-13</v>
      </c>
      <c r="EL140" s="13">
        <f t="shared" si="153"/>
        <v>1.9329766731057041E-12</v>
      </c>
      <c r="EM140" s="20">
        <f t="shared" si="127"/>
        <v>3.5982663925596575E-12</v>
      </c>
      <c r="EN140" s="59">
        <f t="shared" si="128"/>
        <v>284.99670540892896</v>
      </c>
      <c r="EO140" s="59">
        <f ca="1">AVERAGE(OFFSET($EN$3,0,0,'Données projet'!$E$15+1,1))-AVERAGE(OFFSET($H$3,0,0,'Données projet'!$E$15+1,1))</f>
        <v>308.82719216177946</v>
      </c>
      <c r="EP140" s="59">
        <f t="shared" si="154"/>
        <v>302.59481222418219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21.102927624690473</v>
      </c>
      <c r="EW140" s="21">
        <f>EXP(-LN(2)/25)*EW139+(1-EXP(-LN(2)/25))/(LN(2)/25)*Calculateur!ER140*Calculateur!ET140*VLOOKUP('Données projet'!$B$15,Paramètres!$A$1:$I$89,3,0)*0.475*44/12</f>
        <v>10.352459400107149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31.455387024797623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285.14132726551793</v>
      </c>
      <c r="S141" s="59">
        <f ca="1">AVERAGE(OFFSET($R$3,0,0,'Données projet'!$E$9+1,1))-AVERAGE(OFFSET($H$3,0,0,'Données projet'!$E$9+1,1))</f>
        <v>421.33534980160005</v>
      </c>
      <c r="T141" s="59">
        <f t="shared" si="142"/>
        <v>299.0473530693472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5.763922672485933E-13</v>
      </c>
      <c r="AK141" s="13">
        <f t="shared" si="143"/>
        <v>7.0619171555808457E-12</v>
      </c>
      <c r="AL141" s="20">
        <f t="shared" si="112"/>
        <v>1.3303388911427938E-11</v>
      </c>
      <c r="AM141" s="59">
        <f t="shared" si="113"/>
        <v>285.14132726551924</v>
      </c>
      <c r="AN141" s="59">
        <f ca="1">AVERAGE(OFFSET($AM$3,0,0,'Données projet'!$E$10+1,1))-AVERAGE(OFFSET($H$3,0,0,'Données projet'!$E$10+1,1))</f>
        <v>462.74754756814662</v>
      </c>
      <c r="AO141" s="59">
        <f t="shared" si="144"/>
        <v>327.65191293226667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166.81667472510216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166.81667472510216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5.6843418860808015E-13</v>
      </c>
      <c r="BE141" s="13">
        <f>BD141*VLOOKUP('Données projet'!$B$11,Paramètres!$A$1:$I$89,3,0)*VLOOKUP('Données projet'!$B$11,Paramètres!$A$1:$I$89,5,0)</f>
        <v>3.8130565371830017E-13</v>
      </c>
      <c r="BF141" s="13">
        <f t="shared" si="145"/>
        <v>4.9019074112354236E-12</v>
      </c>
      <c r="BG141" s="20">
        <f t="shared" si="115"/>
        <v>9.2015960881277352E-12</v>
      </c>
      <c r="BH141" s="59">
        <f t="shared" si="116"/>
        <v>285.14132726551514</v>
      </c>
      <c r="BI141" s="59">
        <f ca="1">AVERAGE(OFFSET($BH$3,0,0,'Données projet'!$E$11+1,1))-AVERAGE(OFFSET($H$3,0,0,'Données projet'!$E$11+1,1))</f>
        <v>332.21938212432008</v>
      </c>
      <c r="BJ141" s="59">
        <f t="shared" si="146"/>
        <v>237.47732529948181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136.01975016046785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136.01975016046785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5.4092197387944907E-13</v>
      </c>
      <c r="CA141" s="13">
        <f t="shared" si="147"/>
        <v>6.6765148417791561E-12</v>
      </c>
      <c r="CB141" s="20">
        <f t="shared" si="118"/>
        <v>1.2570369120605403E-11</v>
      </c>
      <c r="CC141" s="59">
        <f t="shared" si="119"/>
        <v>285.1413272655185</v>
      </c>
      <c r="CD141" s="59">
        <f ca="1">AVERAGE(OFFSET($CC$3,0,0,'Données projet'!$E$12+1,1))-AVERAGE(OFFSET($H$3,0,0,'Données projet'!$E$12+1,1))</f>
        <v>439.09551305860475</v>
      </c>
      <c r="CE141" s="59">
        <f t="shared" si="148"/>
        <v>311.31528017256846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156.55103320355744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156.55103320355744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5.6843418860808015E-13</v>
      </c>
      <c r="CU141" s="17">
        <f>CT141*VLOOKUP('Données projet'!$B$13,Paramètres!$A$1:$I$89,3,0)*VLOOKUP('Données projet'!$B$13,Paramètres!$A$1:$I$89,5,0)</f>
        <v>5.4978954722173515E-13</v>
      </c>
      <c r="CV141" s="13">
        <f t="shared" si="149"/>
        <v>6.7731340873355904E-12</v>
      </c>
      <c r="CW141" s="20">
        <f t="shared" si="121"/>
        <v>1.2754091996854009E-11</v>
      </c>
      <c r="CX141" s="59">
        <f t="shared" si="122"/>
        <v>285.14132726551867</v>
      </c>
      <c r="CY141" s="59">
        <f ca="1">AVERAGE(OFFSET($CX$3,0,0,'Données projet'!$E$13+1,1))-AVERAGE(OFFSET($H$3,0,0,'Données projet'!$E$13+1,1))</f>
        <v>445.01146841309549</v>
      </c>
      <c r="CZ141" s="59">
        <f t="shared" si="150"/>
        <v>315.40159257508969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159.11744358394361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159.11744358394361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-1.1368683772161603E-13</v>
      </c>
      <c r="DP141" s="17">
        <f>DO141*VLOOKUP('Données projet'!$B$14,Paramètres!$A$1:$I$89,3,0)*VLOOKUP('Données projet'!$B$14,Paramètres!$A$1:$I$89,5,0)</f>
        <v>-6.3550942286383367E-14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349.00268383833668</v>
      </c>
      <c r="DU141" s="59">
        <f t="shared" si="152"/>
        <v>459.94854391583749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43.802425605222425</v>
      </c>
      <c r="EB141" s="21">
        <f>EXP(-LN(2)/25)*EB140+(1-EXP(-LN(2)/25))/(LN(2)/25)*Calculateur!DW141*Calculateur!DY141*VLOOKUP('Données projet'!$B$14,Paramètres!$A$1:$I$89,3,0)*0.475*44/12</f>
        <v>5.7684721846036826</v>
      </c>
      <c r="EC141" s="21">
        <f>EXP(-LN(2)/2)*EC140+(1-EXP(-LN(2)/2))/(LN(2)/2)*DW141*DZ141*VLOOKUP('Données projet'!$B$14,Paramètres!$A$1:$I$89,3,0)*0.475*44/12</f>
        <v>1.0984735906951341E-11</v>
      </c>
      <c r="ED141" s="22">
        <f t="shared" si="126"/>
        <v>49.57089778983709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1.7053025658242404E-13</v>
      </c>
      <c r="EK141" s="17">
        <f>EJ141*VLOOKUP('Données projet'!$B$15,Paramètres!$A$1:$I$89,3,0)*VLOOKUP('Données projet'!$B$15,Paramètres!$A$1:$I$89,5,0)</f>
        <v>1.3301360013429075E-13</v>
      </c>
      <c r="EL141" s="13">
        <f t="shared" si="153"/>
        <v>1.9329766731057041E-12</v>
      </c>
      <c r="EM141" s="20">
        <f t="shared" si="127"/>
        <v>3.5982663925596575E-12</v>
      </c>
      <c r="EN141" s="59">
        <f t="shared" si="128"/>
        <v>285.14132726550952</v>
      </c>
      <c r="EO141" s="59">
        <f ca="1">AVERAGE(OFFSET($EN$3,0,0,'Données projet'!$E$15+1,1))-AVERAGE(OFFSET($H$3,0,0,'Données projet'!$E$15+1,1))</f>
        <v>308.82719216177946</v>
      </c>
      <c r="EP141" s="59">
        <f t="shared" si="154"/>
        <v>302.59481222418219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20.689112085485188</v>
      </c>
      <c r="EW141" s="21">
        <f>EXP(-LN(2)/25)*EW140+(1-EXP(-LN(2)/25))/(LN(2)/25)*Calculateur!ER141*Calculateur!ET141*VLOOKUP('Données projet'!$B$15,Paramètres!$A$1:$I$89,3,0)*0.475*44/12</f>
        <v>10.06937085339904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30.758482938884228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285.28344025621288</v>
      </c>
      <c r="S142" s="59">
        <f ca="1">AVERAGE(OFFSET($R$3,0,0,'Données projet'!$E$9+1,1))-AVERAGE(OFFSET($H$3,0,0,'Données projet'!$E$9+1,1))</f>
        <v>421.33534980160005</v>
      </c>
      <c r="T142" s="59">
        <f t="shared" si="142"/>
        <v>299.0473530693472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5.763922672485933E-13</v>
      </c>
      <c r="AK142" s="13">
        <f t="shared" si="143"/>
        <v>7.0619171555808457E-12</v>
      </c>
      <c r="AL142" s="20">
        <f t="shared" si="112"/>
        <v>1.3303388911427938E-11</v>
      </c>
      <c r="AM142" s="59">
        <f t="shared" si="113"/>
        <v>285.28344025621419</v>
      </c>
      <c r="AN142" s="59">
        <f ca="1">AVERAGE(OFFSET($AM$3,0,0,'Données projet'!$E$10+1,1))-AVERAGE(OFFSET($H$3,0,0,'Données projet'!$E$10+1,1))</f>
        <v>462.74754756814662</v>
      </c>
      <c r="AO142" s="59">
        <f t="shared" si="144"/>
        <v>327.65191293226667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163.54550148186769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163.54550148186769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5.6843418860808015E-13</v>
      </c>
      <c r="BE142" s="13">
        <f>BD142*VLOOKUP('Données projet'!$B$11,Paramètres!$A$1:$I$89,3,0)*VLOOKUP('Données projet'!$B$11,Paramètres!$A$1:$I$89,5,0)</f>
        <v>3.8130565371830017E-13</v>
      </c>
      <c r="BF142" s="13">
        <f t="shared" si="145"/>
        <v>4.9019074112354236E-12</v>
      </c>
      <c r="BG142" s="20">
        <f t="shared" si="115"/>
        <v>9.2015960881277352E-12</v>
      </c>
      <c r="BH142" s="59">
        <f t="shared" si="116"/>
        <v>285.2834402562101</v>
      </c>
      <c r="BI142" s="59">
        <f ca="1">AVERAGE(OFFSET($BH$3,0,0,'Données projet'!$E$11+1,1))-AVERAGE(OFFSET($H$3,0,0,'Données projet'!$E$11+1,1))</f>
        <v>332.21938212432008</v>
      </c>
      <c r="BJ142" s="59">
        <f t="shared" si="146"/>
        <v>237.47732529948181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133.35248582367669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133.35248582367669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5.4092197387944907E-13</v>
      </c>
      <c r="CA142" s="13">
        <f t="shared" si="147"/>
        <v>6.6765148417791561E-12</v>
      </c>
      <c r="CB142" s="20">
        <f t="shared" si="118"/>
        <v>1.2570369120605403E-11</v>
      </c>
      <c r="CC142" s="59">
        <f t="shared" si="119"/>
        <v>285.28344025621345</v>
      </c>
      <c r="CD142" s="59">
        <f ca="1">AVERAGE(OFFSET($CC$3,0,0,'Données projet'!$E$12+1,1))-AVERAGE(OFFSET($H$3,0,0,'Données projet'!$E$12+1,1))</f>
        <v>439.09551305860475</v>
      </c>
      <c r="CE142" s="59">
        <f t="shared" si="148"/>
        <v>311.31528017256846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153.48116292913741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153.48116292913741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5.6843418860808015E-13</v>
      </c>
      <c r="CU142" s="17">
        <f>CT142*VLOOKUP('Données projet'!$B$13,Paramètres!$A$1:$I$89,3,0)*VLOOKUP('Données projet'!$B$13,Paramètres!$A$1:$I$89,5,0)</f>
        <v>5.4978954722173515E-13</v>
      </c>
      <c r="CV142" s="13">
        <f t="shared" si="149"/>
        <v>6.7731340873355904E-12</v>
      </c>
      <c r="CW142" s="20">
        <f t="shared" si="121"/>
        <v>1.2754091996854009E-11</v>
      </c>
      <c r="CX142" s="59">
        <f t="shared" si="122"/>
        <v>285.28344025621362</v>
      </c>
      <c r="CY142" s="59">
        <f ca="1">AVERAGE(OFFSET($CX$3,0,0,'Données projet'!$E$13+1,1))-AVERAGE(OFFSET($H$3,0,0,'Données projet'!$E$13+1,1))</f>
        <v>445.01146841309549</v>
      </c>
      <c r="CZ142" s="59">
        <f t="shared" si="150"/>
        <v>315.40159257508969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155.99724756731996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155.99724756731996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-1.1368683772161603E-13</v>
      </c>
      <c r="DP142" s="17">
        <f>DO142*VLOOKUP('Données projet'!$B$14,Paramètres!$A$1:$I$89,3,0)*VLOOKUP('Données projet'!$B$14,Paramètres!$A$1:$I$89,5,0)</f>
        <v>-6.3550942286383367E-14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349.00268383833668</v>
      </c>
      <c r="DU142" s="59">
        <f t="shared" si="152"/>
        <v>459.94854391583749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42.943486755945564</v>
      </c>
      <c r="EB142" s="21">
        <f>EXP(-LN(2)/25)*EB141+(1-EXP(-LN(2)/25))/(LN(2)/25)*Calculateur!DW142*Calculateur!DY142*VLOOKUP('Données projet'!$B$14,Paramètres!$A$1:$I$89,3,0)*0.475*44/12</f>
        <v>5.6107330093649264</v>
      </c>
      <c r="EC142" s="21">
        <f>EXP(-LN(2)/2)*EC141+(1-EXP(-LN(2)/2))/(LN(2)/2)*DW142*DZ142*VLOOKUP('Données projet'!$B$14,Paramètres!$A$1:$I$89,3,0)*0.475*44/12</f>
        <v>7.7673812493486533E-12</v>
      </c>
      <c r="ED142" s="22">
        <f t="shared" si="126"/>
        <v>48.554219765318258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1.7053025658242404E-13</v>
      </c>
      <c r="EK142" s="17">
        <f>EJ142*VLOOKUP('Données projet'!$B$15,Paramètres!$A$1:$I$89,3,0)*VLOOKUP('Données projet'!$B$15,Paramètres!$A$1:$I$89,5,0)</f>
        <v>1.3301360013429075E-13</v>
      </c>
      <c r="EL142" s="13">
        <f t="shared" si="153"/>
        <v>1.9329766731057041E-12</v>
      </c>
      <c r="EM142" s="20">
        <f t="shared" si="127"/>
        <v>3.5982663925596575E-12</v>
      </c>
      <c r="EN142" s="59">
        <f t="shared" si="128"/>
        <v>285.28344025620447</v>
      </c>
      <c r="EO142" s="59">
        <f ca="1">AVERAGE(OFFSET($EN$3,0,0,'Données projet'!$E$15+1,1))-AVERAGE(OFFSET($H$3,0,0,'Données projet'!$E$15+1,1))</f>
        <v>308.82719216177946</v>
      </c>
      <c r="EP142" s="59">
        <f t="shared" si="154"/>
        <v>302.59481222418219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20.283411216601163</v>
      </c>
      <c r="EW142" s="21">
        <f>EXP(-LN(2)/25)*EW141+(1-EXP(-LN(2)/25))/(LN(2)/25)*Calculateur!ER142*Calculateur!ET142*VLOOKUP('Données projet'!$B$15,Paramètres!$A$1:$I$89,3,0)*0.475*44/12</f>
        <v>9.794023377887644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30.077434594488807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285.42308790423635</v>
      </c>
      <c r="S143" s="59">
        <f ca="1">AVERAGE(OFFSET($R$3,0,0,'Données projet'!$E$9+1,1))-AVERAGE(OFFSET($H$3,0,0,'Données projet'!$E$9+1,1))</f>
        <v>421.33534980160005</v>
      </c>
      <c r="T143" s="59">
        <f t="shared" si="142"/>
        <v>299.0473530693472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5.763922672485933E-13</v>
      </c>
      <c r="AK143" s="13">
        <f t="shared" si="143"/>
        <v>7.0619171555808457E-12</v>
      </c>
      <c r="AL143" s="20">
        <f t="shared" si="112"/>
        <v>1.3303388911427938E-11</v>
      </c>
      <c r="AM143" s="59">
        <f t="shared" si="113"/>
        <v>285.42308790423766</v>
      </c>
      <c r="AN143" s="59">
        <f ca="1">AVERAGE(OFFSET($AM$3,0,0,'Données projet'!$E$10+1,1))-AVERAGE(OFFSET($H$3,0,0,'Données projet'!$E$10+1,1))</f>
        <v>462.74754756814662</v>
      </c>
      <c r="AO143" s="59">
        <f t="shared" si="144"/>
        <v>327.65191293226667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160.33847395071439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160.33847395071439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5.6843418860808015E-13</v>
      </c>
      <c r="BE143" s="13">
        <f>BD143*VLOOKUP('Données projet'!$B$11,Paramètres!$A$1:$I$89,3,0)*VLOOKUP('Données projet'!$B$11,Paramètres!$A$1:$I$89,5,0)</f>
        <v>3.8130565371830017E-13</v>
      </c>
      <c r="BF143" s="13">
        <f t="shared" si="145"/>
        <v>4.9019074112354236E-12</v>
      </c>
      <c r="BG143" s="20">
        <f t="shared" si="115"/>
        <v>9.2015960881277352E-12</v>
      </c>
      <c r="BH143" s="59">
        <f t="shared" si="116"/>
        <v>285.42308790423357</v>
      </c>
      <c r="BI143" s="59">
        <f ca="1">AVERAGE(OFFSET($BH$3,0,0,'Données projet'!$E$11+1,1))-AVERAGE(OFFSET($H$3,0,0,'Données projet'!$E$11+1,1))</f>
        <v>332.21938212432008</v>
      </c>
      <c r="BJ143" s="59">
        <f t="shared" si="146"/>
        <v>237.47732529948181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130.73752491365937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130.73752491365937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5.4092197387944907E-13</v>
      </c>
      <c r="CA143" s="13">
        <f t="shared" si="147"/>
        <v>6.6765148417791561E-12</v>
      </c>
      <c r="CB143" s="20">
        <f t="shared" si="118"/>
        <v>1.2570369120605403E-11</v>
      </c>
      <c r="CC143" s="59">
        <f t="shared" si="119"/>
        <v>285.42308790423692</v>
      </c>
      <c r="CD143" s="59">
        <f ca="1">AVERAGE(OFFSET($CC$3,0,0,'Données projet'!$E$12+1,1))-AVERAGE(OFFSET($H$3,0,0,'Données projet'!$E$12+1,1))</f>
        <v>439.09551305860475</v>
      </c>
      <c r="CE143" s="59">
        <f t="shared" si="148"/>
        <v>311.31528017256846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150.47149093836276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150.47149093836276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5.6843418860808015E-13</v>
      </c>
      <c r="CU143" s="17">
        <f>CT143*VLOOKUP('Données projet'!$B$13,Paramètres!$A$1:$I$89,3,0)*VLOOKUP('Données projet'!$B$13,Paramètres!$A$1:$I$89,5,0)</f>
        <v>5.4978954722173515E-13</v>
      </c>
      <c r="CV143" s="13">
        <f t="shared" si="149"/>
        <v>6.7731340873355904E-12</v>
      </c>
      <c r="CW143" s="20">
        <f t="shared" si="121"/>
        <v>1.2754091996854009E-11</v>
      </c>
      <c r="CX143" s="59">
        <f t="shared" si="122"/>
        <v>285.42308790423709</v>
      </c>
      <c r="CY143" s="59">
        <f ca="1">AVERAGE(OFFSET($CX$3,0,0,'Données projet'!$E$13+1,1))-AVERAGE(OFFSET($H$3,0,0,'Données projet'!$E$13+1,1))</f>
        <v>445.01146841309549</v>
      </c>
      <c r="CZ143" s="59">
        <f t="shared" si="150"/>
        <v>315.40159257508969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152.93823669145067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152.93823669145067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-1.1368683772161603E-13</v>
      </c>
      <c r="DP143" s="17">
        <f>DO143*VLOOKUP('Données projet'!$B$14,Paramètres!$A$1:$I$89,3,0)*VLOOKUP('Données projet'!$B$14,Paramètres!$A$1:$I$89,5,0)</f>
        <v>-6.3550942286383367E-14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349.00268383833668</v>
      </c>
      <c r="DU143" s="59">
        <f t="shared" si="152"/>
        <v>459.94854391583749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42.101391173602053</v>
      </c>
      <c r="EB143" s="21">
        <f>EXP(-LN(2)/25)*EB142+(1-EXP(-LN(2)/25))/(LN(2)/25)*Calculateur!DW143*Calculateur!DY143*VLOOKUP('Données projet'!$B$14,Paramètres!$A$1:$I$89,3,0)*0.475*44/12</f>
        <v>5.4573072201682171</v>
      </c>
      <c r="EC143" s="21">
        <f>EXP(-LN(2)/2)*EC142+(1-EXP(-LN(2)/2))/(LN(2)/2)*DW143*DZ143*VLOOKUP('Données projet'!$B$14,Paramètres!$A$1:$I$89,3,0)*0.475*44/12</f>
        <v>5.4923679534756703E-12</v>
      </c>
      <c r="ED143" s="22">
        <f t="shared" si="126"/>
        <v>47.558698393775764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1.7053025658242404E-13</v>
      </c>
      <c r="EK143" s="17">
        <f>EJ143*VLOOKUP('Données projet'!$B$15,Paramètres!$A$1:$I$89,3,0)*VLOOKUP('Données projet'!$B$15,Paramètres!$A$1:$I$89,5,0)</f>
        <v>1.3301360013429075E-13</v>
      </c>
      <c r="EL143" s="13">
        <f t="shared" si="153"/>
        <v>1.9329766731057041E-12</v>
      </c>
      <c r="EM143" s="20">
        <f t="shared" si="127"/>
        <v>3.5982663925596575E-12</v>
      </c>
      <c r="EN143" s="59">
        <f t="shared" si="128"/>
        <v>285.42308790422794</v>
      </c>
      <c r="EO143" s="59">
        <f ca="1">AVERAGE(OFFSET($EN$3,0,0,'Données projet'!$E$15+1,1))-AVERAGE(OFFSET($H$3,0,0,'Données projet'!$E$15+1,1))</f>
        <v>308.82719216177946</v>
      </c>
      <c r="EP143" s="59">
        <f t="shared" si="154"/>
        <v>302.59481222418219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19.885665894302857</v>
      </c>
      <c r="EW143" s="21">
        <f>EXP(-LN(2)/25)*EW142+(1-EXP(-LN(2)/25))/(LN(2)/25)*Calculateur!ER143*Calculateur!ET143*VLOOKUP('Données projet'!$B$15,Paramètres!$A$1:$I$89,3,0)*0.475*44/12</f>
        <v>9.5262052935740016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29.411871187876859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285.56031297777201</v>
      </c>
      <c r="S144" s="59">
        <f ca="1">AVERAGE(OFFSET($R$3,0,0,'Données projet'!$E$9+1,1))-AVERAGE(OFFSET($H$3,0,0,'Données projet'!$E$9+1,1))</f>
        <v>421.33534980160005</v>
      </c>
      <c r="T144" s="59">
        <f t="shared" si="142"/>
        <v>299.0473530693472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5.763922672485933E-13</v>
      </c>
      <c r="AK144" s="13">
        <f t="shared" si="143"/>
        <v>7.0619171555808457E-12</v>
      </c>
      <c r="AL144" s="20">
        <f t="shared" si="112"/>
        <v>1.3303388911427938E-11</v>
      </c>
      <c r="AM144" s="59">
        <f t="shared" si="113"/>
        <v>285.56031297777332</v>
      </c>
      <c r="AN144" s="59">
        <f ca="1">AVERAGE(OFFSET($AM$3,0,0,'Données projet'!$E$10+1,1))-AVERAGE(OFFSET($H$3,0,0,'Données projet'!$E$10+1,1))</f>
        <v>462.74754756814662</v>
      </c>
      <c r="AO144" s="59">
        <f t="shared" si="144"/>
        <v>327.65191293226667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157.19433427335335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157.19433427335335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5.6843418860808015E-13</v>
      </c>
      <c r="BE144" s="13">
        <f>BD144*VLOOKUP('Données projet'!$B$11,Paramètres!$A$1:$I$89,3,0)*VLOOKUP('Données projet'!$B$11,Paramètres!$A$1:$I$89,5,0)</f>
        <v>3.8130565371830017E-13</v>
      </c>
      <c r="BF144" s="13">
        <f t="shared" si="145"/>
        <v>4.9019074112354236E-12</v>
      </c>
      <c r="BG144" s="20">
        <f t="shared" si="115"/>
        <v>9.2015960881277352E-12</v>
      </c>
      <c r="BH144" s="59">
        <f t="shared" si="116"/>
        <v>285.56031297776923</v>
      </c>
      <c r="BI144" s="59">
        <f ca="1">AVERAGE(OFFSET($BH$3,0,0,'Données projet'!$E$11+1,1))-AVERAGE(OFFSET($H$3,0,0,'Données projet'!$E$11+1,1))</f>
        <v>332.21938212432008</v>
      </c>
      <c r="BJ144" s="59">
        <f t="shared" si="146"/>
        <v>237.47732529948181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128.17384179211885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128.17384179211885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5.4092197387944907E-13</v>
      </c>
      <c r="CA144" s="13">
        <f t="shared" si="147"/>
        <v>6.6765148417791561E-12</v>
      </c>
      <c r="CB144" s="20">
        <f t="shared" si="118"/>
        <v>1.2570369120605403E-11</v>
      </c>
      <c r="CC144" s="59">
        <f t="shared" si="119"/>
        <v>285.56031297777258</v>
      </c>
      <c r="CD144" s="59">
        <f ca="1">AVERAGE(OFFSET($CC$3,0,0,'Données projet'!$E$12+1,1))-AVERAGE(OFFSET($H$3,0,0,'Données projet'!$E$12+1,1))</f>
        <v>439.09551305860475</v>
      </c>
      <c r="CE144" s="59">
        <f t="shared" si="148"/>
        <v>311.31528017256846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147.52083677960857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147.52083677960857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5.6843418860808015E-13</v>
      </c>
      <c r="CU144" s="17">
        <f>CT144*VLOOKUP('Données projet'!$B$13,Paramètres!$A$1:$I$89,3,0)*VLOOKUP('Données projet'!$B$13,Paramètres!$A$1:$I$89,5,0)</f>
        <v>5.4978954722173515E-13</v>
      </c>
      <c r="CV144" s="13">
        <f t="shared" si="149"/>
        <v>6.7731340873355904E-12</v>
      </c>
      <c r="CW144" s="20">
        <f t="shared" si="121"/>
        <v>1.2754091996854009E-11</v>
      </c>
      <c r="CX144" s="59">
        <f t="shared" si="122"/>
        <v>285.56031297777275</v>
      </c>
      <c r="CY144" s="59">
        <f ca="1">AVERAGE(OFFSET($CX$3,0,0,'Données projet'!$E$13+1,1))-AVERAGE(OFFSET($H$3,0,0,'Données projet'!$E$13+1,1))</f>
        <v>445.01146841309549</v>
      </c>
      <c r="CZ144" s="59">
        <f t="shared" si="150"/>
        <v>315.40159257508969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149.93921115304477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149.93921115304477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-1.1368683772161603E-13</v>
      </c>
      <c r="DP144" s="17">
        <f>DO144*VLOOKUP('Données projet'!$B$14,Paramètres!$A$1:$I$89,3,0)*VLOOKUP('Données projet'!$B$14,Paramètres!$A$1:$I$89,5,0)</f>
        <v>-6.3550942286383367E-14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349.00268383833668</v>
      </c>
      <c r="DU144" s="59">
        <f t="shared" si="152"/>
        <v>459.94854391583749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41.275808572000713</v>
      </c>
      <c r="EB144" s="21">
        <f>EXP(-LN(2)/25)*EB143+(1-EXP(-LN(2)/25))/(LN(2)/25)*Calculateur!DW144*Calculateur!DY144*VLOOKUP('Données projet'!$B$14,Paramètres!$A$1:$I$89,3,0)*0.475*44/12</f>
        <v>5.3080768672454033</v>
      </c>
      <c r="EC144" s="21">
        <f>EXP(-LN(2)/2)*EC143+(1-EXP(-LN(2)/2))/(LN(2)/2)*DW144*DZ144*VLOOKUP('Données projet'!$B$14,Paramètres!$A$1:$I$89,3,0)*0.475*44/12</f>
        <v>3.8836906246743267E-12</v>
      </c>
      <c r="ED144" s="22">
        <f t="shared" si="126"/>
        <v>46.583885439250004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1.7053025658242404E-13</v>
      </c>
      <c r="EK144" s="17">
        <f>EJ144*VLOOKUP('Données projet'!$B$15,Paramètres!$A$1:$I$89,3,0)*VLOOKUP('Données projet'!$B$15,Paramètres!$A$1:$I$89,5,0)</f>
        <v>1.3301360013429075E-13</v>
      </c>
      <c r="EL144" s="13">
        <f t="shared" si="153"/>
        <v>1.9329766731057041E-12</v>
      </c>
      <c r="EM144" s="20">
        <f t="shared" si="127"/>
        <v>3.5982663925596575E-12</v>
      </c>
      <c r="EN144" s="59">
        <f t="shared" si="128"/>
        <v>285.5603129777636</v>
      </c>
      <c r="EO144" s="59">
        <f ca="1">AVERAGE(OFFSET($EN$3,0,0,'Données projet'!$E$15+1,1))-AVERAGE(OFFSET($H$3,0,0,'Données projet'!$E$15+1,1))</f>
        <v>308.82719216177946</v>
      </c>
      <c r="EP144" s="59">
        <f t="shared" si="154"/>
        <v>302.59481222418219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19.49572011517413</v>
      </c>
      <c r="EW144" s="21">
        <f>EXP(-LN(2)/25)*EW143+(1-EXP(-LN(2)/25))/(LN(2)/25)*Calculateur!ER144*Calculateur!ET144*VLOOKUP('Données projet'!$B$15,Paramètres!$A$1:$I$89,3,0)*0.475*44/12</f>
        <v>9.2657107088598565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28.761430824033987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285.69515750307107</v>
      </c>
      <c r="S145" s="59">
        <f ca="1">AVERAGE(OFFSET($R$3,0,0,'Données projet'!$E$9+1,1))-AVERAGE(OFFSET($H$3,0,0,'Données projet'!$E$9+1,1))</f>
        <v>421.33534980160005</v>
      </c>
      <c r="T145" s="59">
        <f t="shared" si="142"/>
        <v>299.0473530693472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5.763922672485933E-13</v>
      </c>
      <c r="AK145" s="13">
        <f t="shared" si="143"/>
        <v>7.0619171555808457E-12</v>
      </c>
      <c r="AL145" s="20">
        <f t="shared" si="112"/>
        <v>1.3303388911427938E-11</v>
      </c>
      <c r="AM145" s="59">
        <f t="shared" si="113"/>
        <v>285.69515750307238</v>
      </c>
      <c r="AN145" s="59">
        <f ca="1">AVERAGE(OFFSET($AM$3,0,0,'Données projet'!$E$10+1,1))-AVERAGE(OFFSET($H$3,0,0,'Données projet'!$E$10+1,1))</f>
        <v>462.74754756814662</v>
      </c>
      <c r="AO145" s="59">
        <f t="shared" si="144"/>
        <v>327.65191293226667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154.11184925732951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154.11184925732951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5.6843418860808015E-13</v>
      </c>
      <c r="BE145" s="13">
        <f>BD145*VLOOKUP('Données projet'!$B$11,Paramètres!$A$1:$I$89,3,0)*VLOOKUP('Données projet'!$B$11,Paramètres!$A$1:$I$89,5,0)</f>
        <v>3.8130565371830017E-13</v>
      </c>
      <c r="BF145" s="13">
        <f t="shared" si="145"/>
        <v>4.9019074112354236E-12</v>
      </c>
      <c r="BG145" s="20">
        <f t="shared" si="115"/>
        <v>9.2015960881277352E-12</v>
      </c>
      <c r="BH145" s="59">
        <f t="shared" si="116"/>
        <v>285.69515750306829</v>
      </c>
      <c r="BI145" s="59">
        <f ca="1">AVERAGE(OFFSET($BH$3,0,0,'Données projet'!$E$11+1,1))-AVERAGE(OFFSET($H$3,0,0,'Données projet'!$E$11+1,1))</f>
        <v>332.21938212432008</v>
      </c>
      <c r="BJ145" s="59">
        <f t="shared" si="146"/>
        <v>237.47732529948181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125.66043093289943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125.66043093289943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5.4092197387944907E-13</v>
      </c>
      <c r="CA145" s="13">
        <f t="shared" si="147"/>
        <v>6.6765148417791561E-12</v>
      </c>
      <c r="CB145" s="20">
        <f t="shared" si="118"/>
        <v>1.2570369120605403E-11</v>
      </c>
      <c r="CC145" s="59">
        <f t="shared" si="119"/>
        <v>285.69515750307164</v>
      </c>
      <c r="CD145" s="59">
        <f ca="1">AVERAGE(OFFSET($CC$3,0,0,'Données projet'!$E$12+1,1))-AVERAGE(OFFSET($H$3,0,0,'Données projet'!$E$12+1,1))</f>
        <v>439.09551305860475</v>
      </c>
      <c r="CE145" s="59">
        <f t="shared" si="148"/>
        <v>311.31528017256846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144.62804314918623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144.62804314918623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5.6843418860808015E-13</v>
      </c>
      <c r="CU145" s="17">
        <f>CT145*VLOOKUP('Données projet'!$B$13,Paramètres!$A$1:$I$89,3,0)*VLOOKUP('Données projet'!$B$13,Paramètres!$A$1:$I$89,5,0)</f>
        <v>5.4978954722173515E-13</v>
      </c>
      <c r="CV145" s="13">
        <f t="shared" si="149"/>
        <v>6.7731340873355904E-12</v>
      </c>
      <c r="CW145" s="20">
        <f t="shared" si="121"/>
        <v>1.2754091996854009E-11</v>
      </c>
      <c r="CX145" s="59">
        <f t="shared" si="122"/>
        <v>285.69515750307181</v>
      </c>
      <c r="CY145" s="59">
        <f ca="1">AVERAGE(OFFSET($CX$3,0,0,'Données projet'!$E$13+1,1))-AVERAGE(OFFSET($H$3,0,0,'Données projet'!$E$13+1,1))</f>
        <v>445.01146841309549</v>
      </c>
      <c r="CZ145" s="59">
        <f t="shared" si="150"/>
        <v>315.40159257508969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146.99899467622205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146.99899467622205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-1.1368683772161603E-13</v>
      </c>
      <c r="DP145" s="17">
        <f>DO145*VLOOKUP('Données projet'!$B$14,Paramètres!$A$1:$I$89,3,0)*VLOOKUP('Données projet'!$B$14,Paramètres!$A$1:$I$89,5,0)</f>
        <v>-6.3550942286383367E-14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349.00268383833668</v>
      </c>
      <c r="DU145" s="59">
        <f t="shared" si="152"/>
        <v>459.94854391583749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40.466415141661109</v>
      </c>
      <c r="EB145" s="21">
        <f>EXP(-LN(2)/25)*EB144+(1-EXP(-LN(2)/25))/(LN(2)/25)*Calculateur!DW145*Calculateur!DY145*VLOOKUP('Données projet'!$B$14,Paramètres!$A$1:$I$89,3,0)*0.475*44/12</f>
        <v>5.1629272261709467</v>
      </c>
      <c r="EC145" s="21">
        <f>EXP(-LN(2)/2)*EC144+(1-EXP(-LN(2)/2))/(LN(2)/2)*DW145*DZ145*VLOOKUP('Données projet'!$B$14,Paramètres!$A$1:$I$89,3,0)*0.475*44/12</f>
        <v>2.7461839767378352E-12</v>
      </c>
      <c r="ED145" s="22">
        <f t="shared" si="126"/>
        <v>45.629342367834795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1.7053025658242404E-13</v>
      </c>
      <c r="EK145" s="17">
        <f>EJ145*VLOOKUP('Données projet'!$B$15,Paramètres!$A$1:$I$89,3,0)*VLOOKUP('Données projet'!$B$15,Paramètres!$A$1:$I$89,5,0)</f>
        <v>1.3301360013429075E-13</v>
      </c>
      <c r="EL145" s="13">
        <f t="shared" si="153"/>
        <v>1.9329766731057041E-12</v>
      </c>
      <c r="EM145" s="20">
        <f t="shared" si="127"/>
        <v>3.5982663925596575E-12</v>
      </c>
      <c r="EN145" s="59">
        <f t="shared" si="128"/>
        <v>285.69515750306266</v>
      </c>
      <c r="EO145" s="59">
        <f ca="1">AVERAGE(OFFSET($EN$3,0,0,'Données projet'!$E$15+1,1))-AVERAGE(OFFSET($H$3,0,0,'Données projet'!$E$15+1,1))</f>
        <v>308.82719216177946</v>
      </c>
      <c r="EP145" s="59">
        <f t="shared" si="154"/>
        <v>302.59481222418219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19.113420934930677</v>
      </c>
      <c r="EW145" s="21">
        <f>EXP(-LN(2)/25)*EW144+(1-EXP(-LN(2)/25))/(LN(2)/25)*Calculateur!ER145*Calculateur!ET145*VLOOKUP('Données projet'!$B$15,Paramètres!$A$1:$I$89,3,0)*0.475*44/12</f>
        <v>9.0123393622635337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28.125760297194212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285.82766277732344</v>
      </c>
      <c r="S146" s="59">
        <f ca="1">AVERAGE(OFFSET($R$3,0,0,'Données projet'!$E$9+1,1))-AVERAGE(OFFSET($H$3,0,0,'Données projet'!$E$9+1,1))</f>
        <v>421.33534980160005</v>
      </c>
      <c r="T146" s="59">
        <f t="shared" si="142"/>
        <v>299.0473530693472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5.763922672485933E-13</v>
      </c>
      <c r="AK146" s="13">
        <f t="shared" si="143"/>
        <v>7.0619171555808457E-12</v>
      </c>
      <c r="AL146" s="20">
        <f t="shared" si="112"/>
        <v>1.3303388911427938E-11</v>
      </c>
      <c r="AM146" s="59">
        <f t="shared" si="113"/>
        <v>285.82766277732475</v>
      </c>
      <c r="AN146" s="59">
        <f ca="1">AVERAGE(OFFSET($AM$3,0,0,'Données projet'!$E$10+1,1))-AVERAGE(OFFSET($H$3,0,0,'Données projet'!$E$10+1,1))</f>
        <v>462.74754756814662</v>
      </c>
      <c r="AO146" s="59">
        <f t="shared" si="144"/>
        <v>327.65191293226667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151.0898098923397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151.0898098923397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5.6843418860808015E-13</v>
      </c>
      <c r="BE146" s="13">
        <f>BD146*VLOOKUP('Données projet'!$B$11,Paramètres!$A$1:$I$89,3,0)*VLOOKUP('Données projet'!$B$11,Paramètres!$A$1:$I$89,5,0)</f>
        <v>3.8130565371830017E-13</v>
      </c>
      <c r="BF146" s="13">
        <f t="shared" si="145"/>
        <v>4.9019074112354236E-12</v>
      </c>
      <c r="BG146" s="20">
        <f t="shared" si="115"/>
        <v>9.2015960881277352E-12</v>
      </c>
      <c r="BH146" s="59">
        <f t="shared" si="116"/>
        <v>285.82766277732065</v>
      </c>
      <c r="BI146" s="59">
        <f ca="1">AVERAGE(OFFSET($BH$3,0,0,'Données projet'!$E$11+1,1))-AVERAGE(OFFSET($H$3,0,0,'Données projet'!$E$11+1,1))</f>
        <v>332.21938212432008</v>
      </c>
      <c r="BJ146" s="59">
        <f t="shared" si="146"/>
        <v>237.47732529948181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123.19630652760004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123.19630652760004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5.4092197387944907E-13</v>
      </c>
      <c r="CA146" s="13">
        <f t="shared" si="147"/>
        <v>6.6765148417791561E-12</v>
      </c>
      <c r="CB146" s="20">
        <f t="shared" si="118"/>
        <v>1.2570369120605403E-11</v>
      </c>
      <c r="CC146" s="59">
        <f t="shared" si="119"/>
        <v>285.82766277732401</v>
      </c>
      <c r="CD146" s="59">
        <f ca="1">AVERAGE(OFFSET($CC$3,0,0,'Données projet'!$E$12+1,1))-AVERAGE(OFFSET($H$3,0,0,'Données projet'!$E$12+1,1))</f>
        <v>439.09551305860475</v>
      </c>
      <c r="CE146" s="59">
        <f t="shared" si="148"/>
        <v>311.31528017256846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141.79197543742654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141.79197543742654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5.6843418860808015E-13</v>
      </c>
      <c r="CU146" s="17">
        <f>CT146*VLOOKUP('Données projet'!$B$13,Paramètres!$A$1:$I$89,3,0)*VLOOKUP('Données projet'!$B$13,Paramètres!$A$1:$I$89,5,0)</f>
        <v>5.4978954722173515E-13</v>
      </c>
      <c r="CV146" s="13">
        <f t="shared" si="149"/>
        <v>6.7731340873355904E-12</v>
      </c>
      <c r="CW146" s="20">
        <f t="shared" si="121"/>
        <v>1.2754091996854009E-11</v>
      </c>
      <c r="CX146" s="59">
        <f t="shared" si="122"/>
        <v>285.82766277732418</v>
      </c>
      <c r="CY146" s="59">
        <f ca="1">AVERAGE(OFFSET($CX$3,0,0,'Données projet'!$E$13+1,1))-AVERAGE(OFFSET($H$3,0,0,'Données projet'!$E$13+1,1))</f>
        <v>445.01146841309549</v>
      </c>
      <c r="CZ146" s="59">
        <f t="shared" si="150"/>
        <v>315.40159257508969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144.11643405115484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144.11643405115484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-1.1368683772161603E-13</v>
      </c>
      <c r="DP146" s="17">
        <f>DO146*VLOOKUP('Données projet'!$B$14,Paramètres!$A$1:$I$89,3,0)*VLOOKUP('Données projet'!$B$14,Paramètres!$A$1:$I$89,5,0)</f>
        <v>-6.3550942286383367E-14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349.00268383833668</v>
      </c>
      <c r="DU146" s="59">
        <f t="shared" si="152"/>
        <v>459.94854391583749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39.672893422809217</v>
      </c>
      <c r="EB146" s="21">
        <f>EXP(-LN(2)/25)*EB145+(1-EXP(-LN(2)/25))/(LN(2)/25)*Calculateur!DW146*Calculateur!DY146*VLOOKUP('Données projet'!$B$14,Paramètres!$A$1:$I$89,3,0)*0.475*44/12</f>
        <v>5.0217467096647592</v>
      </c>
      <c r="EC146" s="21">
        <f>EXP(-LN(2)/2)*EC145+(1-EXP(-LN(2)/2))/(LN(2)/2)*DW146*DZ146*VLOOKUP('Données projet'!$B$14,Paramètres!$A$1:$I$89,3,0)*0.475*44/12</f>
        <v>1.9418453123371633E-12</v>
      </c>
      <c r="ED146" s="22">
        <f t="shared" si="126"/>
        <v>44.694640132475918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1.7053025658242404E-13</v>
      </c>
      <c r="EK146" s="17">
        <f>EJ146*VLOOKUP('Données projet'!$B$15,Paramètres!$A$1:$I$89,3,0)*VLOOKUP('Données projet'!$B$15,Paramètres!$A$1:$I$89,5,0)</f>
        <v>1.3301360013429075E-13</v>
      </c>
      <c r="EL146" s="13">
        <f t="shared" si="153"/>
        <v>1.9329766731057041E-12</v>
      </c>
      <c r="EM146" s="20">
        <f t="shared" si="127"/>
        <v>3.5982663925596575E-12</v>
      </c>
      <c r="EN146" s="59">
        <f t="shared" si="128"/>
        <v>285.82766277731503</v>
      </c>
      <c r="EO146" s="59">
        <f ca="1">AVERAGE(OFFSET($EN$3,0,0,'Données projet'!$E$15+1,1))-AVERAGE(OFFSET($H$3,0,0,'Données projet'!$E$15+1,1))</f>
        <v>308.82719216177946</v>
      </c>
      <c r="EP146" s="59">
        <f t="shared" si="154"/>
        <v>302.59481222418219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18.73861840843232</v>
      </c>
      <c r="EW146" s="21">
        <f>EXP(-LN(2)/25)*EW145+(1-EXP(-LN(2)/25))/(LN(2)/25)*Calculateur!ER146*Calculateur!ET146*VLOOKUP('Données projet'!$B$15,Paramètres!$A$1:$I$89,3,0)*0.475*44/12</f>
        <v>8.7658964684641081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27.50451487689643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285.95786938130487</v>
      </c>
      <c r="S147" s="59">
        <f ca="1">AVERAGE(OFFSET($R$3,0,0,'Données projet'!$E$9+1,1))-AVERAGE(OFFSET($H$3,0,0,'Données projet'!$E$9+1,1))</f>
        <v>421.33534980160005</v>
      </c>
      <c r="T147" s="59">
        <f t="shared" si="142"/>
        <v>299.0473530693472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5.763922672485933E-13</v>
      </c>
      <c r="AK147" s="13">
        <f t="shared" si="143"/>
        <v>7.0619171555808457E-12</v>
      </c>
      <c r="AL147" s="20">
        <f t="shared" si="112"/>
        <v>1.3303388911427938E-11</v>
      </c>
      <c r="AM147" s="59">
        <f t="shared" si="113"/>
        <v>285.95786938130618</v>
      </c>
      <c r="AN147" s="59">
        <f ca="1">AVERAGE(OFFSET($AM$3,0,0,'Données projet'!$E$10+1,1))-AVERAGE(OFFSET($H$3,0,0,'Données projet'!$E$10+1,1))</f>
        <v>462.74754756814662</v>
      </c>
      <c r="AO147" s="59">
        <f t="shared" si="144"/>
        <v>327.65191293226667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148.12703087603535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148.12703087603535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5.6843418860808015E-13</v>
      </c>
      <c r="BE147" s="13">
        <f>BD147*VLOOKUP('Données projet'!$B$11,Paramètres!$A$1:$I$89,3,0)*VLOOKUP('Données projet'!$B$11,Paramètres!$A$1:$I$89,5,0)</f>
        <v>3.8130565371830017E-13</v>
      </c>
      <c r="BF147" s="13">
        <f t="shared" si="145"/>
        <v>4.9019074112354236E-12</v>
      </c>
      <c r="BG147" s="20">
        <f t="shared" si="115"/>
        <v>9.2015960881277352E-12</v>
      </c>
      <c r="BH147" s="59">
        <f t="shared" si="116"/>
        <v>285.95786938130209</v>
      </c>
      <c r="BI147" s="59">
        <f ca="1">AVERAGE(OFFSET($BH$3,0,0,'Données projet'!$E$11+1,1))-AVERAGE(OFFSET($H$3,0,0,'Données projet'!$E$11+1,1))</f>
        <v>332.21938212432008</v>
      </c>
      <c r="BJ147" s="59">
        <f t="shared" si="146"/>
        <v>237.47732529948181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120.7805020989211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120.7805020989211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5.4092197387944907E-13</v>
      </c>
      <c r="CA147" s="13">
        <f t="shared" si="147"/>
        <v>6.6765148417791561E-12</v>
      </c>
      <c r="CB147" s="20">
        <f t="shared" si="118"/>
        <v>1.2570369120605403E-11</v>
      </c>
      <c r="CC147" s="59">
        <f t="shared" si="119"/>
        <v>285.95786938130544</v>
      </c>
      <c r="CD147" s="59">
        <f ca="1">AVERAGE(OFFSET($CC$3,0,0,'Données projet'!$E$12+1,1))-AVERAGE(OFFSET($H$3,0,0,'Données projet'!$E$12+1,1))</f>
        <v>439.09551305860475</v>
      </c>
      <c r="CE147" s="59">
        <f t="shared" si="148"/>
        <v>311.31528017256846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139.011521283664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139.011521283664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5.6843418860808015E-13</v>
      </c>
      <c r="CU147" s="17">
        <f>CT147*VLOOKUP('Données projet'!$B$13,Paramètres!$A$1:$I$89,3,0)*VLOOKUP('Données projet'!$B$13,Paramètres!$A$1:$I$89,5,0)</f>
        <v>5.4978954722173515E-13</v>
      </c>
      <c r="CV147" s="13">
        <f t="shared" si="149"/>
        <v>6.7731340873355904E-12</v>
      </c>
      <c r="CW147" s="20">
        <f t="shared" si="121"/>
        <v>1.2754091996854009E-11</v>
      </c>
      <c r="CX147" s="59">
        <f t="shared" si="122"/>
        <v>285.95786938130561</v>
      </c>
      <c r="CY147" s="59">
        <f ca="1">AVERAGE(OFFSET($CX$3,0,0,'Données projet'!$E$13+1,1))-AVERAGE(OFFSET($H$3,0,0,'Données projet'!$E$13+1,1))</f>
        <v>445.01146841309549</v>
      </c>
      <c r="CZ147" s="59">
        <f t="shared" si="150"/>
        <v>315.40159257508969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141.29039868175684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141.29039868175684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-1.1368683772161603E-13</v>
      </c>
      <c r="DP147" s="17">
        <f>DO147*VLOOKUP('Données projet'!$B$14,Paramètres!$A$1:$I$89,3,0)*VLOOKUP('Données projet'!$B$14,Paramètres!$A$1:$I$89,5,0)</f>
        <v>-6.3550942286383367E-14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349.00268383833668</v>
      </c>
      <c r="DU147" s="59">
        <f t="shared" si="152"/>
        <v>459.94854391583749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38.894932180863556</v>
      </c>
      <c r="EB147" s="21">
        <f>EXP(-LN(2)/25)*EB146+(1-EXP(-LN(2)/25))/(LN(2)/25)*Calculateur!DW147*Calculateur!DY147*VLOOKUP('Données projet'!$B$14,Paramètres!$A$1:$I$89,3,0)*0.475*44/12</f>
        <v>4.8844267818067939</v>
      </c>
      <c r="EC147" s="21">
        <f>EXP(-LN(2)/2)*EC146+(1-EXP(-LN(2)/2))/(LN(2)/2)*DW147*DZ147*VLOOKUP('Données projet'!$B$14,Paramètres!$A$1:$I$89,3,0)*0.475*44/12</f>
        <v>1.3730919883689176E-12</v>
      </c>
      <c r="ED147" s="22">
        <f t="shared" si="126"/>
        <v>43.779358962671722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1.7053025658242404E-13</v>
      </c>
      <c r="EK147" s="17">
        <f>EJ147*VLOOKUP('Données projet'!$B$15,Paramètres!$A$1:$I$89,3,0)*VLOOKUP('Données projet'!$B$15,Paramètres!$A$1:$I$89,5,0)</f>
        <v>1.3301360013429075E-13</v>
      </c>
      <c r="EL147" s="13">
        <f t="shared" si="153"/>
        <v>1.9329766731057041E-12</v>
      </c>
      <c r="EM147" s="20">
        <f t="shared" si="127"/>
        <v>3.5982663925596575E-12</v>
      </c>
      <c r="EN147" s="59">
        <f t="shared" si="128"/>
        <v>285.95786938129646</v>
      </c>
      <c r="EO147" s="59">
        <f ca="1">AVERAGE(OFFSET($EN$3,0,0,'Données projet'!$E$15+1,1))-AVERAGE(OFFSET($H$3,0,0,'Données projet'!$E$15+1,1))</f>
        <v>308.82719216177946</v>
      </c>
      <c r="EP147" s="59">
        <f t="shared" si="154"/>
        <v>302.59481222418219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18.371165530871629</v>
      </c>
      <c r="EW147" s="21">
        <f>EXP(-LN(2)/25)*EW146+(1-EXP(-LN(2)/25))/(LN(2)/25)*Calculateur!ER147*Calculateur!ET147*VLOOKUP('Données projet'!$B$15,Paramètres!$A$1:$I$89,3,0)*0.475*44/12</f>
        <v>8.526192568555496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26.897358099427123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286.08581719180557</v>
      </c>
      <c r="S148" s="59">
        <f ca="1">AVERAGE(OFFSET($R$3,0,0,'Données projet'!$E$9+1,1))-AVERAGE(OFFSET($H$3,0,0,'Données projet'!$E$9+1,1))</f>
        <v>421.33534980160005</v>
      </c>
      <c r="T148" s="59">
        <f t="shared" si="142"/>
        <v>299.0473530693472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5.763922672485933E-13</v>
      </c>
      <c r="AK148" s="13">
        <f t="shared" si="143"/>
        <v>7.0619171555808457E-12</v>
      </c>
      <c r="AL148" s="20">
        <f t="shared" si="112"/>
        <v>1.3303388911427938E-11</v>
      </c>
      <c r="AM148" s="59">
        <f t="shared" si="113"/>
        <v>286.08581719180688</v>
      </c>
      <c r="AN148" s="59">
        <f ca="1">AVERAGE(OFFSET($AM$3,0,0,'Données projet'!$E$10+1,1))-AVERAGE(OFFSET($H$3,0,0,'Données projet'!$E$10+1,1))</f>
        <v>462.74754756814662</v>
      </c>
      <c r="AO148" s="59">
        <f t="shared" si="144"/>
        <v>327.65191293226667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145.22235014912394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145.22235014912394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5.6843418860808015E-13</v>
      </c>
      <c r="BE148" s="13">
        <f>BD148*VLOOKUP('Données projet'!$B$11,Paramètres!$A$1:$I$89,3,0)*VLOOKUP('Données projet'!$B$11,Paramètres!$A$1:$I$89,5,0)</f>
        <v>3.8130565371830017E-13</v>
      </c>
      <c r="BF148" s="13">
        <f t="shared" si="145"/>
        <v>4.9019074112354236E-12</v>
      </c>
      <c r="BG148" s="20">
        <f t="shared" si="115"/>
        <v>9.2015960881277352E-12</v>
      </c>
      <c r="BH148" s="59">
        <f t="shared" si="116"/>
        <v>286.08581719180279</v>
      </c>
      <c r="BI148" s="59">
        <f ca="1">AVERAGE(OFFSET($BH$3,0,0,'Données projet'!$E$11+1,1))-AVERAGE(OFFSET($H$3,0,0,'Données projet'!$E$11+1,1))</f>
        <v>332.21938212432008</v>
      </c>
      <c r="BJ148" s="59">
        <f t="shared" si="146"/>
        <v>237.47732529948181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118.41207012159335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118.41207012159335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5.4092197387944907E-13</v>
      </c>
      <c r="CA148" s="13">
        <f t="shared" si="147"/>
        <v>6.6765148417791561E-12</v>
      </c>
      <c r="CB148" s="20">
        <f t="shared" si="118"/>
        <v>1.2570369120605403E-11</v>
      </c>
      <c r="CC148" s="59">
        <f t="shared" si="119"/>
        <v>286.08581719180614</v>
      </c>
      <c r="CD148" s="59">
        <f ca="1">AVERAGE(OFFSET($CC$3,0,0,'Données projet'!$E$12+1,1))-AVERAGE(OFFSET($H$3,0,0,'Données projet'!$E$12+1,1))</f>
        <v>439.09551305860475</v>
      </c>
      <c r="CE148" s="59">
        <f t="shared" si="148"/>
        <v>311.31528017256846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136.28559013994715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136.28559013994715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5.6843418860808015E-13</v>
      </c>
      <c r="CU148" s="17">
        <f>CT148*VLOOKUP('Données projet'!$B$13,Paramètres!$A$1:$I$89,3,0)*VLOOKUP('Données projet'!$B$13,Paramètres!$A$1:$I$89,5,0)</f>
        <v>5.4978954722173515E-13</v>
      </c>
      <c r="CV148" s="13">
        <f t="shared" si="149"/>
        <v>6.7731340873355904E-12</v>
      </c>
      <c r="CW148" s="20">
        <f t="shared" si="121"/>
        <v>1.2754091996854009E-11</v>
      </c>
      <c r="CX148" s="59">
        <f t="shared" si="122"/>
        <v>286.08581719180631</v>
      </c>
      <c r="CY148" s="59">
        <f ca="1">AVERAGE(OFFSET($CX$3,0,0,'Données projet'!$E$13+1,1))-AVERAGE(OFFSET($H$3,0,0,'Données projet'!$E$13+1,1))</f>
        <v>445.01146841309549</v>
      </c>
      <c r="CZ148" s="59">
        <f t="shared" si="150"/>
        <v>315.40159257508969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138.51978014224136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138.51978014224136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-1.1368683772161603E-13</v>
      </c>
      <c r="DP148" s="17">
        <f>DO148*VLOOKUP('Données projet'!$B$14,Paramètres!$A$1:$I$89,3,0)*VLOOKUP('Données projet'!$B$14,Paramètres!$A$1:$I$89,5,0)</f>
        <v>-6.3550942286383367E-14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349.00268383833668</v>
      </c>
      <c r="DU148" s="59">
        <f t="shared" si="152"/>
        <v>459.94854391583749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38.132226284362943</v>
      </c>
      <c r="EB148" s="21">
        <f>EXP(-LN(2)/25)*EB147+(1-EXP(-LN(2)/25))/(LN(2)/25)*Calculateur!DW148*Calculateur!DY148*VLOOKUP('Données projet'!$B$14,Paramètres!$A$1:$I$89,3,0)*0.475*44/12</f>
        <v>4.7508618745974465</v>
      </c>
      <c r="EC148" s="21">
        <f>EXP(-LN(2)/2)*EC147+(1-EXP(-LN(2)/2))/(LN(2)/2)*DW148*DZ148*VLOOKUP('Données projet'!$B$14,Paramètres!$A$1:$I$89,3,0)*0.475*44/12</f>
        <v>9.7092265616858166E-13</v>
      </c>
      <c r="ED148" s="22">
        <f t="shared" si="126"/>
        <v>42.883088158961364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1.7053025658242404E-13</v>
      </c>
      <c r="EK148" s="17">
        <f>EJ148*VLOOKUP('Données projet'!$B$15,Paramètres!$A$1:$I$89,3,0)*VLOOKUP('Données projet'!$B$15,Paramètres!$A$1:$I$89,5,0)</f>
        <v>1.3301360013429075E-13</v>
      </c>
      <c r="EL148" s="13">
        <f t="shared" si="153"/>
        <v>1.9329766731057041E-12</v>
      </c>
      <c r="EM148" s="20">
        <f t="shared" si="127"/>
        <v>3.5982663925596575E-12</v>
      </c>
      <c r="EN148" s="59">
        <f t="shared" si="128"/>
        <v>286.08581719179716</v>
      </c>
      <c r="EO148" s="59">
        <f ca="1">AVERAGE(OFFSET($EN$3,0,0,'Données projet'!$E$15+1,1))-AVERAGE(OFFSET($H$3,0,0,'Données projet'!$E$15+1,1))</f>
        <v>308.82719216177946</v>
      </c>
      <c r="EP148" s="59">
        <f t="shared" si="154"/>
        <v>302.59481222418219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18.010918180115777</v>
      </c>
      <c r="EW148" s="21">
        <f>EXP(-LN(2)/25)*EW147+(1-EXP(-LN(2)/25))/(LN(2)/25)*Calculateur!ER148*Calculateur!ET148*VLOOKUP('Données projet'!$B$15,Paramètres!$A$1:$I$89,3,0)*0.475*44/12</f>
        <v>8.2930433843953661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26.303961564511141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286.21154539384264</v>
      </c>
      <c r="S149" s="59">
        <f ca="1">AVERAGE(OFFSET($R$3,0,0,'Données projet'!$E$9+1,1))-AVERAGE(OFFSET($H$3,0,0,'Données projet'!$E$9+1,1))</f>
        <v>421.33534980160005</v>
      </c>
      <c r="T149" s="59">
        <f t="shared" si="142"/>
        <v>299.0473530693472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5.763922672485933E-13</v>
      </c>
      <c r="AK149" s="13">
        <f t="shared" si="143"/>
        <v>7.0619171555808457E-12</v>
      </c>
      <c r="AL149" s="20">
        <f t="shared" si="112"/>
        <v>1.3303388911427938E-11</v>
      </c>
      <c r="AM149" s="59">
        <f t="shared" si="113"/>
        <v>286.21154539384395</v>
      </c>
      <c r="AN149" s="59">
        <f ca="1">AVERAGE(OFFSET($AM$3,0,0,'Données projet'!$E$10+1,1))-AVERAGE(OFFSET($H$3,0,0,'Données projet'!$E$10+1,1))</f>
        <v>462.74754756814662</v>
      </c>
      <c r="AO149" s="59">
        <f t="shared" si="144"/>
        <v>327.65191293226667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142.37462843958696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142.37462843958696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5.6843418860808015E-13</v>
      </c>
      <c r="BE149" s="13">
        <f>BD149*VLOOKUP('Données projet'!$B$11,Paramètres!$A$1:$I$89,3,0)*VLOOKUP('Données projet'!$B$11,Paramètres!$A$1:$I$89,5,0)</f>
        <v>3.8130565371830017E-13</v>
      </c>
      <c r="BF149" s="13">
        <f t="shared" si="145"/>
        <v>4.9019074112354236E-12</v>
      </c>
      <c r="BG149" s="20">
        <f t="shared" si="115"/>
        <v>9.2015960881277352E-12</v>
      </c>
      <c r="BH149" s="59">
        <f t="shared" si="116"/>
        <v>286.21154539383986</v>
      </c>
      <c r="BI149" s="59">
        <f ca="1">AVERAGE(OFFSET($BH$3,0,0,'Données projet'!$E$11+1,1))-AVERAGE(OFFSET($H$3,0,0,'Données projet'!$E$11+1,1))</f>
        <v>332.21938212432008</v>
      </c>
      <c r="BJ149" s="59">
        <f t="shared" si="146"/>
        <v>237.47732529948181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116.09008165074012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116.09008165074012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5.4092197387944907E-13</v>
      </c>
      <c r="CA149" s="13">
        <f t="shared" si="147"/>
        <v>6.6765148417791561E-12</v>
      </c>
      <c r="CB149" s="20">
        <f t="shared" si="118"/>
        <v>1.2570369120605403E-11</v>
      </c>
      <c r="CC149" s="59">
        <f t="shared" si="119"/>
        <v>286.21154539384321</v>
      </c>
      <c r="CD149" s="59">
        <f ca="1">AVERAGE(OFFSET($CC$3,0,0,'Données projet'!$E$12+1,1))-AVERAGE(OFFSET($H$3,0,0,'Données projet'!$E$12+1,1))</f>
        <v>439.09551305860475</v>
      </c>
      <c r="CE149" s="59">
        <f t="shared" si="148"/>
        <v>311.31528017256846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133.61311284330475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133.61311284330475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5.6843418860808015E-13</v>
      </c>
      <c r="CU149" s="17">
        <f>CT149*VLOOKUP('Données projet'!$B$13,Paramètres!$A$1:$I$89,3,0)*VLOOKUP('Données projet'!$B$13,Paramètres!$A$1:$I$89,5,0)</f>
        <v>5.4978954722173515E-13</v>
      </c>
      <c r="CV149" s="13">
        <f t="shared" si="149"/>
        <v>6.7731340873355904E-12</v>
      </c>
      <c r="CW149" s="20">
        <f t="shared" si="121"/>
        <v>1.2754091996854009E-11</v>
      </c>
      <c r="CX149" s="59">
        <f t="shared" si="122"/>
        <v>286.21154539384338</v>
      </c>
      <c r="CY149" s="59">
        <f ca="1">AVERAGE(OFFSET($CX$3,0,0,'Données projet'!$E$13+1,1))-AVERAGE(OFFSET($H$3,0,0,'Données projet'!$E$13+1,1))</f>
        <v>445.01146841309549</v>
      </c>
      <c r="CZ149" s="59">
        <f t="shared" si="150"/>
        <v>315.40159257508969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135.80349174237531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135.80349174237531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-1.1368683772161603E-13</v>
      </c>
      <c r="DP149" s="17">
        <f>DO149*VLOOKUP('Données projet'!$B$14,Paramètres!$A$1:$I$89,3,0)*VLOOKUP('Données projet'!$B$14,Paramètres!$A$1:$I$89,5,0)</f>
        <v>-6.3550942286383367E-14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349.00268383833668</v>
      </c>
      <c r="DU149" s="59">
        <f t="shared" si="152"/>
        <v>459.94854391583749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37.384476585288049</v>
      </c>
      <c r="EB149" s="21">
        <f>EXP(-LN(2)/25)*EB148+(1-EXP(-LN(2)/25))/(LN(2)/25)*Calculateur!DW149*Calculateur!DY149*VLOOKUP('Données projet'!$B$14,Paramètres!$A$1:$I$89,3,0)*0.475*44/12</f>
        <v>4.6209493067996119</v>
      </c>
      <c r="EC149" s="21">
        <f>EXP(-LN(2)/2)*EC148+(1-EXP(-LN(2)/2))/(LN(2)/2)*DW149*DZ149*VLOOKUP('Données projet'!$B$14,Paramètres!$A$1:$I$89,3,0)*0.475*44/12</f>
        <v>6.8654599418445879E-13</v>
      </c>
      <c r="ED149" s="22">
        <f t="shared" si="126"/>
        <v>42.005425892088347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1.7053025658242404E-13</v>
      </c>
      <c r="EK149" s="17">
        <f>EJ149*VLOOKUP('Données projet'!$B$15,Paramètres!$A$1:$I$89,3,0)*VLOOKUP('Données projet'!$B$15,Paramètres!$A$1:$I$89,5,0)</f>
        <v>1.3301360013429075E-13</v>
      </c>
      <c r="EL149" s="13">
        <f t="shared" si="153"/>
        <v>1.9329766731057041E-12</v>
      </c>
      <c r="EM149" s="20">
        <f t="shared" si="127"/>
        <v>3.5982663925596575E-12</v>
      </c>
      <c r="EN149" s="59">
        <f t="shared" si="128"/>
        <v>286.21154539383423</v>
      </c>
      <c r="EO149" s="59">
        <f ca="1">AVERAGE(OFFSET($EN$3,0,0,'Données projet'!$E$15+1,1))-AVERAGE(OFFSET($H$3,0,0,'Données projet'!$E$15+1,1))</f>
        <v>308.82719216177946</v>
      </c>
      <c r="EP149" s="59">
        <f t="shared" si="154"/>
        <v>302.59481222418219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17.657735060179061</v>
      </c>
      <c r="EW149" s="21">
        <f>EXP(-LN(2)/25)*EW148+(1-EXP(-LN(2)/25))/(LN(2)/25)*Calculateur!ER149*Calculateur!ET149*VLOOKUP('Données projet'!$B$15,Paramètres!$A$1:$I$89,3,0)*0.475*44/12</f>
        <v>8.0662696769368765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25.724004737115937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286.33509249266041</v>
      </c>
      <c r="S150" s="59">
        <f ca="1">AVERAGE(OFFSET($R$3,0,0,'Données projet'!$E$9+1,1))-AVERAGE(OFFSET($H$3,0,0,'Données projet'!$E$9+1,1))</f>
        <v>421.33534980160005</v>
      </c>
      <c r="T150" s="59">
        <f t="shared" si="142"/>
        <v>299.0473530693472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5.763922672485933E-13</v>
      </c>
      <c r="AK150" s="13">
        <f t="shared" si="143"/>
        <v>7.0619171555808457E-12</v>
      </c>
      <c r="AL150" s="20">
        <f t="shared" si="112"/>
        <v>1.3303388911427938E-11</v>
      </c>
      <c r="AM150" s="59">
        <f t="shared" si="113"/>
        <v>286.33509249266172</v>
      </c>
      <c r="AN150" s="59">
        <f ca="1">AVERAGE(OFFSET($AM$3,0,0,'Données projet'!$E$10+1,1))-AVERAGE(OFFSET($H$3,0,0,'Données projet'!$E$10+1,1))</f>
        <v>462.74754756814662</v>
      </c>
      <c r="AO150" s="59">
        <f t="shared" si="144"/>
        <v>327.65191293226667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139.58274881583526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139.58274881583526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5.6843418860808015E-13</v>
      </c>
      <c r="BE150" s="13">
        <f>BD150*VLOOKUP('Données projet'!$B$11,Paramètres!$A$1:$I$89,3,0)*VLOOKUP('Données projet'!$B$11,Paramètres!$A$1:$I$89,5,0)</f>
        <v>3.8130565371830017E-13</v>
      </c>
      <c r="BF150" s="13">
        <f t="shared" si="145"/>
        <v>4.9019074112354236E-12</v>
      </c>
      <c r="BG150" s="20">
        <f t="shared" si="115"/>
        <v>9.2015960881277352E-12</v>
      </c>
      <c r="BH150" s="59">
        <f t="shared" si="116"/>
        <v>286.33509249265762</v>
      </c>
      <c r="BI150" s="59">
        <f ca="1">AVERAGE(OFFSET($BH$3,0,0,'Données projet'!$E$11+1,1))-AVERAGE(OFFSET($H$3,0,0,'Données projet'!$E$11+1,1))</f>
        <v>332.21938212432008</v>
      </c>
      <c r="BJ150" s="59">
        <f t="shared" si="146"/>
        <v>237.47732529948181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113.81362595752721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113.81362595752721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5.4092197387944907E-13</v>
      </c>
      <c r="CA150" s="13">
        <f t="shared" si="147"/>
        <v>6.6765148417791561E-12</v>
      </c>
      <c r="CB150" s="20">
        <f t="shared" si="118"/>
        <v>1.2570369120605403E-11</v>
      </c>
      <c r="CC150" s="59">
        <f t="shared" si="119"/>
        <v>286.33509249266098</v>
      </c>
      <c r="CD150" s="59">
        <f ca="1">AVERAGE(OFFSET($CC$3,0,0,'Données projet'!$E$12+1,1))-AVERAGE(OFFSET($H$3,0,0,'Données projet'!$E$12+1,1))</f>
        <v>439.09551305860475</v>
      </c>
      <c r="CE150" s="59">
        <f t="shared" si="148"/>
        <v>311.31528017256846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130.99304119639933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130.99304119639933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5.6843418860808015E-13</v>
      </c>
      <c r="CU150" s="17">
        <f>CT150*VLOOKUP('Données projet'!$B$13,Paramètres!$A$1:$I$89,3,0)*VLOOKUP('Données projet'!$B$13,Paramètres!$A$1:$I$89,5,0)</f>
        <v>5.4978954722173515E-13</v>
      </c>
      <c r="CV150" s="13">
        <f t="shared" si="149"/>
        <v>6.7731340873355904E-12</v>
      </c>
      <c r="CW150" s="20">
        <f t="shared" si="121"/>
        <v>1.2754091996854009E-11</v>
      </c>
      <c r="CX150" s="59">
        <f t="shared" si="122"/>
        <v>286.33509249266115</v>
      </c>
      <c r="CY150" s="59">
        <f ca="1">AVERAGE(OFFSET($CX$3,0,0,'Données projet'!$E$13+1,1))-AVERAGE(OFFSET($H$3,0,0,'Données projet'!$E$13+1,1))</f>
        <v>445.01146841309549</v>
      </c>
      <c r="CZ150" s="59">
        <f t="shared" si="150"/>
        <v>315.40159257508969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133.14046810125834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133.14046810125834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-1.1368683772161603E-13</v>
      </c>
      <c r="DP150" s="17">
        <f>DO150*VLOOKUP('Données projet'!$B$14,Paramètres!$A$1:$I$89,3,0)*VLOOKUP('Données projet'!$B$14,Paramètres!$A$1:$I$89,5,0)</f>
        <v>-6.3550942286383367E-14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349.00268383833668</v>
      </c>
      <c r="DU150" s="59">
        <f t="shared" si="152"/>
        <v>459.94854391583749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36.651389801729728</v>
      </c>
      <c r="EB150" s="21">
        <f>EXP(-LN(2)/25)*EB149+(1-EXP(-LN(2)/25))/(LN(2)/25)*Calculateur!DW150*Calculateur!DY150*VLOOKUP('Données projet'!$B$14,Paramètres!$A$1:$I$89,3,0)*0.475*44/12</f>
        <v>4.4945892050000138</v>
      </c>
      <c r="EC150" s="21">
        <f>EXP(-LN(2)/2)*EC149+(1-EXP(-LN(2)/2))/(LN(2)/2)*DW150*DZ150*VLOOKUP('Données projet'!$B$14,Paramètres!$A$1:$I$89,3,0)*0.475*44/12</f>
        <v>4.8546132808429083E-13</v>
      </c>
      <c r="ED150" s="22">
        <f t="shared" si="126"/>
        <v>41.145979006730222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1.7053025658242404E-13</v>
      </c>
      <c r="EK150" s="17">
        <f>EJ150*VLOOKUP('Données projet'!$B$15,Paramètres!$A$1:$I$89,3,0)*VLOOKUP('Données projet'!$B$15,Paramètres!$A$1:$I$89,5,0)</f>
        <v>1.3301360013429075E-13</v>
      </c>
      <c r="EL150" s="13">
        <f t="shared" si="153"/>
        <v>1.9329766731057041E-12</v>
      </c>
      <c r="EM150" s="20">
        <f t="shared" si="127"/>
        <v>3.5982663925596575E-12</v>
      </c>
      <c r="EN150" s="59">
        <f t="shared" si="128"/>
        <v>286.335092492652</v>
      </c>
      <c r="EO150" s="59">
        <f ca="1">AVERAGE(OFFSET($EN$3,0,0,'Données projet'!$E$15+1,1))-AVERAGE(OFFSET($H$3,0,0,'Données projet'!$E$15+1,1))</f>
        <v>308.82719216177946</v>
      </c>
      <c r="EP150" s="59">
        <f t="shared" si="154"/>
        <v>302.59481222418219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17.311477645803873</v>
      </c>
      <c r="EW150" s="21">
        <f>EXP(-LN(2)/25)*EW149+(1-EXP(-LN(2)/25))/(LN(2)/25)*Calculateur!ER150*Calculateur!ET150*VLOOKUP('Données projet'!$B$15,Paramètres!$A$1:$I$89,3,0)*0.475*44/12</f>
        <v>7.8456971084343508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25.157174754238223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286.45649632552369</v>
      </c>
      <c r="S151" s="59">
        <f ca="1">AVERAGE(OFFSET($R$3,0,0,'Données projet'!$E$9+1,1))-AVERAGE(OFFSET($H$3,0,0,'Données projet'!$E$9+1,1))</f>
        <v>421.33534980160005</v>
      </c>
      <c r="T151" s="59">
        <f t="shared" si="142"/>
        <v>299.0473530693472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5.763922672485933E-13</v>
      </c>
      <c r="AK151" s="13">
        <f t="shared" si="143"/>
        <v>7.0619171555808457E-12</v>
      </c>
      <c r="AL151" s="20">
        <f t="shared" si="112"/>
        <v>1.3303388911427938E-11</v>
      </c>
      <c r="AM151" s="59">
        <f t="shared" si="113"/>
        <v>286.45649632552499</v>
      </c>
      <c r="AN151" s="59">
        <f ca="1">AVERAGE(OFFSET($AM$3,0,0,'Données projet'!$E$10+1,1))-AVERAGE(OFFSET($H$3,0,0,'Données projet'!$E$10+1,1))</f>
        <v>462.74754756814662</v>
      </c>
      <c r="AO151" s="59">
        <f t="shared" si="144"/>
        <v>327.65191293226667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136.84561624862692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136.84561624862692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5.6843418860808015E-13</v>
      </c>
      <c r="BE151" s="13">
        <f>BD151*VLOOKUP('Données projet'!$B$11,Paramètres!$A$1:$I$89,3,0)*VLOOKUP('Données projet'!$B$11,Paramètres!$A$1:$I$89,5,0)</f>
        <v>3.8130565371830017E-13</v>
      </c>
      <c r="BF151" s="13">
        <f t="shared" si="145"/>
        <v>4.9019074112354236E-12</v>
      </c>
      <c r="BG151" s="20">
        <f t="shared" si="115"/>
        <v>9.2015960881277352E-12</v>
      </c>
      <c r="BH151" s="59">
        <f t="shared" si="116"/>
        <v>286.4564963255209</v>
      </c>
      <c r="BI151" s="59">
        <f ca="1">AVERAGE(OFFSET($BH$3,0,0,'Données projet'!$E$11+1,1))-AVERAGE(OFFSET($H$3,0,0,'Données projet'!$E$11+1,1))</f>
        <v>332.21938212432008</v>
      </c>
      <c r="BJ151" s="59">
        <f t="shared" si="146"/>
        <v>237.47732529948181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111.58181017195733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111.58181017195733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5.4092197387944907E-13</v>
      </c>
      <c r="CA151" s="13">
        <f t="shared" si="147"/>
        <v>6.6765148417791561E-12</v>
      </c>
      <c r="CB151" s="20">
        <f t="shared" si="118"/>
        <v>1.2570369120605403E-11</v>
      </c>
      <c r="CC151" s="59">
        <f t="shared" si="119"/>
        <v>286.45649632552426</v>
      </c>
      <c r="CD151" s="59">
        <f ca="1">AVERAGE(OFFSET($CC$3,0,0,'Données projet'!$E$12+1,1))-AVERAGE(OFFSET($H$3,0,0,'Données projet'!$E$12+1,1))</f>
        <v>439.09551305860475</v>
      </c>
      <c r="CE151" s="59">
        <f t="shared" si="148"/>
        <v>311.31528017256846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128.4243475564038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128.4243475564038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5.6843418860808015E-13</v>
      </c>
      <c r="CU151" s="17">
        <f>CT151*VLOOKUP('Données projet'!$B$13,Paramètres!$A$1:$I$89,3,0)*VLOOKUP('Données projet'!$B$13,Paramètres!$A$1:$I$89,5,0)</f>
        <v>5.4978954722173515E-13</v>
      </c>
      <c r="CV151" s="13">
        <f t="shared" si="149"/>
        <v>6.7731340873355904E-12</v>
      </c>
      <c r="CW151" s="20">
        <f t="shared" si="121"/>
        <v>1.2754091996854009E-11</v>
      </c>
      <c r="CX151" s="59">
        <f t="shared" si="122"/>
        <v>286.45649632552443</v>
      </c>
      <c r="CY151" s="59">
        <f ca="1">AVERAGE(OFFSET($CX$3,0,0,'Données projet'!$E$13+1,1))-AVERAGE(OFFSET($H$3,0,0,'Données projet'!$E$13+1,1))</f>
        <v>445.01146841309549</v>
      </c>
      <c r="CZ151" s="59">
        <f t="shared" si="150"/>
        <v>315.40159257508969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130.5296647294596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130.5296647294596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-1.1368683772161603E-13</v>
      </c>
      <c r="DP151" s="17">
        <f>DO151*VLOOKUP('Données projet'!$B$14,Paramètres!$A$1:$I$89,3,0)*VLOOKUP('Données projet'!$B$14,Paramètres!$A$1:$I$89,5,0)</f>
        <v>-6.3550942286383367E-14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349.00268383833668</v>
      </c>
      <c r="DU151" s="59">
        <f t="shared" si="152"/>
        <v>459.94854391583749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35.932678402858201</v>
      </c>
      <c r="EB151" s="21">
        <f>EXP(-LN(2)/25)*EB150+(1-EXP(-LN(2)/25))/(LN(2)/25)*Calculateur!DW151*Calculateur!DY151*VLOOKUP('Données projet'!$B$14,Paramètres!$A$1:$I$89,3,0)*0.475*44/12</f>
        <v>4.3716844268291144</v>
      </c>
      <c r="EC151" s="21">
        <f>EXP(-LN(2)/2)*EC150+(1-EXP(-LN(2)/2))/(LN(2)/2)*DW151*DZ151*VLOOKUP('Données projet'!$B$14,Paramètres!$A$1:$I$89,3,0)*0.475*44/12</f>
        <v>3.432729970922294E-13</v>
      </c>
      <c r="ED151" s="22">
        <f t="shared" si="126"/>
        <v>40.304362829687655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1.7053025658242404E-13</v>
      </c>
      <c r="EK151" s="17">
        <f>EJ151*VLOOKUP('Données projet'!$B$15,Paramètres!$A$1:$I$89,3,0)*VLOOKUP('Données projet'!$B$15,Paramètres!$A$1:$I$89,5,0)</f>
        <v>1.3301360013429075E-13</v>
      </c>
      <c r="EL151" s="13">
        <f t="shared" si="153"/>
        <v>1.9329766731057041E-12</v>
      </c>
      <c r="EM151" s="20">
        <f t="shared" si="127"/>
        <v>3.5982663925596575E-12</v>
      </c>
      <c r="EN151" s="59">
        <f t="shared" si="128"/>
        <v>286.45649632551527</v>
      </c>
      <c r="EO151" s="59">
        <f ca="1">AVERAGE(OFFSET($EN$3,0,0,'Données projet'!$E$15+1,1))-AVERAGE(OFFSET($H$3,0,0,'Données projet'!$E$15+1,1))</f>
        <v>308.82719216177946</v>
      </c>
      <c r="EP151" s="59">
        <f t="shared" si="154"/>
        <v>302.59481222418219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16.972010128128414</v>
      </c>
      <c r="EW151" s="21">
        <f>EXP(-LN(2)/25)*EW150+(1-EXP(-LN(2)/25))/(LN(2)/25)*Calculateur!ER151*Calculateur!ET151*VLOOKUP('Données projet'!$B$15,Paramètres!$A$1:$I$89,3,0)*0.475*44/12</f>
        <v>7.6311561084169339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24.603166236545349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286.57579407330508</v>
      </c>
      <c r="S152" s="59">
        <f ca="1">AVERAGE(OFFSET($R$3,0,0,'Données projet'!$E$9+1,1))-AVERAGE(OFFSET($H$3,0,0,'Données projet'!$E$9+1,1))</f>
        <v>421.33534980160005</v>
      </c>
      <c r="T152" s="59">
        <f t="shared" si="142"/>
        <v>299.0473530693472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5.763922672485933E-13</v>
      </c>
      <c r="AK152" s="13">
        <f t="shared" si="143"/>
        <v>7.0619171555808457E-12</v>
      </c>
      <c r="AL152" s="20">
        <f t="shared" si="112"/>
        <v>1.3303388911427938E-11</v>
      </c>
      <c r="AM152" s="59">
        <f t="shared" si="113"/>
        <v>286.57579407330638</v>
      </c>
      <c r="AN152" s="59">
        <f ca="1">AVERAGE(OFFSET($AM$3,0,0,'Données projet'!$E$10+1,1))-AVERAGE(OFFSET($H$3,0,0,'Données projet'!$E$10+1,1))</f>
        <v>462.74754756814662</v>
      </c>
      <c r="AO152" s="59">
        <f t="shared" si="144"/>
        <v>327.65191293226667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134.16215718157554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134.16215718157554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5.6843418860808015E-13</v>
      </c>
      <c r="BE152" s="13">
        <f>BD152*VLOOKUP('Données projet'!$B$11,Paramètres!$A$1:$I$89,3,0)*VLOOKUP('Données projet'!$B$11,Paramètres!$A$1:$I$89,5,0)</f>
        <v>3.8130565371830017E-13</v>
      </c>
      <c r="BF152" s="13">
        <f t="shared" si="145"/>
        <v>4.9019074112354236E-12</v>
      </c>
      <c r="BG152" s="20">
        <f t="shared" si="115"/>
        <v>9.2015960881277352E-12</v>
      </c>
      <c r="BH152" s="59">
        <f t="shared" si="116"/>
        <v>286.57579407330229</v>
      </c>
      <c r="BI152" s="59">
        <f ca="1">AVERAGE(OFFSET($BH$3,0,0,'Données projet'!$E$11+1,1))-AVERAGE(OFFSET($H$3,0,0,'Données projet'!$E$11+1,1))</f>
        <v>332.21938212432008</v>
      </c>
      <c r="BJ152" s="59">
        <f t="shared" si="146"/>
        <v>237.47732529948181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109.39375893266926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109.39375893266926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5.4092197387944907E-13</v>
      </c>
      <c r="CA152" s="13">
        <f t="shared" si="147"/>
        <v>6.6765148417791561E-12</v>
      </c>
      <c r="CB152" s="20">
        <f t="shared" si="118"/>
        <v>1.2570369120605403E-11</v>
      </c>
      <c r="CC152" s="59">
        <f t="shared" si="119"/>
        <v>286.57579407330564</v>
      </c>
      <c r="CD152" s="59">
        <f ca="1">AVERAGE(OFFSET($CC$3,0,0,'Données projet'!$E$12+1,1))-AVERAGE(OFFSET($H$3,0,0,'Données projet'!$E$12+1,1))</f>
        <v>439.09551305860475</v>
      </c>
      <c r="CE152" s="59">
        <f t="shared" si="148"/>
        <v>311.31528017256846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125.90602443194018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125.90602443194018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5.6843418860808015E-13</v>
      </c>
      <c r="CU152" s="17">
        <f>CT152*VLOOKUP('Données projet'!$B$13,Paramètres!$A$1:$I$89,3,0)*VLOOKUP('Données projet'!$B$13,Paramètres!$A$1:$I$89,5,0)</f>
        <v>5.4978954722173515E-13</v>
      </c>
      <c r="CV152" s="13">
        <f t="shared" si="149"/>
        <v>6.7731340873355904E-12</v>
      </c>
      <c r="CW152" s="20">
        <f t="shared" si="121"/>
        <v>1.2754091996854009E-11</v>
      </c>
      <c r="CX152" s="59">
        <f t="shared" si="122"/>
        <v>286.57579407330581</v>
      </c>
      <c r="CY152" s="59">
        <f ca="1">AVERAGE(OFFSET($CX$3,0,0,'Données projet'!$E$13+1,1))-AVERAGE(OFFSET($H$3,0,0,'Données projet'!$E$13+1,1))</f>
        <v>445.01146841309549</v>
      </c>
      <c r="CZ152" s="59">
        <f t="shared" si="150"/>
        <v>315.40159257508969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127.97005761934903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127.97005761934903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-1.1368683772161603E-13</v>
      </c>
      <c r="DP152" s="17">
        <f>DO152*VLOOKUP('Données projet'!$B$14,Paramètres!$A$1:$I$89,3,0)*VLOOKUP('Données projet'!$B$14,Paramètres!$A$1:$I$89,5,0)</f>
        <v>-6.3550942286383367E-14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349.00268383833668</v>
      </c>
      <c r="DU152" s="59">
        <f t="shared" si="152"/>
        <v>459.94854391583749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35.228060496147876</v>
      </c>
      <c r="EB152" s="21">
        <f>EXP(-LN(2)/25)*EB151+(1-EXP(-LN(2)/25))/(LN(2)/25)*Calculateur!DW152*Calculateur!DY152*VLOOKUP('Données projet'!$B$14,Paramètres!$A$1:$I$89,3,0)*0.475*44/12</f>
        <v>4.2521404862805801</v>
      </c>
      <c r="EC152" s="21">
        <f>EXP(-LN(2)/2)*EC151+(1-EXP(-LN(2)/2))/(LN(2)/2)*DW152*DZ152*VLOOKUP('Données projet'!$B$14,Paramètres!$A$1:$I$89,3,0)*0.475*44/12</f>
        <v>2.4273066404214542E-13</v>
      </c>
      <c r="ED152" s="22">
        <f t="shared" si="126"/>
        <v>39.480200982428698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1.7053025658242404E-13</v>
      </c>
      <c r="EK152" s="17">
        <f>EJ152*VLOOKUP('Données projet'!$B$15,Paramètres!$A$1:$I$89,3,0)*VLOOKUP('Données projet'!$B$15,Paramètres!$A$1:$I$89,5,0)</f>
        <v>1.3301360013429075E-13</v>
      </c>
      <c r="EL152" s="13">
        <f t="shared" si="153"/>
        <v>1.9329766731057041E-12</v>
      </c>
      <c r="EM152" s="20">
        <f t="shared" si="127"/>
        <v>3.5982663925596575E-12</v>
      </c>
      <c r="EN152" s="59">
        <f t="shared" si="128"/>
        <v>286.57579407329666</v>
      </c>
      <c r="EO152" s="59">
        <f ca="1">AVERAGE(OFFSET($EN$3,0,0,'Données projet'!$E$15+1,1))-AVERAGE(OFFSET($H$3,0,0,'Données projet'!$E$15+1,1))</f>
        <v>308.82719216177946</v>
      </c>
      <c r="EP152" s="59">
        <f t="shared" si="154"/>
        <v>302.59481222418219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16.639199361419827</v>
      </c>
      <c r="EW152" s="21">
        <f>EXP(-LN(2)/25)*EW151+(1-EXP(-LN(2)/25))/(LN(2)/25)*Calculateur!ER152*Calculateur!ET152*VLOOKUP('Données projet'!$B$15,Paramètres!$A$1:$I$89,3,0)*0.475*44/12</f>
        <v>7.4224817433272143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24.061681104747041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286.69302227187234</v>
      </c>
      <c r="S153" s="59">
        <f ca="1">AVERAGE(OFFSET($R$3,0,0,'Données projet'!$E$9+1,1))-AVERAGE(OFFSET($H$3,0,0,'Données projet'!$E$9+1,1))</f>
        <v>421.33534980160005</v>
      </c>
      <c r="T153" s="59">
        <f t="shared" si="142"/>
        <v>299.0473530693472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5.763922672485933E-13</v>
      </c>
      <c r="AK153" s="13">
        <f t="shared" si="143"/>
        <v>7.0619171555808457E-12</v>
      </c>
      <c r="AL153" s="20">
        <f t="shared" si="112"/>
        <v>1.3303388911427938E-11</v>
      </c>
      <c r="AM153" s="59">
        <f t="shared" si="113"/>
        <v>286.69302227187364</v>
      </c>
      <c r="AN153" s="59">
        <f ca="1">AVERAGE(OFFSET($AM$3,0,0,'Données projet'!$E$10+1,1))-AVERAGE(OFFSET($H$3,0,0,'Données projet'!$E$10+1,1))</f>
        <v>462.74754756814662</v>
      </c>
      <c r="AO153" s="59">
        <f t="shared" si="144"/>
        <v>327.65191293226667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131.5313191100806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131.5313191100806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5.6843418860808015E-13</v>
      </c>
      <c r="BE153" s="13">
        <f>BD153*VLOOKUP('Données projet'!$B$11,Paramètres!$A$1:$I$89,3,0)*VLOOKUP('Données projet'!$B$11,Paramètres!$A$1:$I$89,5,0)</f>
        <v>3.8130565371830017E-13</v>
      </c>
      <c r="BF153" s="13">
        <f t="shared" si="145"/>
        <v>4.9019074112354236E-12</v>
      </c>
      <c r="BG153" s="20">
        <f t="shared" si="115"/>
        <v>9.2015960881277352E-12</v>
      </c>
      <c r="BH153" s="59">
        <f t="shared" si="116"/>
        <v>286.69302227186955</v>
      </c>
      <c r="BI153" s="59">
        <f ca="1">AVERAGE(OFFSET($BH$3,0,0,'Données projet'!$E$11+1,1))-AVERAGE(OFFSET($H$3,0,0,'Données projet'!$E$11+1,1))</f>
        <v>332.21938212432008</v>
      </c>
      <c r="BJ153" s="59">
        <f t="shared" si="146"/>
        <v>237.47732529948181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107.24861404360415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107.24861404360415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5.4092197387944907E-13</v>
      </c>
      <c r="CA153" s="13">
        <f t="shared" si="147"/>
        <v>6.6765148417791561E-12</v>
      </c>
      <c r="CB153" s="20">
        <f t="shared" si="118"/>
        <v>1.2570369120605403E-11</v>
      </c>
      <c r="CC153" s="59">
        <f t="shared" si="119"/>
        <v>286.69302227187291</v>
      </c>
      <c r="CD153" s="59">
        <f ca="1">AVERAGE(OFFSET($CC$3,0,0,'Données projet'!$E$12+1,1))-AVERAGE(OFFSET($H$3,0,0,'Données projet'!$E$12+1,1))</f>
        <v>439.09551305860475</v>
      </c>
      <c r="CE153" s="59">
        <f t="shared" si="148"/>
        <v>311.31528017256846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123.43708408792185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123.43708408792185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5.6843418860808015E-13</v>
      </c>
      <c r="CU153" s="17">
        <f>CT153*VLOOKUP('Données projet'!$B$13,Paramètres!$A$1:$I$89,3,0)*VLOOKUP('Données projet'!$B$13,Paramètres!$A$1:$I$89,5,0)</f>
        <v>5.4978954722173515E-13</v>
      </c>
      <c r="CV153" s="13">
        <f t="shared" si="149"/>
        <v>6.7731340873355904E-12</v>
      </c>
      <c r="CW153" s="20">
        <f t="shared" si="121"/>
        <v>1.2754091996854009E-11</v>
      </c>
      <c r="CX153" s="59">
        <f t="shared" si="122"/>
        <v>286.69302227187308</v>
      </c>
      <c r="CY153" s="59">
        <f ca="1">AVERAGE(OFFSET($CX$3,0,0,'Données projet'!$E$13+1,1))-AVERAGE(OFFSET($H$3,0,0,'Données projet'!$E$13+1,1))</f>
        <v>445.01146841309549</v>
      </c>
      <c r="CZ153" s="59">
        <f t="shared" si="150"/>
        <v>315.40159257508969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125.46064284346156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125.46064284346156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-1.1368683772161603E-13</v>
      </c>
      <c r="DP153" s="17">
        <f>DO153*VLOOKUP('Données projet'!$B$14,Paramètres!$A$1:$I$89,3,0)*VLOOKUP('Données projet'!$B$14,Paramètres!$A$1:$I$89,5,0)</f>
        <v>-6.3550942286383367E-14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349.00268383833668</v>
      </c>
      <c r="DU153" s="59">
        <f t="shared" si="152"/>
        <v>459.94854391583749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34.537259716813651</v>
      </c>
      <c r="EB153" s="21">
        <f>EXP(-LN(2)/25)*EB152+(1-EXP(-LN(2)/25))/(LN(2)/25)*Calculateur!DW153*Calculateur!DY153*VLOOKUP('Données projet'!$B$14,Paramètres!$A$1:$I$89,3,0)*0.475*44/12</f>
        <v>4.1358654810728881</v>
      </c>
      <c r="EC153" s="21">
        <f>EXP(-LN(2)/2)*EC152+(1-EXP(-LN(2)/2))/(LN(2)/2)*DW153*DZ153*VLOOKUP('Données projet'!$B$14,Paramètres!$A$1:$I$89,3,0)*0.475*44/12</f>
        <v>1.716364985461147E-13</v>
      </c>
      <c r="ED153" s="22">
        <f t="shared" si="126"/>
        <v>38.673125197886712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1.7053025658242404E-13</v>
      </c>
      <c r="EK153" s="17">
        <f>EJ153*VLOOKUP('Données projet'!$B$15,Paramètres!$A$1:$I$89,3,0)*VLOOKUP('Données projet'!$B$15,Paramètres!$A$1:$I$89,5,0)</f>
        <v>1.3301360013429075E-13</v>
      </c>
      <c r="EL153" s="13">
        <f t="shared" si="153"/>
        <v>1.9329766731057041E-12</v>
      </c>
      <c r="EM153" s="20">
        <f t="shared" si="127"/>
        <v>3.5982663925596575E-12</v>
      </c>
      <c r="EN153" s="59">
        <f t="shared" si="128"/>
        <v>286.69302227186392</v>
      </c>
      <c r="EO153" s="59">
        <f ca="1">AVERAGE(OFFSET($EN$3,0,0,'Données projet'!$E$15+1,1))-AVERAGE(OFFSET($H$3,0,0,'Données projet'!$E$15+1,1))</f>
        <v>308.82719216177946</v>
      </c>
      <c r="EP153" s="59">
        <f t="shared" si="154"/>
        <v>302.59481222418219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16.312914810851872</v>
      </c>
      <c r="EW153" s="21">
        <f>EXP(-LN(2)/25)*EW152+(1-EXP(-LN(2)/25))/(LN(2)/25)*Calculateur!ER153*Calculateur!ET153*VLOOKUP('Données projet'!$B$15,Paramètres!$A$1:$I$89,3,0)*0.475*44/12</f>
        <v>7.2195135897245812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23.532428400576453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286.80821682327735</v>
      </c>
      <c r="S154" s="59">
        <f ca="1">AVERAGE(OFFSET($R$3,0,0,'Données projet'!$E$9+1,1))-AVERAGE(OFFSET($H$3,0,0,'Données projet'!$E$9+1,1))</f>
        <v>421.33534980160005</v>
      </c>
      <c r="T154" s="59">
        <f t="shared" si="142"/>
        <v>299.0473530693472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5.763922672485933E-13</v>
      </c>
      <c r="AK154" s="13">
        <f t="shared" ref="AK154:AK203" si="164">EXP(-1.0587+0.8836*LN(AJ154)+0.284)</f>
        <v>7.0619171555808457E-12</v>
      </c>
      <c r="AL154" s="20">
        <f t="shared" ref="AL154:AL203" si="165">(AJ154+AK154)*0.475*44/12</f>
        <v>1.3303388911427938E-11</v>
      </c>
      <c r="AM154" s="59">
        <f t="shared" si="113"/>
        <v>286.80821682327866</v>
      </c>
      <c r="AN154" s="59">
        <f ca="1">AVERAGE(OFFSET($AM$3,0,0,'Données projet'!$E$10+1,1))-AVERAGE(OFFSET($H$3,0,0,'Données projet'!$E$10+1,1))</f>
        <v>462.74754756814662</v>
      </c>
      <c r="AO154" s="59">
        <f t="shared" si="144"/>
        <v>327.65191293226667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128.95207016851489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128.95207016851489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5.6843418860808015E-13</v>
      </c>
      <c r="BE154" s="13">
        <f>BD154*VLOOKUP('Données projet'!$B$11,Paramètres!$A$1:$I$89,3,0)*VLOOKUP('Données projet'!$B$11,Paramètres!$A$1:$I$89,5,0)</f>
        <v>3.8130565371830017E-13</v>
      </c>
      <c r="BF154" s="13">
        <f t="shared" ref="BF154:BF203" si="167">EXP(-1.0587+0.8836*LN(BE154)+0.284)</f>
        <v>4.9019074112354236E-12</v>
      </c>
      <c r="BG154" s="20">
        <f t="shared" ref="BG154:BG203" si="168">(BE154+BF154)*0.475*44/12</f>
        <v>9.2015960881277352E-12</v>
      </c>
      <c r="BH154" s="59">
        <f t="shared" si="116"/>
        <v>286.80821682327456</v>
      </c>
      <c r="BI154" s="59">
        <f ca="1">AVERAGE(OFFSET($BH$3,0,0,'Données projet'!$E$11+1,1))-AVERAGE(OFFSET($H$3,0,0,'Données projet'!$E$11+1,1))</f>
        <v>332.21938212432008</v>
      </c>
      <c r="BJ154" s="59">
        <f t="shared" si="146"/>
        <v>237.47732529948181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105.14553413740443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105.14553413740443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5.4092197387944907E-13</v>
      </c>
      <c r="CA154" s="13">
        <f t="shared" ref="CA154:CA203" si="170">EXP(-1.0587+0.8836*LN(BZ154)+0.284)</f>
        <v>6.6765148417791561E-12</v>
      </c>
      <c r="CB154" s="20">
        <f t="shared" ref="CB154:CB203" si="171">(BZ154+CA154)*0.475*44/12</f>
        <v>1.2570369120605403E-11</v>
      </c>
      <c r="CC154" s="59">
        <f t="shared" si="119"/>
        <v>286.80821682327792</v>
      </c>
      <c r="CD154" s="59">
        <f ca="1">AVERAGE(OFFSET($CC$3,0,0,'Données projet'!$E$12+1,1))-AVERAGE(OFFSET($H$3,0,0,'Données projet'!$E$12+1,1))</f>
        <v>439.09551305860475</v>
      </c>
      <c r="CE154" s="59">
        <f t="shared" si="148"/>
        <v>311.31528017256846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121.0165581581448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121.0165581581448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5.6843418860808015E-13</v>
      </c>
      <c r="CU154" s="17">
        <f>CT154*VLOOKUP('Données projet'!$B$13,Paramètres!$A$1:$I$89,3,0)*VLOOKUP('Données projet'!$B$13,Paramètres!$A$1:$I$89,5,0)</f>
        <v>5.4978954722173515E-13</v>
      </c>
      <c r="CV154" s="13">
        <f t="shared" ref="CV154:CV203" si="173">EXP(-1.0587+0.8836*LN(CU154)+0.284)</f>
        <v>6.7731340873355904E-12</v>
      </c>
      <c r="CW154" s="20">
        <f t="shared" ref="CW154:CW203" si="174">(CU154+CV154)*0.475*44/12</f>
        <v>1.2754091996854009E-11</v>
      </c>
      <c r="CX154" s="59">
        <f t="shared" si="122"/>
        <v>286.80821682327809</v>
      </c>
      <c r="CY154" s="59">
        <f ca="1">AVERAGE(OFFSET($CX$3,0,0,'Données projet'!$E$13+1,1))-AVERAGE(OFFSET($H$3,0,0,'Données projet'!$E$13+1,1))</f>
        <v>445.01146841309549</v>
      </c>
      <c r="CZ154" s="59">
        <f t="shared" si="150"/>
        <v>315.40159257508969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123.00043616073735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123.00043616073735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-1.1368683772161603E-13</v>
      </c>
      <c r="DP154" s="17">
        <f>DO154*VLOOKUP('Données projet'!$B$14,Paramètres!$A$1:$I$89,3,0)*VLOOKUP('Données projet'!$B$14,Paramètres!$A$1:$I$89,5,0)</f>
        <v>-6.3550942286383367E-14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349.00268383833668</v>
      </c>
      <c r="DU154" s="59">
        <f t="shared" si="152"/>
        <v>459.94854391583749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33.860005119415305</v>
      </c>
      <c r="EB154" s="21">
        <f>EXP(-LN(2)/25)*EB153+(1-EXP(-LN(2)/25))/(LN(2)/25)*Calculateur!DW154*Calculateur!DY154*VLOOKUP('Données projet'!$B$14,Paramètres!$A$1:$I$89,3,0)*0.475*44/12</f>
        <v>4.0227700219972373</v>
      </c>
      <c r="EC154" s="21">
        <f>EXP(-LN(2)/2)*EC153+(1-EXP(-LN(2)/2))/(LN(2)/2)*DW154*DZ154*VLOOKUP('Données projet'!$B$14,Paramètres!$A$1:$I$89,3,0)*0.475*44/12</f>
        <v>1.2136533202107271E-13</v>
      </c>
      <c r="ED154" s="22">
        <f t="shared" ref="ED154:ED203" si="178">SUM(EA154:EC154)</f>
        <v>37.882775141412665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1.7053025658242404E-13</v>
      </c>
      <c r="EK154" s="17">
        <f>EJ154*VLOOKUP('Données projet'!$B$15,Paramètres!$A$1:$I$89,3,0)*VLOOKUP('Données projet'!$B$15,Paramètres!$A$1:$I$89,5,0)</f>
        <v>1.3301360013429075E-13</v>
      </c>
      <c r="EL154" s="13">
        <f t="shared" ref="EL154:EL203" si="179">EXP(-1.0587+0.8836*LN(EK154)+0.284)</f>
        <v>1.9329766731057041E-12</v>
      </c>
      <c r="EM154" s="20">
        <f t="shared" ref="EM154:EM203" si="180">(EK154+EL154)*0.475*44/12</f>
        <v>3.5982663925596575E-12</v>
      </c>
      <c r="EN154" s="59">
        <f t="shared" si="128"/>
        <v>286.80821682326894</v>
      </c>
      <c r="EO154" s="59">
        <f ca="1">AVERAGE(OFFSET($EN$3,0,0,'Données projet'!$E$15+1,1))-AVERAGE(OFFSET($H$3,0,0,'Données projet'!$E$15+1,1))</f>
        <v>308.82719216177946</v>
      </c>
      <c r="EP154" s="59">
        <f t="shared" si="154"/>
        <v>302.59481222418219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15.993028501306631</v>
      </c>
      <c r="EW154" s="21">
        <f>EXP(-LN(2)/25)*EW153+(1-EXP(-LN(2)/25))/(LN(2)/25)*Calculateur!ER154*Calculateur!ET154*VLOOKUP('Données projet'!$B$15,Paramètres!$A$1:$I$89,3,0)*0.475*44/12</f>
        <v>7.0220956109558434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23.015124112262473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286.92141300675189</v>
      </c>
      <c r="S155" s="59">
        <f ca="1">AVERAGE(OFFSET($R$3,0,0,'Données projet'!$E$9+1,1))-AVERAGE(OFFSET($H$3,0,0,'Données projet'!$E$9+1,1))</f>
        <v>421.33534980160005</v>
      </c>
      <c r="T155" s="59">
        <f t="shared" si="142"/>
        <v>299.0473530693472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5.763922672485933E-13</v>
      </c>
      <c r="AK155" s="13">
        <f t="shared" si="164"/>
        <v>7.0619171555808457E-12</v>
      </c>
      <c r="AL155" s="20">
        <f t="shared" si="165"/>
        <v>1.3303388911427938E-11</v>
      </c>
      <c r="AM155" s="59">
        <f t="shared" si="113"/>
        <v>286.9214130067532</v>
      </c>
      <c r="AN155" s="59">
        <f ca="1">AVERAGE(OFFSET($AM$3,0,0,'Données projet'!$E$10+1,1))-AVERAGE(OFFSET($H$3,0,0,'Données projet'!$E$10+1,1))</f>
        <v>462.74754756814662</v>
      </c>
      <c r="AO155" s="59">
        <f t="shared" si="144"/>
        <v>327.65191293226667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126.42339872550679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126.42339872550679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5.6843418860808015E-13</v>
      </c>
      <c r="BE155" s="13">
        <f>BD155*VLOOKUP('Données projet'!$B$11,Paramètres!$A$1:$I$89,3,0)*VLOOKUP('Données projet'!$B$11,Paramètres!$A$1:$I$89,5,0)</f>
        <v>3.8130565371830017E-13</v>
      </c>
      <c r="BF155" s="13">
        <f t="shared" si="167"/>
        <v>4.9019074112354236E-12</v>
      </c>
      <c r="BG155" s="20">
        <f t="shared" si="168"/>
        <v>9.2015960881277352E-12</v>
      </c>
      <c r="BH155" s="59">
        <f t="shared" si="116"/>
        <v>286.92141300674911</v>
      </c>
      <c r="BI155" s="59">
        <f ca="1">AVERAGE(OFFSET($BH$3,0,0,'Données projet'!$E$11+1,1))-AVERAGE(OFFSET($H$3,0,0,'Données projet'!$E$11+1,1))</f>
        <v>332.21938212432008</v>
      </c>
      <c r="BJ155" s="59">
        <f t="shared" si="146"/>
        <v>237.47732529948181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103.08369434541319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103.08369434541319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5.4092197387944907E-13</v>
      </c>
      <c r="CA155" s="13">
        <f t="shared" si="170"/>
        <v>6.6765148417791561E-12</v>
      </c>
      <c r="CB155" s="20">
        <f t="shared" si="171"/>
        <v>1.2570369120605403E-11</v>
      </c>
      <c r="CC155" s="59">
        <f t="shared" si="119"/>
        <v>286.92141300675246</v>
      </c>
      <c r="CD155" s="59">
        <f ca="1">AVERAGE(OFFSET($CC$3,0,0,'Données projet'!$E$12+1,1))-AVERAGE(OFFSET($H$3,0,0,'Données projet'!$E$12+1,1))</f>
        <v>439.09551305860475</v>
      </c>
      <c r="CE155" s="59">
        <f t="shared" si="148"/>
        <v>311.31528017256846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118.64349726547565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118.64349726547565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5.6843418860808015E-13</v>
      </c>
      <c r="CU155" s="17">
        <f>CT155*VLOOKUP('Données projet'!$B$13,Paramètres!$A$1:$I$89,3,0)*VLOOKUP('Données projet'!$B$13,Paramètres!$A$1:$I$89,5,0)</f>
        <v>5.4978954722173515E-13</v>
      </c>
      <c r="CV155" s="13">
        <f t="shared" si="173"/>
        <v>6.7731340873355904E-12</v>
      </c>
      <c r="CW155" s="20">
        <f t="shared" si="174"/>
        <v>1.2754091996854009E-11</v>
      </c>
      <c r="CX155" s="59">
        <f t="shared" si="122"/>
        <v>286.92141300675263</v>
      </c>
      <c r="CY155" s="59">
        <f ca="1">AVERAGE(OFFSET($CX$3,0,0,'Données projet'!$E$13+1,1))-AVERAGE(OFFSET($H$3,0,0,'Données projet'!$E$13+1,1))</f>
        <v>445.01146841309549</v>
      </c>
      <c r="CZ155" s="59">
        <f t="shared" si="150"/>
        <v>315.40159257508969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120.58847263048345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120.58847263048345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-1.1368683772161603E-13</v>
      </c>
      <c r="DP155" s="17">
        <f>DO155*VLOOKUP('Données projet'!$B$14,Paramètres!$A$1:$I$89,3,0)*VLOOKUP('Données projet'!$B$14,Paramètres!$A$1:$I$89,5,0)</f>
        <v>-6.3550942286383367E-14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349.00268383833668</v>
      </c>
      <c r="DU155" s="59">
        <f t="shared" si="152"/>
        <v>459.94854391583749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33.19603107158742</v>
      </c>
      <c r="EB155" s="21">
        <f>EXP(-LN(2)/25)*EB154+(1-EXP(-LN(2)/25))/(LN(2)/25)*Calculateur!DW155*Calculateur!DY155*VLOOKUP('Données projet'!$B$14,Paramètres!$A$1:$I$89,3,0)*0.475*44/12</f>
        <v>3.9127671641974415</v>
      </c>
      <c r="EC155" s="21">
        <f>EXP(-LN(2)/2)*EC154+(1-EXP(-LN(2)/2))/(LN(2)/2)*DW155*DZ155*VLOOKUP('Données projet'!$B$14,Paramètres!$A$1:$I$89,3,0)*0.475*44/12</f>
        <v>8.5818249273057349E-14</v>
      </c>
      <c r="ED155" s="22">
        <f t="shared" si="178"/>
        <v>37.108798235784946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1.7053025658242404E-13</v>
      </c>
      <c r="EK155" s="17">
        <f>EJ155*VLOOKUP('Données projet'!$B$15,Paramètres!$A$1:$I$89,3,0)*VLOOKUP('Données projet'!$B$15,Paramètres!$A$1:$I$89,5,0)</f>
        <v>1.3301360013429075E-13</v>
      </c>
      <c r="EL155" s="13">
        <f t="shared" si="179"/>
        <v>1.9329766731057041E-12</v>
      </c>
      <c r="EM155" s="20">
        <f t="shared" si="180"/>
        <v>3.5982663925596575E-12</v>
      </c>
      <c r="EN155" s="59">
        <f t="shared" si="128"/>
        <v>286.92141300674348</v>
      </c>
      <c r="EO155" s="59">
        <f ca="1">AVERAGE(OFFSET($EN$3,0,0,'Données projet'!$E$15+1,1))-AVERAGE(OFFSET($H$3,0,0,'Données projet'!$E$15+1,1))</f>
        <v>308.82719216177946</v>
      </c>
      <c r="EP155" s="59">
        <f t="shared" si="154"/>
        <v>302.59481222418219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15.679414967180188</v>
      </c>
      <c r="EW155" s="21">
        <f>EXP(-LN(2)/25)*EW154+(1-EXP(-LN(2)/25))/(LN(2)/25)*Calculateur!ER155*Calculateur!ET155*VLOOKUP('Données projet'!$B$15,Paramètres!$A$1:$I$89,3,0)*0.475*44/12</f>
        <v>6.8300760371982969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22.509491004378486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287.03264548951199</v>
      </c>
      <c r="S156" s="59">
        <f ca="1">AVERAGE(OFFSET($R$3,0,0,'Données projet'!$E$9+1,1))-AVERAGE(OFFSET($H$3,0,0,'Données projet'!$E$9+1,1))</f>
        <v>421.33534980160005</v>
      </c>
      <c r="T156" s="59">
        <f t="shared" si="142"/>
        <v>299.0473530693472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5.763922672485933E-13</v>
      </c>
      <c r="AK156" s="13">
        <f t="shared" si="164"/>
        <v>7.0619171555808457E-12</v>
      </c>
      <c r="AL156" s="20">
        <f t="shared" si="165"/>
        <v>1.3303388911427938E-11</v>
      </c>
      <c r="AM156" s="59">
        <f t="shared" si="113"/>
        <v>287.0326454895133</v>
      </c>
      <c r="AN156" s="59">
        <f ca="1">AVERAGE(OFFSET($AM$3,0,0,'Données projet'!$E$10+1,1))-AVERAGE(OFFSET($H$3,0,0,'Données projet'!$E$10+1,1))</f>
        <v>462.74754756814662</v>
      </c>
      <c r="AO156" s="59">
        <f t="shared" si="144"/>
        <v>327.65191293226667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123.94431298715878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123.94431298715878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5.6843418860808015E-13</v>
      </c>
      <c r="BE156" s="13">
        <f>BD156*VLOOKUP('Données projet'!$B$11,Paramètres!$A$1:$I$89,3,0)*VLOOKUP('Données projet'!$B$11,Paramètres!$A$1:$I$89,5,0)</f>
        <v>3.8130565371830017E-13</v>
      </c>
      <c r="BF156" s="13">
        <f t="shared" si="167"/>
        <v>4.9019074112354236E-12</v>
      </c>
      <c r="BG156" s="20">
        <f t="shared" si="168"/>
        <v>9.2015960881277352E-12</v>
      </c>
      <c r="BH156" s="59">
        <f t="shared" si="116"/>
        <v>287.03264548950921</v>
      </c>
      <c r="BI156" s="59">
        <f ca="1">AVERAGE(OFFSET($BH$3,0,0,'Données projet'!$E$11+1,1))-AVERAGE(OFFSET($H$3,0,0,'Données projet'!$E$11+1,1))</f>
        <v>332.21938212432008</v>
      </c>
      <c r="BJ156" s="59">
        <f t="shared" si="146"/>
        <v>237.47732529948181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101.06228597414481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101.06228597414481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5.4092197387944907E-13</v>
      </c>
      <c r="CA156" s="13">
        <f t="shared" si="170"/>
        <v>6.6765148417791561E-12</v>
      </c>
      <c r="CB156" s="20">
        <f t="shared" si="171"/>
        <v>1.2570369120605403E-11</v>
      </c>
      <c r="CC156" s="59">
        <f t="shared" si="119"/>
        <v>287.03264548951256</v>
      </c>
      <c r="CD156" s="59">
        <f ca="1">AVERAGE(OFFSET($CC$3,0,0,'Données projet'!$E$12+1,1))-AVERAGE(OFFSET($H$3,0,0,'Données projet'!$E$12+1,1))</f>
        <v>439.09551305860475</v>
      </c>
      <c r="CE156" s="59">
        <f t="shared" si="148"/>
        <v>311.31528017256846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116.31697064948752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116.31697064948752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5.6843418860808015E-13</v>
      </c>
      <c r="CU156" s="17">
        <f>CT156*VLOOKUP('Données projet'!$B$13,Paramètres!$A$1:$I$89,3,0)*VLOOKUP('Données projet'!$B$13,Paramètres!$A$1:$I$89,5,0)</f>
        <v>5.4978954722173515E-13</v>
      </c>
      <c r="CV156" s="13">
        <f t="shared" si="173"/>
        <v>6.7731340873355904E-12</v>
      </c>
      <c r="CW156" s="20">
        <f t="shared" si="174"/>
        <v>1.2754091996854009E-11</v>
      </c>
      <c r="CX156" s="59">
        <f t="shared" si="122"/>
        <v>287.03264548951273</v>
      </c>
      <c r="CY156" s="59">
        <f ca="1">AVERAGE(OFFSET($CX$3,0,0,'Données projet'!$E$13+1,1))-AVERAGE(OFFSET($H$3,0,0,'Données projet'!$E$13+1,1))</f>
        <v>445.01146841309549</v>
      </c>
      <c r="CZ156" s="59">
        <f t="shared" si="150"/>
        <v>315.40159257508969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118.22380623390535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118.22380623390535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-1.1368683772161603E-13</v>
      </c>
      <c r="DP156" s="17">
        <f>DO156*VLOOKUP('Données projet'!$B$14,Paramètres!$A$1:$I$89,3,0)*VLOOKUP('Données projet'!$B$14,Paramètres!$A$1:$I$89,5,0)</f>
        <v>-6.3550942286383367E-14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349.00268383833668</v>
      </c>
      <c r="DU156" s="59">
        <f t="shared" si="152"/>
        <v>459.94854391583749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32.545077149853263</v>
      </c>
      <c r="EB156" s="21">
        <f>EXP(-LN(2)/25)*EB155+(1-EXP(-LN(2)/25))/(LN(2)/25)*Calculateur!DW156*Calculateur!DY156*VLOOKUP('Données projet'!$B$14,Paramètres!$A$1:$I$89,3,0)*0.475*44/12</f>
        <v>3.8057723403289803</v>
      </c>
      <c r="EC156" s="21">
        <f>EXP(-LN(2)/2)*EC155+(1-EXP(-LN(2)/2))/(LN(2)/2)*DW156*DZ156*VLOOKUP('Données projet'!$B$14,Paramètres!$A$1:$I$89,3,0)*0.475*44/12</f>
        <v>6.0682666010536354E-14</v>
      </c>
      <c r="ED156" s="22">
        <f t="shared" si="178"/>
        <v>36.350849490182306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1.7053025658242404E-13</v>
      </c>
      <c r="EK156" s="17">
        <f>EJ156*VLOOKUP('Données projet'!$B$15,Paramètres!$A$1:$I$89,3,0)*VLOOKUP('Données projet'!$B$15,Paramètres!$A$1:$I$89,5,0)</f>
        <v>1.3301360013429075E-13</v>
      </c>
      <c r="EL156" s="13">
        <f t="shared" si="179"/>
        <v>1.9329766731057041E-12</v>
      </c>
      <c r="EM156" s="20">
        <f t="shared" si="180"/>
        <v>3.5982663925596575E-12</v>
      </c>
      <c r="EN156" s="59">
        <f t="shared" si="128"/>
        <v>287.03264548950358</v>
      </c>
      <c r="EO156" s="59">
        <f ca="1">AVERAGE(OFFSET($EN$3,0,0,'Données projet'!$E$15+1,1))-AVERAGE(OFFSET($H$3,0,0,'Données projet'!$E$15+1,1))</f>
        <v>308.82719216177946</v>
      </c>
      <c r="EP156" s="59">
        <f t="shared" si="154"/>
        <v>302.59481222418219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15.371951203172598</v>
      </c>
      <c r="EW156" s="21">
        <f>EXP(-LN(2)/25)*EW155+(1-EXP(-LN(2)/25))/(LN(2)/25)*Calculateur!ER156*Calculateur!ET156*VLOOKUP('Données projet'!$B$15,Paramètres!$A$1:$I$89,3,0)*0.475*44/12</f>
        <v>6.6433072487830209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22.015258451955617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287.14194833737474</v>
      </c>
      <c r="S157" s="59">
        <f ca="1">AVERAGE(OFFSET($R$3,0,0,'Données projet'!$E$9+1,1))-AVERAGE(OFFSET($H$3,0,0,'Données projet'!$E$9+1,1))</f>
        <v>421.33534980160005</v>
      </c>
      <c r="T157" s="59">
        <f t="shared" si="142"/>
        <v>299.0473530693472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5.763922672485933E-13</v>
      </c>
      <c r="AK157" s="13">
        <f t="shared" si="164"/>
        <v>7.0619171555808457E-12</v>
      </c>
      <c r="AL157" s="20">
        <f t="shared" si="165"/>
        <v>1.3303388911427938E-11</v>
      </c>
      <c r="AM157" s="59">
        <f t="shared" si="113"/>
        <v>287.14194833737605</v>
      </c>
      <c r="AN157" s="59">
        <f ca="1">AVERAGE(OFFSET($AM$3,0,0,'Données projet'!$E$10+1,1))-AVERAGE(OFFSET($H$3,0,0,'Données projet'!$E$10+1,1))</f>
        <v>462.74754756814662</v>
      </c>
      <c r="AO157" s="59">
        <f t="shared" si="144"/>
        <v>327.65191293226667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121.51384060804678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121.51384060804678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5.6843418860808015E-13</v>
      </c>
      <c r="BE157" s="13">
        <f>BD157*VLOOKUP('Données projet'!$B$11,Paramètres!$A$1:$I$89,3,0)*VLOOKUP('Données projet'!$B$11,Paramètres!$A$1:$I$89,5,0)</f>
        <v>3.8130565371830017E-13</v>
      </c>
      <c r="BF157" s="13">
        <f t="shared" si="167"/>
        <v>4.9019074112354236E-12</v>
      </c>
      <c r="BG157" s="20">
        <f t="shared" si="168"/>
        <v>9.2015960881277352E-12</v>
      </c>
      <c r="BH157" s="59">
        <f t="shared" si="116"/>
        <v>287.14194833737196</v>
      </c>
      <c r="BI157" s="59">
        <f ca="1">AVERAGE(OFFSET($BH$3,0,0,'Données projet'!$E$11+1,1))-AVERAGE(OFFSET($H$3,0,0,'Données projet'!$E$11+1,1))</f>
        <v>332.21938212432008</v>
      </c>
      <c r="BJ157" s="59">
        <f t="shared" si="146"/>
        <v>237.47732529948181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99.080516188099651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99.080516188099651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5.4092197387944907E-13</v>
      </c>
      <c r="CA157" s="13">
        <f t="shared" si="170"/>
        <v>6.6765148417791561E-12</v>
      </c>
      <c r="CB157" s="20">
        <f t="shared" si="171"/>
        <v>1.2570369120605403E-11</v>
      </c>
      <c r="CC157" s="59">
        <f t="shared" si="119"/>
        <v>287.14194833737531</v>
      </c>
      <c r="CD157" s="59">
        <f ca="1">AVERAGE(OFFSET($CC$3,0,0,'Données projet'!$E$12+1,1))-AVERAGE(OFFSET($H$3,0,0,'Données projet'!$E$12+1,1))</f>
        <v>439.09551305860475</v>
      </c>
      <c r="CE157" s="59">
        <f t="shared" si="148"/>
        <v>311.31528017256846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114.0360658013978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114.0360658013978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5.6843418860808015E-13</v>
      </c>
      <c r="CU157" s="17">
        <f>CT157*VLOOKUP('Données projet'!$B$13,Paramètres!$A$1:$I$89,3,0)*VLOOKUP('Données projet'!$B$13,Paramètres!$A$1:$I$89,5,0)</f>
        <v>5.4978954722173515E-13</v>
      </c>
      <c r="CV157" s="13">
        <f t="shared" si="173"/>
        <v>6.7731340873355904E-12</v>
      </c>
      <c r="CW157" s="20">
        <f t="shared" si="174"/>
        <v>1.2754091996854009E-11</v>
      </c>
      <c r="CX157" s="59">
        <f t="shared" si="122"/>
        <v>287.14194833737548</v>
      </c>
      <c r="CY157" s="59">
        <f ca="1">AVERAGE(OFFSET($CX$3,0,0,'Données projet'!$E$13+1,1))-AVERAGE(OFFSET($H$3,0,0,'Données projet'!$E$13+1,1))</f>
        <v>445.01146841309549</v>
      </c>
      <c r="CZ157" s="59">
        <f t="shared" si="150"/>
        <v>315.40159257508969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115.90550950306006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115.90550950306006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-1.1368683772161603E-13</v>
      </c>
      <c r="DP157" s="17">
        <f>DO157*VLOOKUP('Données projet'!$B$14,Paramètres!$A$1:$I$89,3,0)*VLOOKUP('Données projet'!$B$14,Paramètres!$A$1:$I$89,5,0)</f>
        <v>-6.3550942286383367E-14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349.00268383833668</v>
      </c>
      <c r="DU157" s="59">
        <f t="shared" si="152"/>
        <v>459.94854391583749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31.906888037481625</v>
      </c>
      <c r="EB157" s="21">
        <f>EXP(-LN(2)/25)*EB156+(1-EXP(-LN(2)/25))/(LN(2)/25)*Calculateur!DW157*Calculateur!DY157*VLOOKUP('Données projet'!$B$14,Paramètres!$A$1:$I$89,3,0)*0.475*44/12</f>
        <v>3.7017032955458151</v>
      </c>
      <c r="EC157" s="21">
        <f>EXP(-LN(2)/2)*EC156+(1-EXP(-LN(2)/2))/(LN(2)/2)*DW157*DZ157*VLOOKUP('Données projet'!$B$14,Paramètres!$A$1:$I$89,3,0)*0.475*44/12</f>
        <v>4.2909124636528675E-14</v>
      </c>
      <c r="ED157" s="22">
        <f t="shared" si="178"/>
        <v>35.608591333027483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1.7053025658242404E-13</v>
      </c>
      <c r="EK157" s="17">
        <f>EJ157*VLOOKUP('Données projet'!$B$15,Paramètres!$A$1:$I$89,3,0)*VLOOKUP('Données projet'!$B$15,Paramètres!$A$1:$I$89,5,0)</f>
        <v>1.3301360013429075E-13</v>
      </c>
      <c r="EL157" s="13">
        <f t="shared" si="179"/>
        <v>1.9329766731057041E-12</v>
      </c>
      <c r="EM157" s="20">
        <f t="shared" si="180"/>
        <v>3.5982663925596575E-12</v>
      </c>
      <c r="EN157" s="59">
        <f t="shared" si="128"/>
        <v>287.14194833736633</v>
      </c>
      <c r="EO157" s="59">
        <f ca="1">AVERAGE(OFFSET($EN$3,0,0,'Données projet'!$E$15+1,1))-AVERAGE(OFFSET($H$3,0,0,'Données projet'!$E$15+1,1))</f>
        <v>308.82719216177946</v>
      </c>
      <c r="EP157" s="59">
        <f t="shared" si="154"/>
        <v>302.59481222418219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15.070516616042818</v>
      </c>
      <c r="EW157" s="21">
        <f>EXP(-LN(2)/25)*EW156+(1-EXP(-LN(2)/25))/(LN(2)/25)*Calculateur!ER157*Calculateur!ET157*VLOOKUP('Données projet'!$B$15,Paramètres!$A$1:$I$89,3,0)*0.475*44/12</f>
        <v>6.4616456627087047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21.532162278751521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287.24935502519168</v>
      </c>
      <c r="S158" s="59">
        <f ca="1">AVERAGE(OFFSET($R$3,0,0,'Données projet'!$E$9+1,1))-AVERAGE(OFFSET($H$3,0,0,'Données projet'!$E$9+1,1))</f>
        <v>421.33534980160005</v>
      </c>
      <c r="T158" s="59">
        <f t="shared" si="142"/>
        <v>299.0473530693472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5.763922672485933E-13</v>
      </c>
      <c r="AK158" s="13">
        <f t="shared" si="164"/>
        <v>7.0619171555808457E-12</v>
      </c>
      <c r="AL158" s="20">
        <f t="shared" si="165"/>
        <v>1.3303388911427938E-11</v>
      </c>
      <c r="AM158" s="59">
        <f t="shared" si="113"/>
        <v>287.24935502519298</v>
      </c>
      <c r="AN158" s="59">
        <f ca="1">AVERAGE(OFFSET($AM$3,0,0,'Données projet'!$E$10+1,1))-AVERAGE(OFFSET($H$3,0,0,'Données projet'!$E$10+1,1))</f>
        <v>462.74754756814662</v>
      </c>
      <c r="AO158" s="59">
        <f t="shared" si="144"/>
        <v>327.65191293226667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119.13102830984739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119.13102830984739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5.6843418860808015E-13</v>
      </c>
      <c r="BE158" s="13">
        <f>BD158*VLOOKUP('Données projet'!$B$11,Paramètres!$A$1:$I$89,3,0)*VLOOKUP('Données projet'!$B$11,Paramètres!$A$1:$I$89,5,0)</f>
        <v>3.8130565371830017E-13</v>
      </c>
      <c r="BF158" s="13">
        <f t="shared" si="167"/>
        <v>4.9019074112354236E-12</v>
      </c>
      <c r="BG158" s="20">
        <f t="shared" si="168"/>
        <v>9.2015960881277352E-12</v>
      </c>
      <c r="BH158" s="59">
        <f t="shared" si="116"/>
        <v>287.24935502518889</v>
      </c>
      <c r="BI158" s="59">
        <f ca="1">AVERAGE(OFFSET($BH$3,0,0,'Données projet'!$E$11+1,1))-AVERAGE(OFFSET($H$3,0,0,'Données projet'!$E$11+1,1))</f>
        <v>332.21938212432008</v>
      </c>
      <c r="BJ158" s="59">
        <f t="shared" si="146"/>
        <v>237.47732529948181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97.137607698798618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97.137607698798618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5.4092197387944907E-13</v>
      </c>
      <c r="CA158" s="13">
        <f t="shared" si="170"/>
        <v>6.6765148417791561E-12</v>
      </c>
      <c r="CB158" s="20">
        <f t="shared" si="171"/>
        <v>1.2570369120605403E-11</v>
      </c>
      <c r="CC158" s="59">
        <f t="shared" si="119"/>
        <v>287.24935502519224</v>
      </c>
      <c r="CD158" s="59">
        <f ca="1">AVERAGE(OFFSET($CC$3,0,0,'Données projet'!$E$12+1,1))-AVERAGE(OFFSET($H$3,0,0,'Données projet'!$E$12+1,1))</f>
        <v>439.09551305860475</v>
      </c>
      <c r="CE158" s="59">
        <f t="shared" si="148"/>
        <v>311.31528017256846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111.79988810616453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111.79988810616453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5.6843418860808015E-13</v>
      </c>
      <c r="CU158" s="17">
        <f>CT158*VLOOKUP('Données projet'!$B$13,Paramètres!$A$1:$I$89,3,0)*VLOOKUP('Données projet'!$B$13,Paramètres!$A$1:$I$89,5,0)</f>
        <v>5.4978954722173515E-13</v>
      </c>
      <c r="CV158" s="13">
        <f t="shared" si="173"/>
        <v>6.7731340873355904E-12</v>
      </c>
      <c r="CW158" s="20">
        <f t="shared" si="174"/>
        <v>1.2754091996854009E-11</v>
      </c>
      <c r="CX158" s="59">
        <f t="shared" si="122"/>
        <v>287.24935502519241</v>
      </c>
      <c r="CY158" s="59">
        <f ca="1">AVERAGE(OFFSET($CX$3,0,0,'Données projet'!$E$13+1,1))-AVERAGE(OFFSET($H$3,0,0,'Données projet'!$E$13+1,1))</f>
        <v>445.01146841309549</v>
      </c>
      <c r="CZ158" s="59">
        <f t="shared" si="150"/>
        <v>315.40159257508969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113.63267315708526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113.63267315708526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-1.1368683772161603E-13</v>
      </c>
      <c r="DP158" s="17">
        <f>DO158*VLOOKUP('Données projet'!$B$14,Paramètres!$A$1:$I$89,3,0)*VLOOKUP('Données projet'!$B$14,Paramètres!$A$1:$I$89,5,0)</f>
        <v>-6.3550942286383367E-14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349.00268383833668</v>
      </c>
      <c r="DU158" s="59">
        <f t="shared" si="152"/>
        <v>459.94854391583749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31.281213424346671</v>
      </c>
      <c r="EB158" s="21">
        <f>EXP(-LN(2)/25)*EB157+(1-EXP(-LN(2)/25))/(LN(2)/25)*Calculateur!DW158*Calculateur!DY158*VLOOKUP('Données projet'!$B$14,Paramètres!$A$1:$I$89,3,0)*0.475*44/12</f>
        <v>3.600480024264999</v>
      </c>
      <c r="EC158" s="21">
        <f>EXP(-LN(2)/2)*EC157+(1-EXP(-LN(2)/2))/(LN(2)/2)*DW158*DZ158*VLOOKUP('Données projet'!$B$14,Paramètres!$A$1:$I$89,3,0)*0.475*44/12</f>
        <v>3.0341333005268177E-14</v>
      </c>
      <c r="ED158" s="22">
        <f t="shared" si="178"/>
        <v>34.881693448611699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1.7053025658242404E-13</v>
      </c>
      <c r="EK158" s="17">
        <f>EJ158*VLOOKUP('Données projet'!$B$15,Paramètres!$A$1:$I$89,3,0)*VLOOKUP('Données projet'!$B$15,Paramètres!$A$1:$I$89,5,0)</f>
        <v>1.3301360013429075E-13</v>
      </c>
      <c r="EL158" s="13">
        <f t="shared" si="179"/>
        <v>1.9329766731057041E-12</v>
      </c>
      <c r="EM158" s="20">
        <f t="shared" si="180"/>
        <v>3.5982663925596575E-12</v>
      </c>
      <c r="EN158" s="59">
        <f t="shared" si="128"/>
        <v>287.24935502518326</v>
      </c>
      <c r="EO158" s="59">
        <f ca="1">AVERAGE(OFFSET($EN$3,0,0,'Données projet'!$E$15+1,1))-AVERAGE(OFFSET($H$3,0,0,'Données projet'!$E$15+1,1))</f>
        <v>308.82719216177946</v>
      </c>
      <c r="EP158" s="59">
        <f t="shared" si="154"/>
        <v>302.59481222418219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14.77499297730971</v>
      </c>
      <c r="EW158" s="21">
        <f>EXP(-LN(2)/25)*EW157+(1-EXP(-LN(2)/25))/(LN(2)/25)*Calculateur!ER158*Calculateur!ET158*VLOOKUP('Données projet'!$B$15,Paramètres!$A$1:$I$89,3,0)*0.475*44/12</f>
        <v>6.2849516222587578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21.059944599568468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287.35489844710031</v>
      </c>
      <c r="S159" s="59">
        <f ca="1">AVERAGE(OFFSET($R$3,0,0,'Données projet'!$E$9+1,1))-AVERAGE(OFFSET($H$3,0,0,'Données projet'!$E$9+1,1))</f>
        <v>421.33534980160005</v>
      </c>
      <c r="T159" s="59">
        <f t="shared" si="142"/>
        <v>299.0473530693472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5.763922672485933E-13</v>
      </c>
      <c r="AK159" s="13">
        <f t="shared" si="164"/>
        <v>7.0619171555808457E-12</v>
      </c>
      <c r="AL159" s="20">
        <f t="shared" si="165"/>
        <v>1.3303388911427938E-11</v>
      </c>
      <c r="AM159" s="59">
        <f t="shared" si="113"/>
        <v>287.35489844710162</v>
      </c>
      <c r="AN159" s="59">
        <f ca="1">AVERAGE(OFFSET($AM$3,0,0,'Données projet'!$E$10+1,1))-AVERAGE(OFFSET($H$3,0,0,'Données projet'!$E$10+1,1))</f>
        <v>462.74754756814662</v>
      </c>
      <c r="AO159" s="59">
        <f t="shared" si="144"/>
        <v>327.65191293226667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116.79494150744371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116.79494150744371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5.6843418860808015E-13</v>
      </c>
      <c r="BE159" s="13">
        <f>BD159*VLOOKUP('Données projet'!$B$11,Paramètres!$A$1:$I$89,3,0)*VLOOKUP('Données projet'!$B$11,Paramètres!$A$1:$I$89,5,0)</f>
        <v>3.8130565371830017E-13</v>
      </c>
      <c r="BF159" s="13">
        <f t="shared" si="167"/>
        <v>4.9019074112354236E-12</v>
      </c>
      <c r="BG159" s="20">
        <f t="shared" si="168"/>
        <v>9.2015960881277352E-12</v>
      </c>
      <c r="BH159" s="59">
        <f t="shared" si="116"/>
        <v>287.35489844709753</v>
      </c>
      <c r="BI159" s="59">
        <f ca="1">AVERAGE(OFFSET($BH$3,0,0,'Données projet'!$E$11+1,1))-AVERAGE(OFFSET($H$3,0,0,'Données projet'!$E$11+1,1))</f>
        <v>332.21938212432008</v>
      </c>
      <c r="BJ159" s="59">
        <f t="shared" si="146"/>
        <v>237.47732529948181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95.232798459915614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95.232798459915614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5.4092197387944907E-13</v>
      </c>
      <c r="CA159" s="13">
        <f t="shared" si="170"/>
        <v>6.6765148417791561E-12</v>
      </c>
      <c r="CB159" s="20">
        <f t="shared" si="171"/>
        <v>1.2570369120605403E-11</v>
      </c>
      <c r="CC159" s="59">
        <f t="shared" si="119"/>
        <v>287.35489844710088</v>
      </c>
      <c r="CD159" s="59">
        <f ca="1">AVERAGE(OFFSET($CC$3,0,0,'Données projet'!$E$12+1,1))-AVERAGE(OFFSET($H$3,0,0,'Données projet'!$E$12+1,1))</f>
        <v>439.09551305860475</v>
      </c>
      <c r="CE159" s="59">
        <f t="shared" si="148"/>
        <v>311.31528017256846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109.60756049160106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109.60756049160106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5.6843418860808015E-13</v>
      </c>
      <c r="CU159" s="17">
        <f>CT159*VLOOKUP('Données projet'!$B$13,Paramètres!$A$1:$I$89,3,0)*VLOOKUP('Données projet'!$B$13,Paramètres!$A$1:$I$89,5,0)</f>
        <v>5.4978954722173515E-13</v>
      </c>
      <c r="CV159" s="13">
        <f t="shared" si="173"/>
        <v>6.7731340873355904E-12</v>
      </c>
      <c r="CW159" s="20">
        <f t="shared" si="174"/>
        <v>1.2754091996854009E-11</v>
      </c>
      <c r="CX159" s="59">
        <f t="shared" si="122"/>
        <v>287.35489844710105</v>
      </c>
      <c r="CY159" s="59">
        <f ca="1">AVERAGE(OFFSET($CX$3,0,0,'Données projet'!$E$13+1,1))-AVERAGE(OFFSET($H$3,0,0,'Données projet'!$E$13+1,1))</f>
        <v>445.01146841309549</v>
      </c>
      <c r="CZ159" s="59">
        <f t="shared" si="150"/>
        <v>315.40159257508969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111.40440574556175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111.40440574556175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-1.1368683772161603E-13</v>
      </c>
      <c r="DP159" s="17">
        <f>DO159*VLOOKUP('Données projet'!$B$14,Paramètres!$A$1:$I$89,3,0)*VLOOKUP('Données projet'!$B$14,Paramètres!$A$1:$I$89,5,0)</f>
        <v>-6.3550942286383367E-14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349.00268383833668</v>
      </c>
      <c r="DU159" s="59">
        <f t="shared" si="152"/>
        <v>459.94854391583749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30.667807908751463</v>
      </c>
      <c r="EB159" s="21">
        <f>EXP(-LN(2)/25)*EB158+(1-EXP(-LN(2)/25))/(LN(2)/25)*Calculateur!DW159*Calculateur!DY159*VLOOKUP('Données projet'!$B$14,Paramètres!$A$1:$I$89,3,0)*0.475*44/12</f>
        <v>3.502024708660457</v>
      </c>
      <c r="EC159" s="21">
        <f>EXP(-LN(2)/2)*EC158+(1-EXP(-LN(2)/2))/(LN(2)/2)*DW159*DZ159*VLOOKUP('Données projet'!$B$14,Paramètres!$A$1:$I$89,3,0)*0.475*44/12</f>
        <v>2.1454562318264337E-14</v>
      </c>
      <c r="ED159" s="22">
        <f t="shared" si="178"/>
        <v>34.169832617411942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1.7053025658242404E-13</v>
      </c>
      <c r="EK159" s="17">
        <f>EJ159*VLOOKUP('Données projet'!$B$15,Paramètres!$A$1:$I$89,3,0)*VLOOKUP('Données projet'!$B$15,Paramètres!$A$1:$I$89,5,0)</f>
        <v>1.3301360013429075E-13</v>
      </c>
      <c r="EL159" s="13">
        <f t="shared" si="179"/>
        <v>1.9329766731057041E-12</v>
      </c>
      <c r="EM159" s="20">
        <f t="shared" si="180"/>
        <v>3.5982663925596575E-12</v>
      </c>
      <c r="EN159" s="59">
        <f t="shared" si="128"/>
        <v>287.3548984470919</v>
      </c>
      <c r="EO159" s="59">
        <f ca="1">AVERAGE(OFFSET($EN$3,0,0,'Données projet'!$E$15+1,1))-AVERAGE(OFFSET($H$3,0,0,'Données projet'!$E$15+1,1))</f>
        <v>308.82719216177946</v>
      </c>
      <c r="EP159" s="59">
        <f t="shared" si="154"/>
        <v>302.59481222418219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14.485264376880536</v>
      </c>
      <c r="EW159" s="21">
        <f>EXP(-LN(2)/25)*EW158+(1-EXP(-LN(2)/25))/(LN(2)/25)*Calculateur!ER159*Calculateur!ET159*VLOOKUP('Données projet'!$B$15,Paramètres!$A$1:$I$89,3,0)*0.475*44/12</f>
        <v>6.1130892896368509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20.598353666517387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287.45861092659857</v>
      </c>
      <c r="S160" s="59">
        <f ca="1">AVERAGE(OFFSET($R$3,0,0,'Données projet'!$E$9+1,1))-AVERAGE(OFFSET($H$3,0,0,'Données projet'!$E$9+1,1))</f>
        <v>421.33534980160005</v>
      </c>
      <c r="T160" s="59">
        <f t="shared" si="142"/>
        <v>299.0473530693472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5.763922672485933E-13</v>
      </c>
      <c r="AK160" s="13">
        <f t="shared" si="164"/>
        <v>7.0619171555808457E-12</v>
      </c>
      <c r="AL160" s="20">
        <f t="shared" si="165"/>
        <v>1.3303388911427938E-11</v>
      </c>
      <c r="AM160" s="59">
        <f t="shared" si="113"/>
        <v>287.45861092659987</v>
      </c>
      <c r="AN160" s="59">
        <f ca="1">AVERAGE(OFFSET($AM$3,0,0,'Données projet'!$E$10+1,1))-AVERAGE(OFFSET($H$3,0,0,'Données projet'!$E$10+1,1))</f>
        <v>462.74754756814662</v>
      </c>
      <c r="AO160" s="59">
        <f t="shared" si="144"/>
        <v>327.65191293226667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114.5046639423629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114.5046639423629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5.6843418860808015E-13</v>
      </c>
      <c r="BE160" s="13">
        <f>BD160*VLOOKUP('Données projet'!$B$11,Paramètres!$A$1:$I$89,3,0)*VLOOKUP('Données projet'!$B$11,Paramètres!$A$1:$I$89,5,0)</f>
        <v>3.8130565371830017E-13</v>
      </c>
      <c r="BF160" s="13">
        <f t="shared" si="167"/>
        <v>4.9019074112354236E-12</v>
      </c>
      <c r="BG160" s="20">
        <f t="shared" si="168"/>
        <v>9.2015960881277352E-12</v>
      </c>
      <c r="BH160" s="59">
        <f t="shared" si="116"/>
        <v>287.45861092659578</v>
      </c>
      <c r="BI160" s="59">
        <f ca="1">AVERAGE(OFFSET($BH$3,0,0,'Données projet'!$E$11+1,1))-AVERAGE(OFFSET($H$3,0,0,'Données projet'!$E$11+1,1))</f>
        <v>332.21938212432008</v>
      </c>
      <c r="BJ160" s="59">
        <f t="shared" si="146"/>
        <v>237.47732529948181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93.365341368388187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93.365341368388187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5.4092197387944907E-13</v>
      </c>
      <c r="CA160" s="13">
        <f t="shared" si="170"/>
        <v>6.6765148417791561E-12</v>
      </c>
      <c r="CB160" s="20">
        <f t="shared" si="171"/>
        <v>1.2570369120605403E-11</v>
      </c>
      <c r="CC160" s="59">
        <f t="shared" si="119"/>
        <v>287.45861092659914</v>
      </c>
      <c r="CD160" s="59">
        <f ca="1">AVERAGE(OFFSET($CC$3,0,0,'Données projet'!$E$12+1,1))-AVERAGE(OFFSET($H$3,0,0,'Données projet'!$E$12+1,1))</f>
        <v>439.09551305860475</v>
      </c>
      <c r="CE160" s="59">
        <f t="shared" si="148"/>
        <v>311.31528017256846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107.45822308437138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107.45822308437138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5.6843418860808015E-13</v>
      </c>
      <c r="CU160" s="17">
        <f>CT160*VLOOKUP('Données projet'!$B$13,Paramètres!$A$1:$I$89,3,0)*VLOOKUP('Données projet'!$B$13,Paramètres!$A$1:$I$89,5,0)</f>
        <v>5.4978954722173515E-13</v>
      </c>
      <c r="CV160" s="13">
        <f t="shared" si="173"/>
        <v>6.7731340873355904E-12</v>
      </c>
      <c r="CW160" s="20">
        <f t="shared" si="174"/>
        <v>1.2754091996854009E-11</v>
      </c>
      <c r="CX160" s="59">
        <f t="shared" si="122"/>
        <v>287.45861092659931</v>
      </c>
      <c r="CY160" s="59">
        <f ca="1">AVERAGE(OFFSET($CX$3,0,0,'Données projet'!$E$13+1,1))-AVERAGE(OFFSET($H$3,0,0,'Données projet'!$E$13+1,1))</f>
        <v>445.01146841309549</v>
      </c>
      <c r="CZ160" s="59">
        <f t="shared" si="150"/>
        <v>315.40159257508969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109.21983329886928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109.21983329886928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-1.1368683772161603E-13</v>
      </c>
      <c r="DP160" s="17">
        <f>DO160*VLOOKUP('Données projet'!$B$14,Paramètres!$A$1:$I$89,3,0)*VLOOKUP('Données projet'!$B$14,Paramètres!$A$1:$I$89,5,0)</f>
        <v>-6.3550942286383367E-14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349.00268383833668</v>
      </c>
      <c r="DU160" s="59">
        <f t="shared" si="152"/>
        <v>459.94854391583749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30.066430901176656</v>
      </c>
      <c r="EB160" s="21">
        <f>EXP(-LN(2)/25)*EB159+(1-EXP(-LN(2)/25))/(LN(2)/25)*Calculateur!DW160*Calculateur!DY160*VLOOKUP('Données projet'!$B$14,Paramètres!$A$1:$I$89,3,0)*0.475*44/12</f>
        <v>3.4062616588386612</v>
      </c>
      <c r="EC160" s="21">
        <f>EXP(-LN(2)/2)*EC159+(1-EXP(-LN(2)/2))/(LN(2)/2)*DW160*DZ160*VLOOKUP('Données projet'!$B$14,Paramètres!$A$1:$I$89,3,0)*0.475*44/12</f>
        <v>1.5170666502634088E-14</v>
      </c>
      <c r="ED160" s="22">
        <f t="shared" si="178"/>
        <v>33.472692560015332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1.7053025658242404E-13</v>
      </c>
      <c r="EK160" s="17">
        <f>EJ160*VLOOKUP('Données projet'!$B$15,Paramètres!$A$1:$I$89,3,0)*VLOOKUP('Données projet'!$B$15,Paramètres!$A$1:$I$89,5,0)</f>
        <v>1.3301360013429075E-13</v>
      </c>
      <c r="EL160" s="13">
        <f t="shared" si="179"/>
        <v>1.9329766731057041E-12</v>
      </c>
      <c r="EM160" s="20">
        <f t="shared" si="180"/>
        <v>3.5982663925596575E-12</v>
      </c>
      <c r="EN160" s="59">
        <f t="shared" si="128"/>
        <v>287.45861092659015</v>
      </c>
      <c r="EO160" s="59">
        <f ca="1">AVERAGE(OFFSET($EN$3,0,0,'Données projet'!$E$15+1,1))-AVERAGE(OFFSET($H$3,0,0,'Données projet'!$E$15+1,1))</f>
        <v>308.82719216177946</v>
      </c>
      <c r="EP160" s="59">
        <f t="shared" si="154"/>
        <v>302.59481222418219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14.201217177588781</v>
      </c>
      <c r="EW160" s="21">
        <f>EXP(-LN(2)/25)*EW159+(1-EXP(-LN(2)/25))/(LN(2)/25)*Calculateur!ER160*Calculateur!ET160*VLOOKUP('Données projet'!$B$15,Paramètres!$A$1:$I$89,3,0)*0.475*44/12</f>
        <v>5.9459265415383369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20.147143719127119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287.56052422644399</v>
      </c>
      <c r="S161" s="59">
        <f ca="1">AVERAGE(OFFSET($R$3,0,0,'Données projet'!$E$9+1,1))-AVERAGE(OFFSET($H$3,0,0,'Données projet'!$E$9+1,1))</f>
        <v>421.33534980160005</v>
      </c>
      <c r="T161" s="59">
        <f t="shared" si="142"/>
        <v>299.0473530693472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5.763922672485933E-13</v>
      </c>
      <c r="AK161" s="13">
        <f t="shared" si="164"/>
        <v>7.0619171555808457E-12</v>
      </c>
      <c r="AL161" s="20">
        <f t="shared" si="165"/>
        <v>1.3303388911427938E-11</v>
      </c>
      <c r="AM161" s="59">
        <f t="shared" si="113"/>
        <v>287.5605242264453</v>
      </c>
      <c r="AN161" s="59">
        <f ca="1">AVERAGE(OFFSET($AM$3,0,0,'Données projet'!$E$10+1,1))-AVERAGE(OFFSET($H$3,0,0,'Données projet'!$E$10+1,1))</f>
        <v>462.74754756814662</v>
      </c>
      <c r="AO161" s="59">
        <f t="shared" si="144"/>
        <v>327.65191293226667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112.25929732340194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112.25929732340194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5.6843418860808015E-13</v>
      </c>
      <c r="BE161" s="13">
        <f>BD161*VLOOKUP('Données projet'!$B$11,Paramètres!$A$1:$I$89,3,0)*VLOOKUP('Données projet'!$B$11,Paramètres!$A$1:$I$89,5,0)</f>
        <v>3.8130565371830017E-13</v>
      </c>
      <c r="BF161" s="13">
        <f t="shared" si="167"/>
        <v>4.9019074112354236E-12</v>
      </c>
      <c r="BG161" s="20">
        <f t="shared" si="168"/>
        <v>9.2015960881277352E-12</v>
      </c>
      <c r="BH161" s="59">
        <f t="shared" si="116"/>
        <v>287.5605242264412</v>
      </c>
      <c r="BI161" s="59">
        <f ca="1">AVERAGE(OFFSET($BH$3,0,0,'Données projet'!$E$11+1,1))-AVERAGE(OFFSET($H$3,0,0,'Données projet'!$E$11+1,1))</f>
        <v>332.21938212432008</v>
      </c>
      <c r="BJ161" s="59">
        <f t="shared" si="146"/>
        <v>237.47732529948181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91.534503971389256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91.534503971389256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5.4092197387944907E-13</v>
      </c>
      <c r="CA161" s="13">
        <f t="shared" si="170"/>
        <v>6.6765148417791561E-12</v>
      </c>
      <c r="CB161" s="20">
        <f t="shared" si="171"/>
        <v>1.2570369120605403E-11</v>
      </c>
      <c r="CC161" s="59">
        <f t="shared" si="119"/>
        <v>287.56052422644456</v>
      </c>
      <c r="CD161" s="59">
        <f ca="1">AVERAGE(OFFSET($CC$3,0,0,'Données projet'!$E$12+1,1))-AVERAGE(OFFSET($H$3,0,0,'Données projet'!$E$12+1,1))</f>
        <v>439.09551305860475</v>
      </c>
      <c r="CE161" s="59">
        <f t="shared" si="148"/>
        <v>311.31528017256846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105.35103287273111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105.35103287273111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5.6843418860808015E-13</v>
      </c>
      <c r="CU161" s="17">
        <f>CT161*VLOOKUP('Données projet'!$B$13,Paramètres!$A$1:$I$89,3,0)*VLOOKUP('Données projet'!$B$13,Paramètres!$A$1:$I$89,5,0)</f>
        <v>5.4978954722173515E-13</v>
      </c>
      <c r="CV161" s="13">
        <f t="shared" si="173"/>
        <v>6.7731340873355904E-12</v>
      </c>
      <c r="CW161" s="20">
        <f t="shared" si="174"/>
        <v>1.2754091996854009E-11</v>
      </c>
      <c r="CX161" s="59">
        <f t="shared" si="122"/>
        <v>287.56052422644473</v>
      </c>
      <c r="CY161" s="59">
        <f ca="1">AVERAGE(OFFSET($CX$3,0,0,'Données projet'!$E$13+1,1))-AVERAGE(OFFSET($H$3,0,0,'Données projet'!$E$13+1,1))</f>
        <v>445.01146841309549</v>
      </c>
      <c r="CZ161" s="59">
        <f t="shared" si="150"/>
        <v>315.40159257508969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107.07809898539882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107.07809898539882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-1.1368683772161603E-13</v>
      </c>
      <c r="DP161" s="17">
        <f>DO161*VLOOKUP('Données projet'!$B$14,Paramètres!$A$1:$I$89,3,0)*VLOOKUP('Données projet'!$B$14,Paramètres!$A$1:$I$89,5,0)</f>
        <v>-6.3550942286383367E-14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349.00268383833668</v>
      </c>
      <c r="DU161" s="59">
        <f t="shared" si="152"/>
        <v>459.94854391583749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29.476846529916635</v>
      </c>
      <c r="EB161" s="21">
        <f>EXP(-LN(2)/25)*EB160+(1-EXP(-LN(2)/25))/(LN(2)/25)*Calculateur!DW161*Calculateur!DY161*VLOOKUP('Données projet'!$B$14,Paramètres!$A$1:$I$89,3,0)*0.475*44/12</f>
        <v>3.3131172546502023</v>
      </c>
      <c r="EC161" s="21">
        <f>EXP(-LN(2)/2)*EC160+(1-EXP(-LN(2)/2))/(LN(2)/2)*DW161*DZ161*VLOOKUP('Données projet'!$B$14,Paramètres!$A$1:$I$89,3,0)*0.475*44/12</f>
        <v>1.0727281159132169E-14</v>
      </c>
      <c r="ED161" s="22">
        <f t="shared" si="178"/>
        <v>32.789963784566851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1.7053025658242404E-13</v>
      </c>
      <c r="EK161" s="17">
        <f>EJ161*VLOOKUP('Données projet'!$B$15,Paramètres!$A$1:$I$89,3,0)*VLOOKUP('Données projet'!$B$15,Paramètres!$A$1:$I$89,5,0)</f>
        <v>1.3301360013429075E-13</v>
      </c>
      <c r="EL161" s="13">
        <f t="shared" si="179"/>
        <v>1.9329766731057041E-12</v>
      </c>
      <c r="EM161" s="20">
        <f t="shared" si="180"/>
        <v>3.5982663925596575E-12</v>
      </c>
      <c r="EN161" s="59">
        <f t="shared" si="128"/>
        <v>287.56052422643558</v>
      </c>
      <c r="EO161" s="59">
        <f ca="1">AVERAGE(OFFSET($EN$3,0,0,'Données projet'!$E$15+1,1))-AVERAGE(OFFSET($H$3,0,0,'Données projet'!$E$15+1,1))</f>
        <v>308.82719216177946</v>
      </c>
      <c r="EP161" s="59">
        <f t="shared" si="154"/>
        <v>302.59481222418219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13.922739970623454</v>
      </c>
      <c r="EW161" s="21">
        <f>EXP(-LN(2)/25)*EW160+(1-EXP(-LN(2)/25))/(LN(2)/25)*Calculateur!ER161*Calculateur!ET161*VLOOKUP('Données projet'!$B$15,Paramètres!$A$1:$I$89,3,0)*0.475*44/12</f>
        <v>5.7833348675772838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19.706074838200738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287.66066955838096</v>
      </c>
      <c r="S162" s="59">
        <f ca="1">AVERAGE(OFFSET($R$3,0,0,'Données projet'!$E$9+1,1))-AVERAGE(OFFSET($H$3,0,0,'Données projet'!$E$9+1,1))</f>
        <v>421.33534980160005</v>
      </c>
      <c r="T162" s="59">
        <f t="shared" si="142"/>
        <v>299.0473530693472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5.763922672485933E-13</v>
      </c>
      <c r="AK162" s="13">
        <f t="shared" si="164"/>
        <v>7.0619171555808457E-12</v>
      </c>
      <c r="AL162" s="20">
        <f t="shared" si="165"/>
        <v>1.3303388911427938E-11</v>
      </c>
      <c r="AM162" s="59">
        <f t="shared" si="113"/>
        <v>287.66066955838227</v>
      </c>
      <c r="AN162" s="59">
        <f ca="1">AVERAGE(OFFSET($AM$3,0,0,'Données projet'!$E$10+1,1))-AVERAGE(OFFSET($H$3,0,0,'Données projet'!$E$10+1,1))</f>
        <v>462.74754756814662</v>
      </c>
      <c r="AO162" s="59">
        <f t="shared" si="144"/>
        <v>327.65191293226667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110.0579609743004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110.0579609743004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5.6843418860808015E-13</v>
      </c>
      <c r="BE162" s="13">
        <f>BD162*VLOOKUP('Données projet'!$B$11,Paramètres!$A$1:$I$89,3,0)*VLOOKUP('Données projet'!$B$11,Paramètres!$A$1:$I$89,5,0)</f>
        <v>3.8130565371830017E-13</v>
      </c>
      <c r="BF162" s="13">
        <f t="shared" si="167"/>
        <v>4.9019074112354236E-12</v>
      </c>
      <c r="BG162" s="20">
        <f t="shared" si="168"/>
        <v>9.2015960881277352E-12</v>
      </c>
      <c r="BH162" s="59">
        <f t="shared" si="116"/>
        <v>287.66066955837817</v>
      </c>
      <c r="BI162" s="59">
        <f ca="1">AVERAGE(OFFSET($BH$3,0,0,'Données projet'!$E$11+1,1))-AVERAGE(OFFSET($H$3,0,0,'Données projet'!$E$11+1,1))</f>
        <v>332.21938212432008</v>
      </c>
      <c r="BJ162" s="59">
        <f t="shared" si="146"/>
        <v>237.47732529948181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89.739568179044923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89.739568179044923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5.4092197387944907E-13</v>
      </c>
      <c r="CA162" s="13">
        <f t="shared" si="170"/>
        <v>6.6765148417791561E-12</v>
      </c>
      <c r="CB162" s="20">
        <f t="shared" si="171"/>
        <v>1.2570369120605403E-11</v>
      </c>
      <c r="CC162" s="59">
        <f t="shared" si="119"/>
        <v>287.66066955838153</v>
      </c>
      <c r="CD162" s="59">
        <f ca="1">AVERAGE(OFFSET($CC$3,0,0,'Données projet'!$E$12+1,1))-AVERAGE(OFFSET($H$3,0,0,'Données projet'!$E$12+1,1))</f>
        <v>439.09551305860475</v>
      </c>
      <c r="CE162" s="59">
        <f t="shared" si="148"/>
        <v>311.31528017256846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103.28516337588198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103.28516337588198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5.6843418860808015E-13</v>
      </c>
      <c r="CU162" s="17">
        <f>CT162*VLOOKUP('Données projet'!$B$13,Paramètres!$A$1:$I$89,3,0)*VLOOKUP('Données projet'!$B$13,Paramètres!$A$1:$I$89,5,0)</f>
        <v>5.4978954722173515E-13</v>
      </c>
      <c r="CV162" s="13">
        <f t="shared" si="173"/>
        <v>6.7731340873355904E-12</v>
      </c>
      <c r="CW162" s="20">
        <f t="shared" si="174"/>
        <v>1.2754091996854009E-11</v>
      </c>
      <c r="CX162" s="59">
        <f t="shared" si="122"/>
        <v>287.6606695583817</v>
      </c>
      <c r="CY162" s="59">
        <f ca="1">AVERAGE(OFFSET($CX$3,0,0,'Données projet'!$E$13+1,1))-AVERAGE(OFFSET($H$3,0,0,'Données projet'!$E$13+1,1))</f>
        <v>445.01146841309549</v>
      </c>
      <c r="CZ162" s="59">
        <f t="shared" si="150"/>
        <v>315.40159257508969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104.97836277548659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104.97836277548659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-1.1368683772161603E-13</v>
      </c>
      <c r="DP162" s="17">
        <f>DO162*VLOOKUP('Données projet'!$B$14,Paramètres!$A$1:$I$89,3,0)*VLOOKUP('Données projet'!$B$14,Paramètres!$A$1:$I$89,5,0)</f>
        <v>-6.3550942286383367E-14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349.00268383833668</v>
      </c>
      <c r="DU162" s="59">
        <f t="shared" si="152"/>
        <v>459.94854391583749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28.898823548566064</v>
      </c>
      <c r="EB162" s="21">
        <f>EXP(-LN(2)/25)*EB161+(1-EXP(-LN(2)/25))/(LN(2)/25)*Calculateur!DW162*Calculateur!DY162*VLOOKUP('Données projet'!$B$14,Paramètres!$A$1:$I$89,3,0)*0.475*44/12</f>
        <v>3.2225198890925282</v>
      </c>
      <c r="EC162" s="21">
        <f>EXP(-LN(2)/2)*EC161+(1-EXP(-LN(2)/2))/(LN(2)/2)*DW162*DZ162*VLOOKUP('Données projet'!$B$14,Paramètres!$A$1:$I$89,3,0)*0.475*44/12</f>
        <v>7.5853332513170442E-15</v>
      </c>
      <c r="ED162" s="22">
        <f t="shared" si="178"/>
        <v>32.121343437658602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1.7053025658242404E-13</v>
      </c>
      <c r="EK162" s="17">
        <f>EJ162*VLOOKUP('Données projet'!$B$15,Paramètres!$A$1:$I$89,3,0)*VLOOKUP('Données projet'!$B$15,Paramètres!$A$1:$I$89,5,0)</f>
        <v>1.3301360013429075E-13</v>
      </c>
      <c r="EL162" s="13">
        <f t="shared" si="179"/>
        <v>1.9329766731057041E-12</v>
      </c>
      <c r="EM162" s="20">
        <f t="shared" si="180"/>
        <v>3.5982663925596575E-12</v>
      </c>
      <c r="EN162" s="59">
        <f t="shared" si="128"/>
        <v>287.66066955837255</v>
      </c>
      <c r="EO162" s="59">
        <f ca="1">AVERAGE(OFFSET($EN$3,0,0,'Données projet'!$E$15+1,1))-AVERAGE(OFFSET($H$3,0,0,'Données projet'!$E$15+1,1))</f>
        <v>308.82719216177946</v>
      </c>
      <c r="EP162" s="59">
        <f t="shared" si="154"/>
        <v>302.59481222418219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13.649723531832391</v>
      </c>
      <c r="EW162" s="21">
        <f>EXP(-LN(2)/25)*EW161+(1-EXP(-LN(2)/25))/(LN(2)/25)*Calculateur!ER162*Calculateur!ET162*VLOOKUP('Données projet'!$B$15,Paramètres!$A$1:$I$89,3,0)*0.475*44/12</f>
        <v>5.6251892714910205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19.27491280332341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287.75907759270035</v>
      </c>
      <c r="S163" s="59">
        <f ca="1">AVERAGE(OFFSET($R$3,0,0,'Données projet'!$E$9+1,1))-AVERAGE(OFFSET($H$3,0,0,'Données projet'!$E$9+1,1))</f>
        <v>421.33534980160005</v>
      </c>
      <c r="T163" s="59">
        <f t="shared" si="142"/>
        <v>299.0473530693472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5.763922672485933E-13</v>
      </c>
      <c r="AK163" s="13">
        <f t="shared" si="164"/>
        <v>7.0619171555808457E-12</v>
      </c>
      <c r="AL163" s="20">
        <f t="shared" si="165"/>
        <v>1.3303388911427938E-11</v>
      </c>
      <c r="AM163" s="59">
        <f t="shared" si="113"/>
        <v>287.75907759270166</v>
      </c>
      <c r="AN163" s="59">
        <f ca="1">AVERAGE(OFFSET($AM$3,0,0,'Données projet'!$E$10+1,1))-AVERAGE(OFFSET($H$3,0,0,'Données projet'!$E$10+1,1))</f>
        <v>462.74754756814662</v>
      </c>
      <c r="AO163" s="59">
        <f t="shared" si="144"/>
        <v>327.65191293226667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107.89979148832215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107.89979148832215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5.6843418860808015E-13</v>
      </c>
      <c r="BE163" s="13">
        <f>BD163*VLOOKUP('Données projet'!$B$11,Paramètres!$A$1:$I$89,3,0)*VLOOKUP('Données projet'!$B$11,Paramètres!$A$1:$I$89,5,0)</f>
        <v>3.8130565371830017E-13</v>
      </c>
      <c r="BF163" s="13">
        <f t="shared" si="167"/>
        <v>4.9019074112354236E-12</v>
      </c>
      <c r="BG163" s="20">
        <f t="shared" si="168"/>
        <v>9.2015960881277352E-12</v>
      </c>
      <c r="BH163" s="59">
        <f t="shared" si="116"/>
        <v>287.75907759269757</v>
      </c>
      <c r="BI163" s="59">
        <f ca="1">AVERAGE(OFFSET($BH$3,0,0,'Données projet'!$E$11+1,1))-AVERAGE(OFFSET($H$3,0,0,'Données projet'!$E$11+1,1))</f>
        <v>332.21938212432008</v>
      </c>
      <c r="BJ163" s="59">
        <f t="shared" si="146"/>
        <v>237.47732529948181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87.979829982785731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87.979829982785731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5.4092197387944907E-13</v>
      </c>
      <c r="CA163" s="13">
        <f t="shared" si="170"/>
        <v>6.6765148417791561E-12</v>
      </c>
      <c r="CB163" s="20">
        <f t="shared" si="171"/>
        <v>1.2570369120605403E-11</v>
      </c>
      <c r="CC163" s="59">
        <f t="shared" si="119"/>
        <v>287.75907759270092</v>
      </c>
      <c r="CD163" s="59">
        <f ca="1">AVERAGE(OFFSET($CC$3,0,0,'Données projet'!$E$12+1,1))-AVERAGE(OFFSET($H$3,0,0,'Données projet'!$E$12+1,1))</f>
        <v>439.09551305860475</v>
      </c>
      <c r="CE163" s="59">
        <f t="shared" si="148"/>
        <v>311.31528017256846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101.25980431981009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101.25980431981009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5.6843418860808015E-13</v>
      </c>
      <c r="CU163" s="17">
        <f>CT163*VLOOKUP('Données projet'!$B$13,Paramètres!$A$1:$I$89,3,0)*VLOOKUP('Données projet'!$B$13,Paramètres!$A$1:$I$89,5,0)</f>
        <v>5.4978954722173515E-13</v>
      </c>
      <c r="CV163" s="13">
        <f t="shared" si="173"/>
        <v>6.7731340873355904E-12</v>
      </c>
      <c r="CW163" s="20">
        <f t="shared" si="174"/>
        <v>1.2754091996854009E-11</v>
      </c>
      <c r="CX163" s="59">
        <f t="shared" si="122"/>
        <v>287.75907759270109</v>
      </c>
      <c r="CY163" s="59">
        <f ca="1">AVERAGE(OFFSET($CX$3,0,0,'Données projet'!$E$13+1,1))-AVERAGE(OFFSET($H$3,0,0,'Données projet'!$E$13+1,1))</f>
        <v>445.01146841309549</v>
      </c>
      <c r="CZ163" s="59">
        <f t="shared" si="150"/>
        <v>315.40159257508969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102.9198011119381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102.9198011119381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-1.1368683772161603E-13</v>
      </c>
      <c r="DP163" s="17">
        <f>DO163*VLOOKUP('Données projet'!$B$14,Paramètres!$A$1:$I$89,3,0)*VLOOKUP('Données projet'!$B$14,Paramètres!$A$1:$I$89,5,0)</f>
        <v>-6.3550942286383367E-14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349.00268383833668</v>
      </c>
      <c r="DU163" s="59">
        <f t="shared" si="152"/>
        <v>459.94854391583749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28.332135245320572</v>
      </c>
      <c r="EB163" s="21">
        <f>EXP(-LN(2)/25)*EB162+(1-EXP(-LN(2)/25))/(LN(2)/25)*Calculateur!DW163*Calculateur!DY163*VLOOKUP('Données projet'!$B$14,Paramètres!$A$1:$I$89,3,0)*0.475*44/12</f>
        <v>3.1343999132603373</v>
      </c>
      <c r="EC163" s="21">
        <f>EXP(-LN(2)/2)*EC162+(1-EXP(-LN(2)/2))/(LN(2)/2)*DW163*DZ163*VLOOKUP('Données projet'!$B$14,Paramètres!$A$1:$I$89,3,0)*0.475*44/12</f>
        <v>5.3636405795660843E-15</v>
      </c>
      <c r="ED163" s="22">
        <f t="shared" si="178"/>
        <v>31.466535158580918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1.7053025658242404E-13</v>
      </c>
      <c r="EK163" s="17">
        <f>EJ163*VLOOKUP('Données projet'!$B$15,Paramètres!$A$1:$I$89,3,0)*VLOOKUP('Données projet'!$B$15,Paramètres!$A$1:$I$89,5,0)</f>
        <v>1.3301360013429075E-13</v>
      </c>
      <c r="EL163" s="13">
        <f t="shared" si="179"/>
        <v>1.9329766731057041E-12</v>
      </c>
      <c r="EM163" s="20">
        <f t="shared" si="180"/>
        <v>3.5982663925596575E-12</v>
      </c>
      <c r="EN163" s="59">
        <f t="shared" si="128"/>
        <v>287.75907759269194</v>
      </c>
      <c r="EO163" s="59">
        <f ca="1">AVERAGE(OFFSET($EN$3,0,0,'Données projet'!$E$15+1,1))-AVERAGE(OFFSET($H$3,0,0,'Données projet'!$E$15+1,1))</f>
        <v>308.82719216177946</v>
      </c>
      <c r="EP163" s="59">
        <f t="shared" si="154"/>
        <v>302.59481222418219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13.382060778882437</v>
      </c>
      <c r="EW163" s="21">
        <f>EXP(-LN(2)/25)*EW162+(1-EXP(-LN(2)/25))/(LN(2)/25)*Calculateur!ER163*Calculateur!ET163*VLOOKUP('Données projet'!$B$15,Paramètres!$A$1:$I$89,3,0)*0.475*44/12</f>
        <v>5.4713681750462513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18.853428953928688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287.85577846763169</v>
      </c>
      <c r="S164" s="59">
        <f ca="1">AVERAGE(OFFSET($R$3,0,0,'Données projet'!$E$9+1,1))-AVERAGE(OFFSET($H$3,0,0,'Données projet'!$E$9+1,1))</f>
        <v>421.33534980160005</v>
      </c>
      <c r="T164" s="59">
        <f t="shared" si="142"/>
        <v>299.0473530693472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5.763922672485933E-13</v>
      </c>
      <c r="AK164" s="13">
        <f t="shared" si="164"/>
        <v>7.0619171555808457E-12</v>
      </c>
      <c r="AL164" s="20">
        <f t="shared" si="165"/>
        <v>1.3303388911427938E-11</v>
      </c>
      <c r="AM164" s="59">
        <f t="shared" si="113"/>
        <v>287.855778467633</v>
      </c>
      <c r="AN164" s="59">
        <f ca="1">AVERAGE(OFFSET($AM$3,0,0,'Données projet'!$E$10+1,1))-AVERAGE(OFFSET($H$3,0,0,'Données projet'!$E$10+1,1))</f>
        <v>462.74754756814662</v>
      </c>
      <c r="AO164" s="59">
        <f t="shared" si="144"/>
        <v>327.65191293226667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105.78394238961053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105.78394238961053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5.6843418860808015E-13</v>
      </c>
      <c r="BE164" s="13">
        <f>BD164*VLOOKUP('Données projet'!$B$11,Paramètres!$A$1:$I$89,3,0)*VLOOKUP('Données projet'!$B$11,Paramètres!$A$1:$I$89,5,0)</f>
        <v>3.8130565371830017E-13</v>
      </c>
      <c r="BF164" s="13">
        <f t="shared" si="167"/>
        <v>4.9019074112354236E-12</v>
      </c>
      <c r="BG164" s="20">
        <f t="shared" si="168"/>
        <v>9.2015960881277352E-12</v>
      </c>
      <c r="BH164" s="59">
        <f t="shared" si="116"/>
        <v>287.85577846762891</v>
      </c>
      <c r="BI164" s="59">
        <f ca="1">AVERAGE(OFFSET($BH$3,0,0,'Données projet'!$E$11+1,1))-AVERAGE(OFFSET($H$3,0,0,'Données projet'!$E$11+1,1))</f>
        <v>332.21938212432008</v>
      </c>
      <c r="BJ164" s="59">
        <f t="shared" si="146"/>
        <v>237.47732529948181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86.254599179220875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86.254599179220875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5.4092197387944907E-13</v>
      </c>
      <c r="CA164" s="13">
        <f t="shared" si="170"/>
        <v>6.6765148417791561E-12</v>
      </c>
      <c r="CB164" s="20">
        <f t="shared" si="171"/>
        <v>1.2570369120605403E-11</v>
      </c>
      <c r="CC164" s="59">
        <f t="shared" si="119"/>
        <v>287.85577846763226</v>
      </c>
      <c r="CD164" s="59">
        <f ca="1">AVERAGE(OFFSET($CC$3,0,0,'Données projet'!$E$12+1,1))-AVERAGE(OFFSET($H$3,0,0,'Données projet'!$E$12+1,1))</f>
        <v>439.09551305860475</v>
      </c>
      <c r="CE164" s="59">
        <f t="shared" si="148"/>
        <v>311.31528017256846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99.274161319480712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99.274161319480712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5.6843418860808015E-13</v>
      </c>
      <c r="CU164" s="17">
        <f>CT164*VLOOKUP('Données projet'!$B$13,Paramètres!$A$1:$I$89,3,0)*VLOOKUP('Données projet'!$B$13,Paramètres!$A$1:$I$89,5,0)</f>
        <v>5.4978954722173515E-13</v>
      </c>
      <c r="CV164" s="13">
        <f t="shared" si="173"/>
        <v>6.7731340873355904E-12</v>
      </c>
      <c r="CW164" s="20">
        <f t="shared" si="174"/>
        <v>1.2754091996854009E-11</v>
      </c>
      <c r="CX164" s="59">
        <f t="shared" si="122"/>
        <v>287.85577846763243</v>
      </c>
      <c r="CY164" s="59">
        <f ca="1">AVERAGE(OFFSET($CX$3,0,0,'Données projet'!$E$13+1,1))-AVERAGE(OFFSET($H$3,0,0,'Données projet'!$E$13+1,1))</f>
        <v>445.01146841309549</v>
      </c>
      <c r="CZ164" s="59">
        <f t="shared" si="150"/>
        <v>315.40159257508969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100.90160658701316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100.90160658701316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-1.1368683772161603E-13</v>
      </c>
      <c r="DP164" s="17">
        <f>DO164*VLOOKUP('Données projet'!$B$14,Paramètres!$A$1:$I$89,3,0)*VLOOKUP('Données projet'!$B$14,Paramètres!$A$1:$I$89,5,0)</f>
        <v>-6.3550942286383367E-14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349.00268383833668</v>
      </c>
      <c r="DU164" s="59">
        <f t="shared" si="152"/>
        <v>459.94854391583749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27.776559354055987</v>
      </c>
      <c r="EB164" s="21">
        <f>EXP(-LN(2)/25)*EB163+(1-EXP(-LN(2)/25))/(LN(2)/25)*Calculateur!DW164*Calculateur!DY164*VLOOKUP('Données projet'!$B$14,Paramètres!$A$1:$I$89,3,0)*0.475*44/12</f>
        <v>3.0486895828013059</v>
      </c>
      <c r="EC164" s="21">
        <f>EXP(-LN(2)/2)*EC163+(1-EXP(-LN(2)/2))/(LN(2)/2)*DW164*DZ164*VLOOKUP('Données projet'!$B$14,Paramètres!$A$1:$I$89,3,0)*0.475*44/12</f>
        <v>3.7926666256585221E-15</v>
      </c>
      <c r="ED164" s="22">
        <f t="shared" si="178"/>
        <v>30.825248936857296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1.7053025658242404E-13</v>
      </c>
      <c r="EK164" s="17">
        <f>EJ164*VLOOKUP('Données projet'!$B$15,Paramètres!$A$1:$I$89,3,0)*VLOOKUP('Données projet'!$B$15,Paramètres!$A$1:$I$89,5,0)</f>
        <v>1.3301360013429075E-13</v>
      </c>
      <c r="EL164" s="13">
        <f t="shared" si="179"/>
        <v>1.9329766731057041E-12</v>
      </c>
      <c r="EM164" s="20">
        <f t="shared" si="180"/>
        <v>3.5982663925596575E-12</v>
      </c>
      <c r="EN164" s="59">
        <f t="shared" si="128"/>
        <v>287.85577846762328</v>
      </c>
      <c r="EO164" s="59">
        <f ca="1">AVERAGE(OFFSET($EN$3,0,0,'Données projet'!$E$15+1,1))-AVERAGE(OFFSET($H$3,0,0,'Données projet'!$E$15+1,1))</f>
        <v>308.82719216177946</v>
      </c>
      <c r="EP164" s="59">
        <f t="shared" si="154"/>
        <v>302.59481222418219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13.119646729259673</v>
      </c>
      <c r="EW164" s="21">
        <f>EXP(-LN(2)/25)*EW163+(1-EXP(-LN(2)/25))/(LN(2)/25)*Calculateur!ER164*Calculateur!ET164*VLOOKUP('Données projet'!$B$15,Paramètres!$A$1:$I$89,3,0)*0.475*44/12</f>
        <v>5.3217533245728639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18.441400053832538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287.95080179857371</v>
      </c>
      <c r="S165" s="59">
        <f ca="1">AVERAGE(OFFSET($R$3,0,0,'Données projet'!$E$9+1,1))-AVERAGE(OFFSET($H$3,0,0,'Données projet'!$E$9+1,1))</f>
        <v>421.33534980160005</v>
      </c>
      <c r="T165" s="59">
        <f t="shared" si="142"/>
        <v>299.0473530693472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5.763922672485933E-13</v>
      </c>
      <c r="AK165" s="13">
        <f t="shared" si="164"/>
        <v>7.0619171555808457E-12</v>
      </c>
      <c r="AL165" s="20">
        <f t="shared" si="165"/>
        <v>1.3303388911427938E-11</v>
      </c>
      <c r="AM165" s="59">
        <f t="shared" si="113"/>
        <v>287.95080179857501</v>
      </c>
      <c r="AN165" s="59">
        <f ca="1">AVERAGE(OFFSET($AM$3,0,0,'Données projet'!$E$10+1,1))-AVERAGE(OFFSET($H$3,0,0,'Données projet'!$E$10+1,1))</f>
        <v>462.74754756814662</v>
      </c>
      <c r="AO165" s="59">
        <f t="shared" si="144"/>
        <v>327.65191293226667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103.70958380118412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103.70958380118412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5.6843418860808015E-13</v>
      </c>
      <c r="BE165" s="13">
        <f>BD165*VLOOKUP('Données projet'!$B$11,Paramètres!$A$1:$I$89,3,0)*VLOOKUP('Données projet'!$B$11,Paramètres!$A$1:$I$89,5,0)</f>
        <v>3.8130565371830017E-13</v>
      </c>
      <c r="BF165" s="13">
        <f t="shared" si="167"/>
        <v>4.9019074112354236E-12</v>
      </c>
      <c r="BG165" s="20">
        <f t="shared" si="168"/>
        <v>9.2015960881277352E-12</v>
      </c>
      <c r="BH165" s="59">
        <f t="shared" si="116"/>
        <v>287.95080179857092</v>
      </c>
      <c r="BI165" s="59">
        <f ca="1">AVERAGE(OFFSET($BH$3,0,0,'Données projet'!$E$11+1,1))-AVERAGE(OFFSET($H$3,0,0,'Données projet'!$E$11+1,1))</f>
        <v>332.21938212432008</v>
      </c>
      <c r="BJ165" s="59">
        <f t="shared" si="146"/>
        <v>237.47732529948181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84.563199099427038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84.563199099427038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5.4092197387944907E-13</v>
      </c>
      <c r="CA165" s="13">
        <f t="shared" si="170"/>
        <v>6.6765148417791561E-12</v>
      </c>
      <c r="CB165" s="20">
        <f t="shared" si="171"/>
        <v>1.2570369120605403E-11</v>
      </c>
      <c r="CC165" s="59">
        <f t="shared" si="119"/>
        <v>287.95080179857428</v>
      </c>
      <c r="CD165" s="59">
        <f ca="1">AVERAGE(OFFSET($CC$3,0,0,'Données projet'!$E$12+1,1))-AVERAGE(OFFSET($H$3,0,0,'Données projet'!$E$12+1,1))</f>
        <v>439.09551305860475</v>
      </c>
      <c r="CE165" s="59">
        <f t="shared" si="148"/>
        <v>311.31528017256846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97.327455567265162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97.327455567265162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5.6843418860808015E-13</v>
      </c>
      <c r="CU165" s="17">
        <f>CT165*VLOOKUP('Données projet'!$B$13,Paramètres!$A$1:$I$89,3,0)*VLOOKUP('Données projet'!$B$13,Paramètres!$A$1:$I$89,5,0)</f>
        <v>5.4978954722173515E-13</v>
      </c>
      <c r="CV165" s="13">
        <f t="shared" si="173"/>
        <v>6.7731340873355904E-12</v>
      </c>
      <c r="CW165" s="20">
        <f t="shared" si="174"/>
        <v>1.2754091996854009E-11</v>
      </c>
      <c r="CX165" s="59">
        <f t="shared" si="122"/>
        <v>287.95080179857445</v>
      </c>
      <c r="CY165" s="59">
        <f ca="1">AVERAGE(OFFSET($CX$3,0,0,'Données projet'!$E$13+1,1))-AVERAGE(OFFSET($H$3,0,0,'Données projet'!$E$13+1,1))</f>
        <v>445.01146841309549</v>
      </c>
      <c r="CZ165" s="59">
        <f t="shared" si="150"/>
        <v>315.40159257508969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98.922987625744895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98.922987625744895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-1.1368683772161603E-13</v>
      </c>
      <c r="DP165" s="17">
        <f>DO165*VLOOKUP('Données projet'!$B$14,Paramètres!$A$1:$I$89,3,0)*VLOOKUP('Données projet'!$B$14,Paramètres!$A$1:$I$89,5,0)</f>
        <v>-6.3550942286383367E-14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349.00268383833668</v>
      </c>
      <c r="DU165" s="59">
        <f t="shared" si="152"/>
        <v>459.94854391583749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27.23187796715127</v>
      </c>
      <c r="EB165" s="21">
        <f>EXP(-LN(2)/25)*EB164+(1-EXP(-LN(2)/25))/(LN(2)/25)*Calculateur!DW165*Calculateur!DY165*VLOOKUP('Données projet'!$B$14,Paramètres!$A$1:$I$89,3,0)*0.475*44/12</f>
        <v>2.965323005835987</v>
      </c>
      <c r="EC165" s="21">
        <f>EXP(-LN(2)/2)*EC164+(1-EXP(-LN(2)/2))/(LN(2)/2)*DW165*DZ165*VLOOKUP('Données projet'!$B$14,Paramètres!$A$1:$I$89,3,0)*0.475*44/12</f>
        <v>2.6818202897830422E-15</v>
      </c>
      <c r="ED165" s="22">
        <f t="shared" si="178"/>
        <v>30.197200972987261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1.7053025658242404E-13</v>
      </c>
      <c r="EK165" s="17">
        <f>EJ165*VLOOKUP('Données projet'!$B$15,Paramètres!$A$1:$I$89,3,0)*VLOOKUP('Données projet'!$B$15,Paramètres!$A$1:$I$89,5,0)</f>
        <v>1.3301360013429075E-13</v>
      </c>
      <c r="EL165" s="13">
        <f t="shared" si="179"/>
        <v>1.9329766731057041E-12</v>
      </c>
      <c r="EM165" s="20">
        <f t="shared" si="180"/>
        <v>3.5982663925596575E-12</v>
      </c>
      <c r="EN165" s="59">
        <f t="shared" si="128"/>
        <v>287.95080179856529</v>
      </c>
      <c r="EO165" s="59">
        <f ca="1">AVERAGE(OFFSET($EN$3,0,0,'Données projet'!$E$15+1,1))-AVERAGE(OFFSET($H$3,0,0,'Données projet'!$E$15+1,1))</f>
        <v>308.82719216177946</v>
      </c>
      <c r="EP165" s="59">
        <f t="shared" si="154"/>
        <v>302.59481222418219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12.862378459093245</v>
      </c>
      <c r="EW165" s="21">
        <f>EXP(-LN(2)/25)*EW164+(1-EXP(-LN(2)/25))/(LN(2)/25)*Calculateur!ER165*Calculateur!ET165*VLOOKUP('Données projet'!$B$15,Paramètres!$A$1:$I$89,3,0)*0.475*44/12</f>
        <v>5.1762297000535744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18.038608159146818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288.04417668716422</v>
      </c>
      <c r="S166" s="59">
        <f ca="1">AVERAGE(OFFSET($R$3,0,0,'Données projet'!$E$9+1,1))-AVERAGE(OFFSET($H$3,0,0,'Données projet'!$E$9+1,1))</f>
        <v>421.33534980160005</v>
      </c>
      <c r="T166" s="59">
        <f t="shared" si="142"/>
        <v>299.0473530693472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5.763922672485933E-13</v>
      </c>
      <c r="AK166" s="13">
        <f t="shared" si="164"/>
        <v>7.0619171555808457E-12</v>
      </c>
      <c r="AL166" s="20">
        <f t="shared" si="165"/>
        <v>1.3303388911427938E-11</v>
      </c>
      <c r="AM166" s="59">
        <f t="shared" si="113"/>
        <v>288.04417668716553</v>
      </c>
      <c r="AN166" s="59">
        <f ca="1">AVERAGE(OFFSET($AM$3,0,0,'Données projet'!$E$10+1,1))-AVERAGE(OFFSET($H$3,0,0,'Données projet'!$E$10+1,1))</f>
        <v>462.74754756814662</v>
      </c>
      <c r="AO166" s="59">
        <f t="shared" si="144"/>
        <v>327.65191293226667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101.67590211944295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101.67590211944295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5.6843418860808015E-13</v>
      </c>
      <c r="BE166" s="13">
        <f>BD166*VLOOKUP('Données projet'!$B$11,Paramètres!$A$1:$I$89,3,0)*VLOOKUP('Données projet'!$B$11,Paramètres!$A$1:$I$89,5,0)</f>
        <v>3.8130565371830017E-13</v>
      </c>
      <c r="BF166" s="13">
        <f t="shared" si="167"/>
        <v>4.9019074112354236E-12</v>
      </c>
      <c r="BG166" s="20">
        <f t="shared" si="168"/>
        <v>9.2015960881277352E-12</v>
      </c>
      <c r="BH166" s="59">
        <f t="shared" si="116"/>
        <v>288.04417668716144</v>
      </c>
      <c r="BI166" s="59">
        <f ca="1">AVERAGE(OFFSET($BH$3,0,0,'Données projet'!$E$11+1,1))-AVERAGE(OFFSET($H$3,0,0,'Données projet'!$E$11+1,1))</f>
        <v>332.21938212432008</v>
      </c>
      <c r="BJ166" s="59">
        <f t="shared" si="146"/>
        <v>237.47732529948181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82.90496634354578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82.90496634354578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5.4092197387944907E-13</v>
      </c>
      <c r="CA166" s="13">
        <f t="shared" si="170"/>
        <v>6.6765148417791561E-12</v>
      </c>
      <c r="CB166" s="20">
        <f t="shared" si="171"/>
        <v>1.2570369120605403E-11</v>
      </c>
      <c r="CC166" s="59">
        <f t="shared" si="119"/>
        <v>288.04417668716479</v>
      </c>
      <c r="CD166" s="59">
        <f ca="1">AVERAGE(OFFSET($CC$3,0,0,'Données projet'!$E$12+1,1))-AVERAGE(OFFSET($H$3,0,0,'Données projet'!$E$12+1,1))</f>
        <v>439.09551305860475</v>
      </c>
      <c r="CE166" s="59">
        <f t="shared" si="148"/>
        <v>311.31528017256846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95.41892352747729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95.41892352747729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5.6843418860808015E-13</v>
      </c>
      <c r="CU166" s="17">
        <f>CT166*VLOOKUP('Données projet'!$B$13,Paramètres!$A$1:$I$89,3,0)*VLOOKUP('Données projet'!$B$13,Paramètres!$A$1:$I$89,5,0)</f>
        <v>5.4978954722173515E-13</v>
      </c>
      <c r="CV166" s="13">
        <f t="shared" si="173"/>
        <v>6.7731340873355904E-12</v>
      </c>
      <c r="CW166" s="20">
        <f t="shared" si="174"/>
        <v>1.2754091996854009E-11</v>
      </c>
      <c r="CX166" s="59">
        <f t="shared" si="122"/>
        <v>288.04417668716496</v>
      </c>
      <c r="CY166" s="59">
        <f ca="1">AVERAGE(OFFSET($CX$3,0,0,'Données projet'!$E$13+1,1))-AVERAGE(OFFSET($H$3,0,0,'Données projet'!$E$13+1,1))</f>
        <v>445.01146841309549</v>
      </c>
      <c r="CZ166" s="59">
        <f t="shared" si="150"/>
        <v>315.40159257508969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96.983168175468705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96.983168175468705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-1.1368683772161603E-13</v>
      </c>
      <c r="DP166" s="17">
        <f>DO166*VLOOKUP('Données projet'!$B$14,Paramètres!$A$1:$I$89,3,0)*VLOOKUP('Données projet'!$B$14,Paramètres!$A$1:$I$89,5,0)</f>
        <v>-6.3550942286383367E-14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349.00268383833668</v>
      </c>
      <c r="DU166" s="59">
        <f t="shared" si="152"/>
        <v>459.94854391583749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26.697877450020911</v>
      </c>
      <c r="EB166" s="21">
        <f>EXP(-LN(2)/25)*EB165+(1-EXP(-LN(2)/25))/(LN(2)/25)*Calculateur!DW166*Calculateur!DY166*VLOOKUP('Données projet'!$B$14,Paramètres!$A$1:$I$89,3,0)*0.475*44/12</f>
        <v>2.8842360923018422</v>
      </c>
      <c r="EC166" s="21">
        <f>EXP(-LN(2)/2)*EC165+(1-EXP(-LN(2)/2))/(LN(2)/2)*DW166*DZ166*VLOOKUP('Données projet'!$B$14,Paramètres!$A$1:$I$89,3,0)*0.475*44/12</f>
        <v>1.8963333128292611E-15</v>
      </c>
      <c r="ED166" s="22">
        <f t="shared" si="178"/>
        <v>29.582113542322755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1.7053025658242404E-13</v>
      </c>
      <c r="EK166" s="17">
        <f>EJ166*VLOOKUP('Données projet'!$B$15,Paramètres!$A$1:$I$89,3,0)*VLOOKUP('Données projet'!$B$15,Paramètres!$A$1:$I$89,5,0)</f>
        <v>1.3301360013429075E-13</v>
      </c>
      <c r="EL166" s="13">
        <f t="shared" si="179"/>
        <v>1.9329766731057041E-12</v>
      </c>
      <c r="EM166" s="20">
        <f t="shared" si="180"/>
        <v>3.5982663925596575E-12</v>
      </c>
      <c r="EN166" s="59">
        <f t="shared" si="128"/>
        <v>288.04417668715581</v>
      </c>
      <c r="EO166" s="59">
        <f ca="1">AVERAGE(OFFSET($EN$3,0,0,'Données projet'!$E$15+1,1))-AVERAGE(OFFSET($H$3,0,0,'Données projet'!$E$15+1,1))</f>
        <v>308.82719216177946</v>
      </c>
      <c r="EP166" s="59">
        <f t="shared" si="154"/>
        <v>302.59481222418219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12.61015506278663</v>
      </c>
      <c r="EW166" s="21">
        <f>EXP(-LN(2)/25)*EW165+(1-EXP(-LN(2)/25))/(LN(2)/25)*Calculateur!ER166*Calculateur!ET166*VLOOKUP('Données projet'!$B$15,Paramètres!$A$1:$I$89,3,0)*0.475*44/12</f>
        <v>5.0346854266995198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17.64484048948615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288.13593173019268</v>
      </c>
      <c r="S167" s="59">
        <f ca="1">AVERAGE(OFFSET($R$3,0,0,'Données projet'!$E$9+1,1))-AVERAGE(OFFSET($H$3,0,0,'Données projet'!$E$9+1,1))</f>
        <v>421.33534980160005</v>
      </c>
      <c r="T167" s="59">
        <f t="shared" si="142"/>
        <v>299.0473530693472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5.763922672485933E-13</v>
      </c>
      <c r="AK167" s="13">
        <f t="shared" si="164"/>
        <v>7.0619171555808457E-12</v>
      </c>
      <c r="AL167" s="20">
        <f t="shared" si="165"/>
        <v>1.3303388911427938E-11</v>
      </c>
      <c r="AM167" s="59">
        <f t="shared" si="113"/>
        <v>288.13593173019399</v>
      </c>
      <c r="AN167" s="59">
        <f ca="1">AVERAGE(OFFSET($AM$3,0,0,'Données projet'!$E$10+1,1))-AVERAGE(OFFSET($H$3,0,0,'Données projet'!$E$10+1,1))</f>
        <v>462.74754756814662</v>
      </c>
      <c r="AO167" s="59">
        <f t="shared" si="144"/>
        <v>327.65191293226667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99.682099695057374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99.682099695057374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5.6843418860808015E-13</v>
      </c>
      <c r="BE167" s="13">
        <f>BD167*VLOOKUP('Données projet'!$B$11,Paramètres!$A$1:$I$89,3,0)*VLOOKUP('Données projet'!$B$11,Paramètres!$A$1:$I$89,5,0)</f>
        <v>3.8130565371830017E-13</v>
      </c>
      <c r="BF167" s="13">
        <f t="shared" si="167"/>
        <v>4.9019074112354236E-12</v>
      </c>
      <c r="BG167" s="20">
        <f t="shared" si="168"/>
        <v>9.2015960881277352E-12</v>
      </c>
      <c r="BH167" s="59">
        <f t="shared" si="116"/>
        <v>288.1359317301899</v>
      </c>
      <c r="BI167" s="59">
        <f ca="1">AVERAGE(OFFSET($BH$3,0,0,'Données projet'!$E$11+1,1))-AVERAGE(OFFSET($H$3,0,0,'Données projet'!$E$11+1,1))</f>
        <v>332.21938212432008</v>
      </c>
      <c r="BJ167" s="59">
        <f t="shared" si="146"/>
        <v>237.47732529948181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81.279250520585236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81.279250520585236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5.4092197387944907E-13</v>
      </c>
      <c r="CA167" s="13">
        <f t="shared" si="170"/>
        <v>6.6765148417791561E-12</v>
      </c>
      <c r="CB167" s="20">
        <f t="shared" si="171"/>
        <v>1.2570369120605403E-11</v>
      </c>
      <c r="CC167" s="59">
        <f t="shared" si="119"/>
        <v>288.13593173019325</v>
      </c>
      <c r="CD167" s="59">
        <f ca="1">AVERAGE(OFFSET($CC$3,0,0,'Données projet'!$E$12+1,1))-AVERAGE(OFFSET($H$3,0,0,'Données projet'!$E$12+1,1))</f>
        <v>439.09551305860475</v>
      </c>
      <c r="CE167" s="59">
        <f t="shared" si="148"/>
        <v>311.31528017256846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93.547816636900066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93.547816636900066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5.6843418860808015E-13</v>
      </c>
      <c r="CU167" s="17">
        <f>CT167*VLOOKUP('Données projet'!$B$13,Paramètres!$A$1:$I$89,3,0)*VLOOKUP('Données projet'!$B$13,Paramètres!$A$1:$I$89,5,0)</f>
        <v>5.4978954722173515E-13</v>
      </c>
      <c r="CV167" s="13">
        <f t="shared" si="173"/>
        <v>6.7731340873355904E-12</v>
      </c>
      <c r="CW167" s="20">
        <f t="shared" si="174"/>
        <v>1.2754091996854009E-11</v>
      </c>
      <c r="CX167" s="59">
        <f t="shared" si="122"/>
        <v>288.13593173019342</v>
      </c>
      <c r="CY167" s="59">
        <f ca="1">AVERAGE(OFFSET($CX$3,0,0,'Données projet'!$E$13+1,1))-AVERAGE(OFFSET($H$3,0,0,'Données projet'!$E$13+1,1))</f>
        <v>445.01146841309549</v>
      </c>
      <c r="CZ167" s="59">
        <f t="shared" si="150"/>
        <v>315.40159257508969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95.081387401439386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95.081387401439386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-1.1368683772161603E-13</v>
      </c>
      <c r="DP167" s="17">
        <f>DO167*VLOOKUP('Données projet'!$B$14,Paramètres!$A$1:$I$89,3,0)*VLOOKUP('Données projet'!$B$14,Paramètres!$A$1:$I$89,5,0)</f>
        <v>-6.3550942286383367E-14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349.00268383833668</v>
      </c>
      <c r="DU167" s="59">
        <f t="shared" si="152"/>
        <v>459.94854391583749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26.174348357323325</v>
      </c>
      <c r="EB167" s="21">
        <f>EXP(-LN(2)/25)*EB166+(1-EXP(-LN(2)/25))/(LN(2)/25)*Calculateur!DW167*Calculateur!DY167*VLOOKUP('Données projet'!$B$14,Paramètres!$A$1:$I$89,3,0)*0.475*44/12</f>
        <v>2.8053665046824641</v>
      </c>
      <c r="EC167" s="21">
        <f>EXP(-LN(2)/2)*EC166+(1-EXP(-LN(2)/2))/(LN(2)/2)*DW167*DZ167*VLOOKUP('Données projet'!$B$14,Paramètres!$A$1:$I$89,3,0)*0.475*44/12</f>
        <v>1.3409101448915211E-15</v>
      </c>
      <c r="ED167" s="22">
        <f t="shared" si="178"/>
        <v>28.979714862005789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1.7053025658242404E-13</v>
      </c>
      <c r="EK167" s="17">
        <f>EJ167*VLOOKUP('Données projet'!$B$15,Paramètres!$A$1:$I$89,3,0)*VLOOKUP('Données projet'!$B$15,Paramètres!$A$1:$I$89,5,0)</f>
        <v>1.3301360013429075E-13</v>
      </c>
      <c r="EL167" s="13">
        <f t="shared" si="179"/>
        <v>1.9329766731057041E-12</v>
      </c>
      <c r="EM167" s="20">
        <f t="shared" si="180"/>
        <v>3.5982663925596575E-12</v>
      </c>
      <c r="EN167" s="59">
        <f t="shared" si="128"/>
        <v>288.13593173018427</v>
      </c>
      <c r="EO167" s="59">
        <f ca="1">AVERAGE(OFFSET($EN$3,0,0,'Données projet'!$E$15+1,1))-AVERAGE(OFFSET($H$3,0,0,'Données projet'!$E$15+1,1))</f>
        <v>308.82719216177946</v>
      </c>
      <c r="EP167" s="59">
        <f t="shared" si="154"/>
        <v>302.59481222418219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12.362877613440507</v>
      </c>
      <c r="EW167" s="21">
        <f>EXP(-LN(2)/25)*EW166+(1-EXP(-LN(2)/25))/(LN(2)/25)*Calculateur!ER167*Calculateur!ET167*VLOOKUP('Données projet'!$B$15,Paramètres!$A$1:$I$89,3,0)*0.475*44/12</f>
        <v>4.897011688943822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17.25988930238433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288.22609502835815</v>
      </c>
      <c r="S168" s="59">
        <f ca="1">AVERAGE(OFFSET($R$3,0,0,'Données projet'!$E$9+1,1))-AVERAGE(OFFSET($H$3,0,0,'Données projet'!$E$9+1,1))</f>
        <v>421.33534980160005</v>
      </c>
      <c r="T168" s="59">
        <f t="shared" si="142"/>
        <v>299.0473530693472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5.763922672485933E-13</v>
      </c>
      <c r="AK168" s="13">
        <f t="shared" si="164"/>
        <v>7.0619171555808457E-12</v>
      </c>
      <c r="AL168" s="20">
        <f t="shared" si="165"/>
        <v>1.3303388911427938E-11</v>
      </c>
      <c r="AM168" s="59">
        <f t="shared" si="113"/>
        <v>288.22609502835945</v>
      </c>
      <c r="AN168" s="59">
        <f ca="1">AVERAGE(OFFSET($AM$3,0,0,'Données projet'!$E$10+1,1))-AVERAGE(OFFSET($H$3,0,0,'Données projet'!$E$10+1,1))</f>
        <v>462.74754756814662</v>
      </c>
      <c r="AO168" s="59">
        <f t="shared" si="144"/>
        <v>327.65191293226667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97.727394520114601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97.727394520114601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5.6843418860808015E-13</v>
      </c>
      <c r="BE168" s="13">
        <f>BD168*VLOOKUP('Données projet'!$B$11,Paramètres!$A$1:$I$89,3,0)*VLOOKUP('Données projet'!$B$11,Paramètres!$A$1:$I$89,5,0)</f>
        <v>3.8130565371830017E-13</v>
      </c>
      <c r="BF168" s="13">
        <f t="shared" si="167"/>
        <v>4.9019074112354236E-12</v>
      </c>
      <c r="BG168" s="20">
        <f t="shared" si="168"/>
        <v>9.2015960881277352E-12</v>
      </c>
      <c r="BH168" s="59">
        <f t="shared" si="116"/>
        <v>288.22609502835536</v>
      </c>
      <c r="BI168" s="59">
        <f ca="1">AVERAGE(OFFSET($BH$3,0,0,'Données projet'!$E$11+1,1))-AVERAGE(OFFSET($H$3,0,0,'Données projet'!$E$11+1,1))</f>
        <v>332.21938212432008</v>
      </c>
      <c r="BJ168" s="59">
        <f t="shared" si="146"/>
        <v>237.47732529948181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79.685413993324204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79.685413993324204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5.4092197387944907E-13</v>
      </c>
      <c r="CA168" s="13">
        <f t="shared" si="170"/>
        <v>6.6765148417791561E-12</v>
      </c>
      <c r="CB168" s="20">
        <f t="shared" si="171"/>
        <v>1.2570369120605403E-11</v>
      </c>
      <c r="CC168" s="59">
        <f t="shared" si="119"/>
        <v>288.22609502835871</v>
      </c>
      <c r="CD168" s="59">
        <f ca="1">AVERAGE(OFFSET($CC$3,0,0,'Données projet'!$E$12+1,1))-AVERAGE(OFFSET($H$3,0,0,'Données projet'!$E$12+1,1))</f>
        <v>439.09551305860475</v>
      </c>
      <c r="CE168" s="59">
        <f t="shared" si="148"/>
        <v>311.31528017256846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91.713401011184544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91.713401011184544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5.6843418860808015E-13</v>
      </c>
      <c r="CU168" s="17">
        <f>CT168*VLOOKUP('Données projet'!$B$13,Paramètres!$A$1:$I$89,3,0)*VLOOKUP('Données projet'!$B$13,Paramètres!$A$1:$I$89,5,0)</f>
        <v>5.4978954722173515E-13</v>
      </c>
      <c r="CV168" s="13">
        <f t="shared" si="173"/>
        <v>6.7731340873355904E-12</v>
      </c>
      <c r="CW168" s="20">
        <f t="shared" si="174"/>
        <v>1.2754091996854009E-11</v>
      </c>
      <c r="CX168" s="59">
        <f t="shared" si="122"/>
        <v>288.22609502835888</v>
      </c>
      <c r="CY168" s="59">
        <f ca="1">AVERAGE(OFFSET($CX$3,0,0,'Données projet'!$E$13+1,1))-AVERAGE(OFFSET($H$3,0,0,'Données projet'!$E$13+1,1))</f>
        <v>445.01146841309549</v>
      </c>
      <c r="CZ168" s="59">
        <f t="shared" si="150"/>
        <v>315.40159257508969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93.216899388417048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93.216899388417048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-1.1368683772161603E-13</v>
      </c>
      <c r="DP168" s="17">
        <f>DO168*VLOOKUP('Données projet'!$B$14,Paramètres!$A$1:$I$89,3,0)*VLOOKUP('Données projet'!$B$14,Paramètres!$A$1:$I$89,5,0)</f>
        <v>-6.3550942286383367E-14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349.00268383833668</v>
      </c>
      <c r="DU168" s="59">
        <f t="shared" si="152"/>
        <v>459.94854391583749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25.661085350812321</v>
      </c>
      <c r="EB168" s="21">
        <f>EXP(-LN(2)/25)*EB167+(1-EXP(-LN(2)/25))/(LN(2)/25)*Calculateur!DW168*Calculateur!DY168*VLOOKUP('Données projet'!$B$14,Paramètres!$A$1:$I$89,3,0)*0.475*44/12</f>
        <v>2.7286536100841094</v>
      </c>
      <c r="EC168" s="21">
        <f>EXP(-LN(2)/2)*EC167+(1-EXP(-LN(2)/2))/(LN(2)/2)*DW168*DZ168*VLOOKUP('Données projet'!$B$14,Paramètres!$A$1:$I$89,3,0)*0.475*44/12</f>
        <v>9.4816665641463053E-16</v>
      </c>
      <c r="ED168" s="22">
        <f t="shared" si="178"/>
        <v>28.38973896089643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1.7053025658242404E-13</v>
      </c>
      <c r="EK168" s="17">
        <f>EJ168*VLOOKUP('Données projet'!$B$15,Paramètres!$A$1:$I$89,3,0)*VLOOKUP('Données projet'!$B$15,Paramètres!$A$1:$I$89,5,0)</f>
        <v>1.3301360013429075E-13</v>
      </c>
      <c r="EL168" s="13">
        <f t="shared" si="179"/>
        <v>1.9329766731057041E-12</v>
      </c>
      <c r="EM168" s="20">
        <f t="shared" si="180"/>
        <v>3.5982663925596575E-12</v>
      </c>
      <c r="EN168" s="59">
        <f t="shared" si="128"/>
        <v>288.22609502834973</v>
      </c>
      <c r="EO168" s="59">
        <f ca="1">AVERAGE(OFFSET($EN$3,0,0,'Données projet'!$E$15+1,1))-AVERAGE(OFFSET($H$3,0,0,'Données projet'!$E$15+1,1))</f>
        <v>308.82719216177946</v>
      </c>
      <c r="EP168" s="59">
        <f t="shared" si="154"/>
        <v>302.59481222418219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12.120449124051708</v>
      </c>
      <c r="EW168" s="21">
        <f>EXP(-LN(2)/25)*EW167+(1-EXP(-LN(2)/25))/(LN(2)/25)*Calculateur!ER168*Calculateur!ET168*VLOOKUP('Données projet'!$B$15,Paramètres!$A$1:$I$89,3,0)*0.475*44/12</f>
        <v>4.7631026467870008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16.883551770838707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288.31469419487541</v>
      </c>
      <c r="S169" s="59">
        <f ca="1">AVERAGE(OFFSET($R$3,0,0,'Données projet'!$E$9+1,1))-AVERAGE(OFFSET($H$3,0,0,'Données projet'!$E$9+1,1))</f>
        <v>421.33534980160005</v>
      </c>
      <c r="T169" s="59">
        <f t="shared" si="142"/>
        <v>299.0473530693472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5.763922672485933E-13</v>
      </c>
      <c r="AK169" s="13">
        <f t="shared" si="164"/>
        <v>7.0619171555808457E-12</v>
      </c>
      <c r="AL169" s="20">
        <f t="shared" si="165"/>
        <v>1.3303388911427938E-11</v>
      </c>
      <c r="AM169" s="59">
        <f t="shared" si="113"/>
        <v>288.31469419487672</v>
      </c>
      <c r="AN169" s="59">
        <f ca="1">AVERAGE(OFFSET($AM$3,0,0,'Données projet'!$E$10+1,1))-AVERAGE(OFFSET($H$3,0,0,'Données projet'!$E$10+1,1))</f>
        <v>462.74754756814662</v>
      </c>
      <c r="AO169" s="59">
        <f t="shared" si="144"/>
        <v>327.65191293226667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95.811019921400032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95.811019921400032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5.6843418860808015E-13</v>
      </c>
      <c r="BE169" s="13">
        <f>BD169*VLOOKUP('Données projet'!$B$11,Paramètres!$A$1:$I$89,3,0)*VLOOKUP('Données projet'!$B$11,Paramètres!$A$1:$I$89,5,0)</f>
        <v>3.8130565371830017E-13</v>
      </c>
      <c r="BF169" s="13">
        <f t="shared" si="167"/>
        <v>4.9019074112354236E-12</v>
      </c>
      <c r="BG169" s="20">
        <f t="shared" si="168"/>
        <v>9.2015960881277352E-12</v>
      </c>
      <c r="BH169" s="59">
        <f t="shared" si="116"/>
        <v>288.31469419487263</v>
      </c>
      <c r="BI169" s="59">
        <f ca="1">AVERAGE(OFFSET($BH$3,0,0,'Données projet'!$E$11+1,1))-AVERAGE(OFFSET($H$3,0,0,'Données projet'!$E$11+1,1))</f>
        <v>332.21938212432008</v>
      </c>
      <c r="BJ169" s="59">
        <f t="shared" si="146"/>
        <v>237.47732529948181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78.122831628218478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78.122831628218478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5.4092197387944907E-13</v>
      </c>
      <c r="CA169" s="13">
        <f t="shared" si="170"/>
        <v>6.6765148417791561E-12</v>
      </c>
      <c r="CB169" s="20">
        <f t="shared" si="171"/>
        <v>1.2570369120605403E-11</v>
      </c>
      <c r="CC169" s="59">
        <f t="shared" si="119"/>
        <v>288.31469419487598</v>
      </c>
      <c r="CD169" s="59">
        <f ca="1">AVERAGE(OFFSET($CC$3,0,0,'Données projet'!$E$12+1,1))-AVERAGE(OFFSET($H$3,0,0,'Données projet'!$E$12+1,1))</f>
        <v>439.09551305860475</v>
      </c>
      <c r="CE169" s="59">
        <f t="shared" si="148"/>
        <v>311.31528017256846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89.914957157006256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89.914957157006256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5.6843418860808015E-13</v>
      </c>
      <c r="CU169" s="17">
        <f>CT169*VLOOKUP('Données projet'!$B$13,Paramètres!$A$1:$I$89,3,0)*VLOOKUP('Données projet'!$B$13,Paramètres!$A$1:$I$89,5,0)</f>
        <v>5.4978954722173515E-13</v>
      </c>
      <c r="CV169" s="13">
        <f t="shared" si="173"/>
        <v>6.7731340873355904E-12</v>
      </c>
      <c r="CW169" s="20">
        <f t="shared" si="174"/>
        <v>1.2754091996854009E-11</v>
      </c>
      <c r="CX169" s="59">
        <f t="shared" si="122"/>
        <v>288.31469419487615</v>
      </c>
      <c r="CY169" s="59">
        <f ca="1">AVERAGE(OFFSET($CX$3,0,0,'Données projet'!$E$13+1,1))-AVERAGE(OFFSET($H$3,0,0,'Données projet'!$E$13+1,1))</f>
        <v>445.01146841309549</v>
      </c>
      <c r="CZ169" s="59">
        <f t="shared" si="150"/>
        <v>315.40159257508969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91.388972848104686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91.388972848104686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-1.1368683772161603E-13</v>
      </c>
      <c r="DP169" s="17">
        <f>DO169*VLOOKUP('Données projet'!$B$14,Paramètres!$A$1:$I$89,3,0)*VLOOKUP('Données projet'!$B$14,Paramètres!$A$1:$I$89,5,0)</f>
        <v>-6.3550942286383367E-14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349.00268383833668</v>
      </c>
      <c r="DU169" s="59">
        <f t="shared" si="152"/>
        <v>459.94854391583749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25.157887118799476</v>
      </c>
      <c r="EB169" s="21">
        <f>EXP(-LN(2)/25)*EB168+(1-EXP(-LN(2)/25))/(LN(2)/25)*Calculateur!DW169*Calculateur!DY169*VLOOKUP('Données projet'!$B$14,Paramètres!$A$1:$I$89,3,0)*0.475*44/12</f>
        <v>2.6540384336227025</v>
      </c>
      <c r="EC169" s="21">
        <f>EXP(-LN(2)/2)*EC168+(1-EXP(-LN(2)/2))/(LN(2)/2)*DW169*DZ169*VLOOKUP('Données projet'!$B$14,Paramètres!$A$1:$I$89,3,0)*0.475*44/12</f>
        <v>6.7045507244576054E-16</v>
      </c>
      <c r="ED169" s="22">
        <f t="shared" si="178"/>
        <v>27.811925552422178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1.7053025658242404E-13</v>
      </c>
      <c r="EK169" s="17">
        <f>EJ169*VLOOKUP('Données projet'!$B$15,Paramètres!$A$1:$I$89,3,0)*VLOOKUP('Données projet'!$B$15,Paramètres!$A$1:$I$89,5,0)</f>
        <v>1.3301360013429075E-13</v>
      </c>
      <c r="EL169" s="13">
        <f t="shared" si="179"/>
        <v>1.9329766731057041E-12</v>
      </c>
      <c r="EM169" s="20">
        <f t="shared" si="180"/>
        <v>3.5982663925596575E-12</v>
      </c>
      <c r="EN169" s="59">
        <f t="shared" si="128"/>
        <v>288.314694194867</v>
      </c>
      <c r="EO169" s="59">
        <f ca="1">AVERAGE(OFFSET($EN$3,0,0,'Données projet'!$E$15+1,1))-AVERAGE(OFFSET($H$3,0,0,'Données projet'!$E$15+1,1))</f>
        <v>308.82719216177946</v>
      </c>
      <c r="EP169" s="59">
        <f t="shared" si="154"/>
        <v>302.59481222418219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11.882774509473046</v>
      </c>
      <c r="EW169" s="21">
        <f>EXP(-LN(2)/25)*EW168+(1-EXP(-LN(2)/25))/(LN(2)/25)*Calculateur!ER169*Calculateur!ET169*VLOOKUP('Données projet'!$B$15,Paramètres!$A$1:$I$89,3,0)*0.475*44/12</f>
        <v>4.6328553544299282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16.515629863902973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288.40175636393161</v>
      </c>
      <c r="S170" s="59">
        <f ca="1">AVERAGE(OFFSET($R$3,0,0,'Données projet'!$E$9+1,1))-AVERAGE(OFFSET($H$3,0,0,'Données projet'!$E$9+1,1))</f>
        <v>421.33534980160005</v>
      </c>
      <c r="T170" s="59">
        <f t="shared" si="142"/>
        <v>299.0473530693472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5.763922672485933E-13</v>
      </c>
      <c r="AK170" s="13">
        <f t="shared" si="164"/>
        <v>7.0619171555808457E-12</v>
      </c>
      <c r="AL170" s="20">
        <f t="shared" si="165"/>
        <v>1.3303388911427938E-11</v>
      </c>
      <c r="AM170" s="59">
        <f t="shared" si="113"/>
        <v>288.40175636393292</v>
      </c>
      <c r="AN170" s="59">
        <f ca="1">AVERAGE(OFFSET($AM$3,0,0,'Données projet'!$E$10+1,1))-AVERAGE(OFFSET($H$3,0,0,'Données projet'!$E$10+1,1))</f>
        <v>462.74754756814662</v>
      </c>
      <c r="AO170" s="59">
        <f t="shared" si="144"/>
        <v>327.65191293226667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93.932224259693157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93.932224259693157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5.6843418860808015E-13</v>
      </c>
      <c r="BE170" s="13">
        <f>BD170*VLOOKUP('Données projet'!$B$11,Paramètres!$A$1:$I$89,3,0)*VLOOKUP('Données projet'!$B$11,Paramètres!$A$1:$I$89,5,0)</f>
        <v>3.8130565371830017E-13</v>
      </c>
      <c r="BF170" s="13">
        <f t="shared" si="167"/>
        <v>4.9019074112354236E-12</v>
      </c>
      <c r="BG170" s="20">
        <f t="shared" si="168"/>
        <v>9.2015960881277352E-12</v>
      </c>
      <c r="BH170" s="59">
        <f t="shared" si="116"/>
        <v>288.40175636392883</v>
      </c>
      <c r="BI170" s="59">
        <f ca="1">AVERAGE(OFFSET($BH$3,0,0,'Données projet'!$E$11+1,1))-AVERAGE(OFFSET($H$3,0,0,'Données projet'!$E$11+1,1))</f>
        <v>332.21938212432008</v>
      </c>
      <c r="BJ170" s="59">
        <f t="shared" si="146"/>
        <v>237.47732529948181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76.590890550211341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76.590890550211341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5.4092197387944907E-13</v>
      </c>
      <c r="CA170" s="13">
        <f t="shared" si="170"/>
        <v>6.6765148417791561E-12</v>
      </c>
      <c r="CB170" s="20">
        <f t="shared" si="171"/>
        <v>1.2570369120605403E-11</v>
      </c>
      <c r="CC170" s="59">
        <f t="shared" si="119"/>
        <v>288.40175636393218</v>
      </c>
      <c r="CD170" s="59">
        <f ca="1">AVERAGE(OFFSET($CC$3,0,0,'Données projet'!$E$12+1,1))-AVERAGE(OFFSET($H$3,0,0,'Données projet'!$E$12+1,1))</f>
        <v>439.09551305860475</v>
      </c>
      <c r="CE170" s="59">
        <f t="shared" si="148"/>
        <v>311.31528017256846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88.151779689865961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88.151779689865961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5.6843418860808015E-13</v>
      </c>
      <c r="CU170" s="17">
        <f>CT170*VLOOKUP('Données projet'!$B$13,Paramètres!$A$1:$I$89,3,0)*VLOOKUP('Données projet'!$B$13,Paramètres!$A$1:$I$89,5,0)</f>
        <v>5.4978954722173515E-13</v>
      </c>
      <c r="CV170" s="13">
        <f t="shared" si="173"/>
        <v>6.7731340873355904E-12</v>
      </c>
      <c r="CW170" s="20">
        <f t="shared" si="174"/>
        <v>1.2754091996854009E-11</v>
      </c>
      <c r="CX170" s="59">
        <f t="shared" si="122"/>
        <v>288.40175636393235</v>
      </c>
      <c r="CY170" s="59">
        <f ca="1">AVERAGE(OFFSET($CX$3,0,0,'Données projet'!$E$13+1,1))-AVERAGE(OFFSET($H$3,0,0,'Données projet'!$E$13+1,1))</f>
        <v>445.01146841309549</v>
      </c>
      <c r="CZ170" s="59">
        <f t="shared" si="150"/>
        <v>315.40159257508969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89.596890832322742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89.596890832322742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-1.1368683772161603E-13</v>
      </c>
      <c r="DP170" s="17">
        <f>DO170*VLOOKUP('Données projet'!$B$14,Paramètres!$A$1:$I$89,3,0)*VLOOKUP('Données projet'!$B$14,Paramètres!$A$1:$I$89,5,0)</f>
        <v>-6.3550942286383367E-14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349.00268383833668</v>
      </c>
      <c r="DU170" s="59">
        <f t="shared" si="152"/>
        <v>459.94854391583749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24.664556297195787</v>
      </c>
      <c r="EB170" s="21">
        <f>EXP(-LN(2)/25)*EB169+(1-EXP(-LN(2)/25))/(LN(2)/25)*Calculateur!DW170*Calculateur!DY170*VLOOKUP('Données projet'!$B$14,Paramètres!$A$1:$I$89,3,0)*0.475*44/12</f>
        <v>2.5814636130854742</v>
      </c>
      <c r="EC170" s="21">
        <f>EXP(-LN(2)/2)*EC169+(1-EXP(-LN(2)/2))/(LN(2)/2)*DW170*DZ170*VLOOKUP('Données projet'!$B$14,Paramètres!$A$1:$I$89,3,0)*0.475*44/12</f>
        <v>4.7408332820731527E-16</v>
      </c>
      <c r="ED170" s="22">
        <f t="shared" si="178"/>
        <v>27.246019910281262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1.7053025658242404E-13</v>
      </c>
      <c r="EK170" s="17">
        <f>EJ170*VLOOKUP('Données projet'!$B$15,Paramètres!$A$1:$I$89,3,0)*VLOOKUP('Données projet'!$B$15,Paramètres!$A$1:$I$89,5,0)</f>
        <v>1.3301360013429075E-13</v>
      </c>
      <c r="EL170" s="13">
        <f t="shared" si="179"/>
        <v>1.9329766731057041E-12</v>
      </c>
      <c r="EM170" s="20">
        <f t="shared" si="180"/>
        <v>3.5982663925596575E-12</v>
      </c>
      <c r="EN170" s="59">
        <f t="shared" si="128"/>
        <v>288.4017563639232</v>
      </c>
      <c r="EO170" s="59">
        <f ca="1">AVERAGE(OFFSET($EN$3,0,0,'Données projet'!$E$15+1,1))-AVERAGE(OFFSET($H$3,0,0,'Données projet'!$E$15+1,1))</f>
        <v>308.82719216177946</v>
      </c>
      <c r="EP170" s="59">
        <f t="shared" si="154"/>
        <v>302.59481222418219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11.649760549119073</v>
      </c>
      <c r="EW170" s="21">
        <f>EXP(-LN(2)/25)*EW169+(1-EXP(-LN(2)/25))/(LN(2)/25)*Calculateur!ER170*Calculateur!ET170*VLOOKUP('Données projet'!$B$15,Paramètres!$A$1:$I$89,3,0)*0.475*44/12</f>
        <v>4.5061696811317669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16.155930230250839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288.48730819899652</v>
      </c>
      <c r="S171" s="59">
        <f ca="1">AVERAGE(OFFSET($R$3,0,0,'Données projet'!$E$9+1,1))-AVERAGE(OFFSET($H$3,0,0,'Données projet'!$E$9+1,1))</f>
        <v>421.33534980160005</v>
      </c>
      <c r="T171" s="59">
        <f t="shared" si="142"/>
        <v>299.0473530693472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5.763922672485933E-13</v>
      </c>
      <c r="AK171" s="13">
        <f t="shared" si="164"/>
        <v>7.0619171555808457E-12</v>
      </c>
      <c r="AL171" s="20">
        <f t="shared" si="165"/>
        <v>1.3303388911427938E-11</v>
      </c>
      <c r="AM171" s="59">
        <f t="shared" si="113"/>
        <v>288.48730819899782</v>
      </c>
      <c r="AN171" s="59">
        <f ca="1">AVERAGE(OFFSET($AM$3,0,0,'Données projet'!$E$10+1,1))-AVERAGE(OFFSET($H$3,0,0,'Données projet'!$E$10+1,1))</f>
        <v>462.74754756814662</v>
      </c>
      <c r="AO171" s="59">
        <f t="shared" si="144"/>
        <v>327.65191293226667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92.090270634960163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92.090270634960163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5.6843418860808015E-13</v>
      </c>
      <c r="BE171" s="13">
        <f>BD171*VLOOKUP('Données projet'!$B$11,Paramètres!$A$1:$I$89,3,0)*VLOOKUP('Données projet'!$B$11,Paramètres!$A$1:$I$89,5,0)</f>
        <v>3.8130565371830017E-13</v>
      </c>
      <c r="BF171" s="13">
        <f t="shared" si="167"/>
        <v>4.9019074112354236E-12</v>
      </c>
      <c r="BG171" s="20">
        <f t="shared" si="168"/>
        <v>9.2015960881277352E-12</v>
      </c>
      <c r="BH171" s="59">
        <f t="shared" si="116"/>
        <v>288.48730819899373</v>
      </c>
      <c r="BI171" s="59">
        <f ca="1">AVERAGE(OFFSET($BH$3,0,0,'Données projet'!$E$11+1,1))-AVERAGE(OFFSET($H$3,0,0,'Données projet'!$E$11+1,1))</f>
        <v>332.21938212432008</v>
      </c>
      <c r="BJ171" s="59">
        <f t="shared" si="146"/>
        <v>237.47732529948181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75.088989902352125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75.088989902352125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5.4092197387944907E-13</v>
      </c>
      <c r="CA171" s="13">
        <f t="shared" si="170"/>
        <v>6.6765148417791561E-12</v>
      </c>
      <c r="CB171" s="20">
        <f t="shared" si="171"/>
        <v>1.2570369120605403E-11</v>
      </c>
      <c r="CC171" s="59">
        <f t="shared" si="119"/>
        <v>288.48730819899708</v>
      </c>
      <c r="CD171" s="59">
        <f ca="1">AVERAGE(OFFSET($CC$3,0,0,'Données projet'!$E$12+1,1))-AVERAGE(OFFSET($H$3,0,0,'Données projet'!$E$12+1,1))</f>
        <v>439.09551305860475</v>
      </c>
      <c r="CE171" s="59">
        <f t="shared" si="148"/>
        <v>311.31528017256846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86.423177057424226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86.423177057424226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5.6843418860808015E-13</v>
      </c>
      <c r="CU171" s="17">
        <f>CT171*VLOOKUP('Données projet'!$B$13,Paramètres!$A$1:$I$89,3,0)*VLOOKUP('Données projet'!$B$13,Paramètres!$A$1:$I$89,5,0)</f>
        <v>5.4978954722173515E-13</v>
      </c>
      <c r="CV171" s="13">
        <f t="shared" si="173"/>
        <v>6.7731340873355904E-12</v>
      </c>
      <c r="CW171" s="20">
        <f t="shared" si="174"/>
        <v>1.2754091996854009E-11</v>
      </c>
      <c r="CX171" s="59">
        <f t="shared" si="122"/>
        <v>288.48730819899725</v>
      </c>
      <c r="CY171" s="59">
        <f ca="1">AVERAGE(OFFSET($CX$3,0,0,'Données projet'!$E$13+1,1))-AVERAGE(OFFSET($H$3,0,0,'Données projet'!$E$13+1,1))</f>
        <v>445.01146841309549</v>
      </c>
      <c r="CZ171" s="59">
        <f t="shared" si="150"/>
        <v>315.40159257508969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87.839950451808193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87.839950451808193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-1.1368683772161603E-13</v>
      </c>
      <c r="DP171" s="17">
        <f>DO171*VLOOKUP('Données projet'!$B$14,Paramètres!$A$1:$I$89,3,0)*VLOOKUP('Données projet'!$B$14,Paramètres!$A$1:$I$89,5,0)</f>
        <v>-6.3550942286383367E-14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349.00268383833668</v>
      </c>
      <c r="DU171" s="59">
        <f t="shared" si="152"/>
        <v>459.94854391583749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24.180899392101658</v>
      </c>
      <c r="EB171" s="21">
        <f>EXP(-LN(2)/25)*EB170+(1-EXP(-LN(2)/25))/(LN(2)/25)*Calculateur!DW171*Calculateur!DY171*VLOOKUP('Données projet'!$B$14,Paramètres!$A$1:$I$89,3,0)*0.475*44/12</f>
        <v>2.5108733548323805</v>
      </c>
      <c r="EC171" s="21">
        <f>EXP(-LN(2)/2)*EC170+(1-EXP(-LN(2)/2))/(LN(2)/2)*DW171*DZ171*VLOOKUP('Données projet'!$B$14,Paramètres!$A$1:$I$89,3,0)*0.475*44/12</f>
        <v>3.3522753622288027E-16</v>
      </c>
      <c r="ED171" s="22">
        <f t="shared" si="178"/>
        <v>26.691772746934038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1.7053025658242404E-13</v>
      </c>
      <c r="EK171" s="17">
        <f>EJ171*VLOOKUP('Données projet'!$B$15,Paramètres!$A$1:$I$89,3,0)*VLOOKUP('Données projet'!$B$15,Paramètres!$A$1:$I$89,5,0)</f>
        <v>1.3301360013429075E-13</v>
      </c>
      <c r="EL171" s="13">
        <f t="shared" si="179"/>
        <v>1.9329766731057041E-12</v>
      </c>
      <c r="EM171" s="20">
        <f t="shared" si="180"/>
        <v>3.5982663925596575E-12</v>
      </c>
      <c r="EN171" s="59">
        <f t="shared" si="128"/>
        <v>288.4873081989881</v>
      </c>
      <c r="EO171" s="59">
        <f ca="1">AVERAGE(OFFSET($EN$3,0,0,'Données projet'!$E$15+1,1))-AVERAGE(OFFSET($H$3,0,0,'Données projet'!$E$15+1,1))</f>
        <v>308.82719216177946</v>
      </c>
      <c r="EP171" s="59">
        <f t="shared" si="154"/>
        <v>302.59481222418219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11.421315850403158</v>
      </c>
      <c r="EW171" s="21">
        <f>EXP(-LN(2)/25)*EW170+(1-EXP(-LN(2)/25))/(LN(2)/25)*Calculateur!ER171*Calculateur!ET171*VLOOKUP('Données projet'!$B$15,Paramètres!$A$1:$I$89,3,0)*0.475*44/12</f>
        <v>4.382948234232054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15.804264084635211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288.57137590098841</v>
      </c>
      <c r="S172" s="59">
        <f ca="1">AVERAGE(OFFSET($R$3,0,0,'Données projet'!$E$9+1,1))-AVERAGE(OFFSET($H$3,0,0,'Données projet'!$E$9+1,1))</f>
        <v>421.33534980160005</v>
      </c>
      <c r="T172" s="59">
        <f t="shared" si="142"/>
        <v>299.0473530693472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5.763922672485933E-13</v>
      </c>
      <c r="AK172" s="13">
        <f t="shared" si="164"/>
        <v>7.0619171555808457E-12</v>
      </c>
      <c r="AL172" s="20">
        <f t="shared" si="165"/>
        <v>1.3303388911427938E-11</v>
      </c>
      <c r="AM172" s="59">
        <f t="shared" si="113"/>
        <v>288.57137590098972</v>
      </c>
      <c r="AN172" s="59">
        <f ca="1">AVERAGE(OFFSET($AM$3,0,0,'Données projet'!$E$10+1,1))-AVERAGE(OFFSET($H$3,0,0,'Données projet'!$E$10+1,1))</f>
        <v>462.74754756814662</v>
      </c>
      <c r="AO172" s="59">
        <f t="shared" si="144"/>
        <v>327.65191293226667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90.284436597327399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90.284436597327399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5.6843418860808015E-13</v>
      </c>
      <c r="BE172" s="13">
        <f>BD172*VLOOKUP('Données projet'!$B$11,Paramètres!$A$1:$I$89,3,0)*VLOOKUP('Données projet'!$B$11,Paramètres!$A$1:$I$89,5,0)</f>
        <v>3.8130565371830017E-13</v>
      </c>
      <c r="BF172" s="13">
        <f t="shared" si="167"/>
        <v>4.9019074112354236E-12</v>
      </c>
      <c r="BG172" s="20">
        <f t="shared" si="168"/>
        <v>9.2015960881277352E-12</v>
      </c>
      <c r="BH172" s="59">
        <f t="shared" si="116"/>
        <v>288.57137590098563</v>
      </c>
      <c r="BI172" s="59">
        <f ca="1">AVERAGE(OFFSET($BH$3,0,0,'Données projet'!$E$11+1,1))-AVERAGE(OFFSET($H$3,0,0,'Données projet'!$E$11+1,1))</f>
        <v>332.21938212432008</v>
      </c>
      <c r="BJ172" s="59">
        <f t="shared" si="146"/>
        <v>237.47732529948181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73.616540610128496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73.616540610128496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5.4092197387944907E-13</v>
      </c>
      <c r="CA172" s="13">
        <f t="shared" si="170"/>
        <v>6.6765148417791561E-12</v>
      </c>
      <c r="CB172" s="20">
        <f t="shared" si="171"/>
        <v>1.2570369120605403E-11</v>
      </c>
      <c r="CC172" s="59">
        <f t="shared" si="119"/>
        <v>288.57137590098898</v>
      </c>
      <c r="CD172" s="59">
        <f ca="1">AVERAGE(OFFSET($CC$3,0,0,'Données projet'!$E$12+1,1))-AVERAGE(OFFSET($H$3,0,0,'Données projet'!$E$12+1,1))</f>
        <v>439.09551305860475</v>
      </c>
      <c r="CE172" s="59">
        <f t="shared" si="148"/>
        <v>311.31528017256846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84.728471268261174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84.728471268261174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5.6843418860808015E-13</v>
      </c>
      <c r="CU172" s="17">
        <f>CT172*VLOOKUP('Données projet'!$B$13,Paramètres!$A$1:$I$89,3,0)*VLOOKUP('Données projet'!$B$13,Paramètres!$A$1:$I$89,5,0)</f>
        <v>5.4978954722173515E-13</v>
      </c>
      <c r="CV172" s="13">
        <f t="shared" si="173"/>
        <v>6.7731340873355904E-12</v>
      </c>
      <c r="CW172" s="20">
        <f t="shared" si="174"/>
        <v>1.2754091996854009E-11</v>
      </c>
      <c r="CX172" s="59">
        <f t="shared" si="122"/>
        <v>288.57137590098915</v>
      </c>
      <c r="CY172" s="59">
        <f ca="1">AVERAGE(OFFSET($CX$3,0,0,'Données projet'!$E$13+1,1))-AVERAGE(OFFSET($H$3,0,0,'Données projet'!$E$13+1,1))</f>
        <v>445.01146841309549</v>
      </c>
      <c r="CZ172" s="59">
        <f t="shared" si="150"/>
        <v>315.40159257508969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86.117462600527716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86.117462600527716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-1.1368683772161603E-13</v>
      </c>
      <c r="DP172" s="17">
        <f>DO172*VLOOKUP('Données projet'!$B$14,Paramètres!$A$1:$I$89,3,0)*VLOOKUP('Données projet'!$B$14,Paramètres!$A$1:$I$89,5,0)</f>
        <v>-6.3550942286383367E-14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349.00268383833668</v>
      </c>
      <c r="DU172" s="59">
        <f t="shared" si="152"/>
        <v>459.94854391583749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23.706726703914843</v>
      </c>
      <c r="EB172" s="21">
        <f>EXP(-LN(2)/25)*EB171+(1-EXP(-LN(2)/25))/(LN(2)/25)*Calculateur!DW172*Calculateur!DY172*VLOOKUP('Données projet'!$B$14,Paramètres!$A$1:$I$89,3,0)*0.475*44/12</f>
        <v>2.4422133909033978</v>
      </c>
      <c r="EC172" s="21">
        <f>EXP(-LN(2)/2)*EC171+(1-EXP(-LN(2)/2))/(LN(2)/2)*DW172*DZ172*VLOOKUP('Données projet'!$B$14,Paramètres!$A$1:$I$89,3,0)*0.475*44/12</f>
        <v>2.3704166410365763E-16</v>
      </c>
      <c r="ED172" s="22">
        <f t="shared" si="178"/>
        <v>26.14894009481824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1.7053025658242404E-13</v>
      </c>
      <c r="EK172" s="17">
        <f>EJ172*VLOOKUP('Données projet'!$B$15,Paramètres!$A$1:$I$89,3,0)*VLOOKUP('Données projet'!$B$15,Paramètres!$A$1:$I$89,5,0)</f>
        <v>1.3301360013429075E-13</v>
      </c>
      <c r="EL172" s="13">
        <f t="shared" si="179"/>
        <v>1.9329766731057041E-12</v>
      </c>
      <c r="EM172" s="20">
        <f t="shared" si="180"/>
        <v>3.5982663925596575E-12</v>
      </c>
      <c r="EN172" s="59">
        <f t="shared" si="128"/>
        <v>288.57137590098</v>
      </c>
      <c r="EO172" s="59">
        <f ca="1">AVERAGE(OFFSET($EN$3,0,0,'Données projet'!$E$15+1,1))-AVERAGE(OFFSET($H$3,0,0,'Données projet'!$E$15+1,1))</f>
        <v>308.82719216177946</v>
      </c>
      <c r="EP172" s="59">
        <f t="shared" si="154"/>
        <v>302.59481222418219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11.197350812891553</v>
      </c>
      <c r="EW172" s="21">
        <f>EXP(-LN(2)/25)*EW171+(1-EXP(-LN(2)/25))/(LN(2)/25)*Calculateur!ER172*Calculateur!ET172*VLOOKUP('Données projet'!$B$15,Paramètres!$A$1:$I$89,3,0)*0.475*44/12</f>
        <v>4.263096284277748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15.4604470971693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288.65398521629788</v>
      </c>
      <c r="S173" s="59">
        <f ca="1">AVERAGE(OFFSET($R$3,0,0,'Données projet'!$E$9+1,1))-AVERAGE(OFFSET($H$3,0,0,'Données projet'!$E$9+1,1))</f>
        <v>421.33534980160005</v>
      </c>
      <c r="T173" s="59">
        <f t="shared" si="142"/>
        <v>299.0473530693472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5.763922672485933E-13</v>
      </c>
      <c r="AK173" s="13">
        <f t="shared" si="164"/>
        <v>7.0619171555808457E-12</v>
      </c>
      <c r="AL173" s="20">
        <f t="shared" si="165"/>
        <v>1.3303388911427938E-11</v>
      </c>
      <c r="AM173" s="59">
        <f t="shared" si="113"/>
        <v>288.65398521629919</v>
      </c>
      <c r="AN173" s="59">
        <f ca="1">AVERAGE(OFFSET($AM$3,0,0,'Données projet'!$E$10+1,1))-AVERAGE(OFFSET($H$3,0,0,'Données projet'!$E$10+1,1))</f>
        <v>462.74754756814662</v>
      </c>
      <c r="AO173" s="59">
        <f t="shared" si="144"/>
        <v>327.65191293226667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88.51401386372261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88.51401386372261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5.6843418860808015E-13</v>
      </c>
      <c r="BE173" s="13">
        <f>BD173*VLOOKUP('Données projet'!$B$11,Paramètres!$A$1:$I$89,3,0)*VLOOKUP('Données projet'!$B$11,Paramètres!$A$1:$I$89,5,0)</f>
        <v>3.8130565371830017E-13</v>
      </c>
      <c r="BF173" s="13">
        <f t="shared" si="167"/>
        <v>4.9019074112354236E-12</v>
      </c>
      <c r="BG173" s="20">
        <f t="shared" si="168"/>
        <v>9.2015960881277352E-12</v>
      </c>
      <c r="BH173" s="59">
        <f t="shared" si="116"/>
        <v>288.6539852162951</v>
      </c>
      <c r="BI173" s="59">
        <f ca="1">AVERAGE(OFFSET($BH$3,0,0,'Données projet'!$E$11+1,1))-AVERAGE(OFFSET($H$3,0,0,'Données projet'!$E$11+1,1))</f>
        <v>332.21938212432008</v>
      </c>
      <c r="BJ173" s="59">
        <f t="shared" si="146"/>
        <v>237.47732529948181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72.172965150419984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72.172965150419984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5.4092197387944907E-13</v>
      </c>
      <c r="CA173" s="13">
        <f t="shared" si="170"/>
        <v>6.6765148417791561E-12</v>
      </c>
      <c r="CB173" s="20">
        <f t="shared" si="171"/>
        <v>1.2570369120605403E-11</v>
      </c>
      <c r="CC173" s="59">
        <f t="shared" si="119"/>
        <v>288.65398521629845</v>
      </c>
      <c r="CD173" s="59">
        <f ca="1">AVERAGE(OFFSET($CC$3,0,0,'Données projet'!$E$12+1,1))-AVERAGE(OFFSET($H$3,0,0,'Données projet'!$E$12+1,1))</f>
        <v>439.09551305860475</v>
      </c>
      <c r="CE173" s="59">
        <f t="shared" si="148"/>
        <v>311.31528017256846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83.066997625955139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83.066997625955139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5.6843418860808015E-13</v>
      </c>
      <c r="CU173" s="17">
        <f>CT173*VLOOKUP('Données projet'!$B$13,Paramètres!$A$1:$I$89,3,0)*VLOOKUP('Données projet'!$B$13,Paramètres!$A$1:$I$89,5,0)</f>
        <v>5.4978954722173515E-13</v>
      </c>
      <c r="CV173" s="13">
        <f t="shared" si="173"/>
        <v>6.7731340873355904E-12</v>
      </c>
      <c r="CW173" s="20">
        <f t="shared" si="174"/>
        <v>1.2754091996854009E-11</v>
      </c>
      <c r="CX173" s="59">
        <f t="shared" si="122"/>
        <v>288.65398521629862</v>
      </c>
      <c r="CY173" s="59">
        <f ca="1">AVERAGE(OFFSET($CX$3,0,0,'Données projet'!$E$13+1,1))-AVERAGE(OFFSET($H$3,0,0,'Données projet'!$E$13+1,1))</f>
        <v>445.01146841309549</v>
      </c>
      <c r="CZ173" s="59">
        <f t="shared" si="150"/>
        <v>315.40159257508969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84.428751685397003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84.428751685397003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-1.1368683772161603E-13</v>
      </c>
      <c r="DP173" s="17">
        <f>DO173*VLOOKUP('Données projet'!$B$14,Paramètres!$A$1:$I$89,3,0)*VLOOKUP('Données projet'!$B$14,Paramètres!$A$1:$I$89,5,0)</f>
        <v>-6.3550942286383367E-14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349.00268383833668</v>
      </c>
      <c r="DU173" s="59">
        <f t="shared" si="152"/>
        <v>459.94854391583749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23.241852252926588</v>
      </c>
      <c r="EB173" s="21">
        <f>EXP(-LN(2)/25)*EB172+(1-EXP(-LN(2)/25))/(LN(2)/25)*Calculateur!DW173*Calculateur!DY173*VLOOKUP('Données projet'!$B$14,Paramètres!$A$1:$I$89,3,0)*0.475*44/12</f>
        <v>2.3754309372987241</v>
      </c>
      <c r="EC173" s="21">
        <f>EXP(-LN(2)/2)*EC172+(1-EXP(-LN(2)/2))/(LN(2)/2)*DW173*DZ173*VLOOKUP('Données projet'!$B$14,Paramètres!$A$1:$I$89,3,0)*0.475*44/12</f>
        <v>1.6761376811144013E-16</v>
      </c>
      <c r="ED173" s="22">
        <f t="shared" si="178"/>
        <v>25.617283190225312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1.7053025658242404E-13</v>
      </c>
      <c r="EK173" s="17">
        <f>EJ173*VLOOKUP('Données projet'!$B$15,Paramètres!$A$1:$I$89,3,0)*VLOOKUP('Données projet'!$B$15,Paramètres!$A$1:$I$89,5,0)</f>
        <v>1.3301360013429075E-13</v>
      </c>
      <c r="EL173" s="13">
        <f t="shared" si="179"/>
        <v>1.9329766731057041E-12</v>
      </c>
      <c r="EM173" s="20">
        <f t="shared" si="180"/>
        <v>3.5982663925596575E-12</v>
      </c>
      <c r="EN173" s="59">
        <f t="shared" si="128"/>
        <v>288.65398521628947</v>
      </c>
      <c r="EO173" s="59">
        <f ca="1">AVERAGE(OFFSET($EN$3,0,0,'Données projet'!$E$15+1,1))-AVERAGE(OFFSET($H$3,0,0,'Données projet'!$E$15+1,1))</f>
        <v>308.82719216177946</v>
      </c>
      <c r="EP173" s="59">
        <f t="shared" si="154"/>
        <v>302.59481222418219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10.977777593160368</v>
      </c>
      <c r="EW173" s="21">
        <f>EXP(-LN(2)/25)*EW172+(1-EXP(-LN(2)/25))/(LN(2)/25)*Calculateur!ER173*Calculateur!ET173*VLOOKUP('Données projet'!$B$15,Paramètres!$A$1:$I$89,3,0)*0.475*44/12</f>
        <v>4.1465216921976831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15.124299285358052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288.73516144467351</v>
      </c>
      <c r="S174" s="59">
        <f ca="1">AVERAGE(OFFSET($R$3,0,0,'Données projet'!$E$9+1,1))-AVERAGE(OFFSET($H$3,0,0,'Données projet'!$E$9+1,1))</f>
        <v>421.33534980160005</v>
      </c>
      <c r="T174" s="59">
        <f t="shared" si="142"/>
        <v>299.0473530693472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5.763922672485933E-13</v>
      </c>
      <c r="AK174" s="13">
        <f t="shared" si="164"/>
        <v>7.0619171555808457E-12</v>
      </c>
      <c r="AL174" s="20">
        <f t="shared" si="165"/>
        <v>1.3303388911427938E-11</v>
      </c>
      <c r="AM174" s="59">
        <f t="shared" si="113"/>
        <v>288.73516144467482</v>
      </c>
      <c r="AN174" s="59">
        <f ca="1">AVERAGE(OFFSET($AM$3,0,0,'Données projet'!$E$10+1,1))-AVERAGE(OFFSET($H$3,0,0,'Données projet'!$E$10+1,1))</f>
        <v>462.74754756814662</v>
      </c>
      <c r="AO174" s="59">
        <f t="shared" si="144"/>
        <v>327.65191293226667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86.778308040072574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86.778308040072574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5.6843418860808015E-13</v>
      </c>
      <c r="BE174" s="13">
        <f>BD174*VLOOKUP('Données projet'!$B$11,Paramètres!$A$1:$I$89,3,0)*VLOOKUP('Données projet'!$B$11,Paramètres!$A$1:$I$89,5,0)</f>
        <v>3.8130565371830017E-13</v>
      </c>
      <c r="BF174" s="13">
        <f t="shared" si="167"/>
        <v>4.9019074112354236E-12</v>
      </c>
      <c r="BG174" s="20">
        <f t="shared" si="168"/>
        <v>9.2015960881277352E-12</v>
      </c>
      <c r="BH174" s="59">
        <f t="shared" si="116"/>
        <v>288.73516144467072</v>
      </c>
      <c r="BI174" s="59">
        <f ca="1">AVERAGE(OFFSET($BH$3,0,0,'Données projet'!$E$11+1,1))-AVERAGE(OFFSET($H$3,0,0,'Données projet'!$E$11+1,1))</f>
        <v>332.21938212432008</v>
      </c>
      <c r="BJ174" s="59">
        <f t="shared" si="146"/>
        <v>237.47732529948181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70.75769732498226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70.75769732498226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5.4092197387944907E-13</v>
      </c>
      <c r="CA174" s="13">
        <f t="shared" si="170"/>
        <v>6.6765148417791561E-12</v>
      </c>
      <c r="CB174" s="20">
        <f t="shared" si="171"/>
        <v>1.2570369120605403E-11</v>
      </c>
      <c r="CC174" s="59">
        <f t="shared" si="119"/>
        <v>288.73516144467408</v>
      </c>
      <c r="CD174" s="59">
        <f ca="1">AVERAGE(OFFSET($CC$3,0,0,'Données projet'!$E$12+1,1))-AVERAGE(OFFSET($H$3,0,0,'Données projet'!$E$12+1,1))</f>
        <v>439.09551305860475</v>
      </c>
      <c r="CE174" s="59">
        <f t="shared" si="148"/>
        <v>311.31528017256846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81.438104468375869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81.438104468375869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5.6843418860808015E-13</v>
      </c>
      <c r="CU174" s="17">
        <f>CT174*VLOOKUP('Données projet'!$B$13,Paramètres!$A$1:$I$89,3,0)*VLOOKUP('Données projet'!$B$13,Paramètres!$A$1:$I$89,5,0)</f>
        <v>5.4978954722173515E-13</v>
      </c>
      <c r="CV174" s="13">
        <f t="shared" si="173"/>
        <v>6.7731340873355904E-12</v>
      </c>
      <c r="CW174" s="20">
        <f t="shared" si="174"/>
        <v>1.2754091996854009E-11</v>
      </c>
      <c r="CX174" s="59">
        <f t="shared" si="122"/>
        <v>288.73516144467425</v>
      </c>
      <c r="CY174" s="59">
        <f ca="1">AVERAGE(OFFSET($CX$3,0,0,'Données projet'!$E$13+1,1))-AVERAGE(OFFSET($H$3,0,0,'Données projet'!$E$13+1,1))</f>
        <v>445.01146841309549</v>
      </c>
      <c r="CZ174" s="59">
        <f t="shared" si="150"/>
        <v>315.40159257508969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82.773155361300041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82.773155361300041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-1.1368683772161603E-13</v>
      </c>
      <c r="DP174" s="17">
        <f>DO174*VLOOKUP('Données projet'!$B$14,Paramètres!$A$1:$I$89,3,0)*VLOOKUP('Données projet'!$B$14,Paramètres!$A$1:$I$89,5,0)</f>
        <v>-6.3550942286383367E-14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349.00268383833668</v>
      </c>
      <c r="DU174" s="59">
        <f t="shared" si="152"/>
        <v>459.94854391583749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22.786093706376796</v>
      </c>
      <c r="EB174" s="21">
        <f>EXP(-LN(2)/25)*EB173+(1-EXP(-LN(2)/25))/(LN(2)/25)*Calculateur!DW174*Calculateur!DY174*VLOOKUP('Données projet'!$B$14,Paramètres!$A$1:$I$89,3,0)*0.475*44/12</f>
        <v>2.3104746533998068</v>
      </c>
      <c r="EC174" s="21">
        <f>EXP(-LN(2)/2)*EC173+(1-EXP(-LN(2)/2))/(LN(2)/2)*DW174*DZ174*VLOOKUP('Données projet'!$B$14,Paramètres!$A$1:$I$89,3,0)*0.475*44/12</f>
        <v>1.1852083205182882E-16</v>
      </c>
      <c r="ED174" s="22">
        <f t="shared" si="178"/>
        <v>25.096568359776604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1.7053025658242404E-13</v>
      </c>
      <c r="EK174" s="17">
        <f>EJ174*VLOOKUP('Données projet'!$B$15,Paramètres!$A$1:$I$89,3,0)*VLOOKUP('Données projet'!$B$15,Paramètres!$A$1:$I$89,5,0)</f>
        <v>1.3301360013429075E-13</v>
      </c>
      <c r="EL174" s="13">
        <f t="shared" si="179"/>
        <v>1.9329766731057041E-12</v>
      </c>
      <c r="EM174" s="20">
        <f t="shared" si="180"/>
        <v>3.5982663925596575E-12</v>
      </c>
      <c r="EN174" s="59">
        <f t="shared" si="128"/>
        <v>288.7351614446651</v>
      </c>
      <c r="EO174" s="59">
        <f ca="1">AVERAGE(OFFSET($EN$3,0,0,'Données projet'!$E$15+1,1))-AVERAGE(OFFSET($H$3,0,0,'Données projet'!$E$15+1,1))</f>
        <v>308.82719216177946</v>
      </c>
      <c r="EP174" s="59">
        <f t="shared" si="154"/>
        <v>302.59481222418219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10.762510070341671</v>
      </c>
      <c r="EW174" s="21">
        <f>EXP(-LN(2)/25)*EW173+(1-EXP(-LN(2)/25))/(LN(2)/25)*Calculateur!ER174*Calculateur!ET174*VLOOKUP('Données projet'!$B$15,Paramètres!$A$1:$I$89,3,0)*0.475*44/12</f>
        <v>4.0331348384684382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14.795644908810109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288.81492944696964</v>
      </c>
      <c r="S175" s="59">
        <f ca="1">AVERAGE(OFFSET($R$3,0,0,'Données projet'!$E$9+1,1))-AVERAGE(OFFSET($H$3,0,0,'Données projet'!$E$9+1,1))</f>
        <v>421.33534980160005</v>
      </c>
      <c r="T175" s="59">
        <f t="shared" si="142"/>
        <v>299.0473530693472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5.763922672485933E-13</v>
      </c>
      <c r="AK175" s="13">
        <f t="shared" si="164"/>
        <v>7.0619171555808457E-12</v>
      </c>
      <c r="AL175" s="20">
        <f t="shared" si="165"/>
        <v>1.3303388911427938E-11</v>
      </c>
      <c r="AM175" s="59">
        <f t="shared" si="113"/>
        <v>288.81492944697095</v>
      </c>
      <c r="AN175" s="59">
        <f ca="1">AVERAGE(OFFSET($AM$3,0,0,'Données projet'!$E$10+1,1))-AVERAGE(OFFSET($H$3,0,0,'Données projet'!$E$10+1,1))</f>
        <v>462.74754756814662</v>
      </c>
      <c r="AO175" s="59">
        <f t="shared" si="144"/>
        <v>327.65191293226667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85.076638348948293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85.076638348948293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5.6843418860808015E-13</v>
      </c>
      <c r="BE175" s="13">
        <f>BD175*VLOOKUP('Données projet'!$B$11,Paramètres!$A$1:$I$89,3,0)*VLOOKUP('Données projet'!$B$11,Paramètres!$A$1:$I$89,5,0)</f>
        <v>3.8130565371830017E-13</v>
      </c>
      <c r="BF175" s="13">
        <f t="shared" si="167"/>
        <v>4.9019074112354236E-12</v>
      </c>
      <c r="BG175" s="20">
        <f t="shared" si="168"/>
        <v>9.2015960881277352E-12</v>
      </c>
      <c r="BH175" s="59">
        <f t="shared" si="116"/>
        <v>288.81492944696686</v>
      </c>
      <c r="BI175" s="59">
        <f ca="1">AVERAGE(OFFSET($BH$3,0,0,'Données projet'!$E$11+1,1))-AVERAGE(OFFSET($H$3,0,0,'Données projet'!$E$11+1,1))</f>
        <v>332.21938212432008</v>
      </c>
      <c r="BJ175" s="59">
        <f t="shared" si="146"/>
        <v>237.47732529948181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69.37018203837323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69.37018203837323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5.4092197387944907E-13</v>
      </c>
      <c r="CA175" s="13">
        <f t="shared" si="170"/>
        <v>6.6765148417791561E-12</v>
      </c>
      <c r="CB175" s="20">
        <f t="shared" si="171"/>
        <v>1.2570369120605403E-11</v>
      </c>
      <c r="CC175" s="59">
        <f t="shared" si="119"/>
        <v>288.81492944697021</v>
      </c>
      <c r="CD175" s="59">
        <f ca="1">AVERAGE(OFFSET($CC$3,0,0,'Données projet'!$E$12+1,1))-AVERAGE(OFFSET($H$3,0,0,'Données projet'!$E$12+1,1))</f>
        <v>439.09551305860475</v>
      </c>
      <c r="CE175" s="59">
        <f t="shared" si="148"/>
        <v>311.31528017256846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79.84115291209001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79.84115291209001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5.6843418860808015E-13</v>
      </c>
      <c r="CU175" s="17">
        <f>CT175*VLOOKUP('Données projet'!$B$13,Paramètres!$A$1:$I$89,3,0)*VLOOKUP('Données projet'!$B$13,Paramètres!$A$1:$I$89,5,0)</f>
        <v>5.4978954722173515E-13</v>
      </c>
      <c r="CV175" s="13">
        <f t="shared" si="173"/>
        <v>6.7731340873355904E-12</v>
      </c>
      <c r="CW175" s="20">
        <f t="shared" si="174"/>
        <v>1.2754091996854009E-11</v>
      </c>
      <c r="CX175" s="59">
        <f t="shared" si="122"/>
        <v>288.81492944697038</v>
      </c>
      <c r="CY175" s="59">
        <f ca="1">AVERAGE(OFFSET($CX$3,0,0,'Données projet'!$E$13+1,1))-AVERAGE(OFFSET($H$3,0,0,'Données projet'!$E$13+1,1))</f>
        <v>445.01146841309549</v>
      </c>
      <c r="CZ175" s="59">
        <f t="shared" si="150"/>
        <v>315.40159257508969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81.150024271304574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81.150024271304574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-1.1368683772161603E-13</v>
      </c>
      <c r="DP175" s="17">
        <f>DO175*VLOOKUP('Données projet'!$B$14,Paramètres!$A$1:$I$89,3,0)*VLOOKUP('Données projet'!$B$14,Paramètres!$A$1:$I$89,5,0)</f>
        <v>-6.3550942286383367E-14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349.00268383833668</v>
      </c>
      <c r="DU175" s="59">
        <f t="shared" si="152"/>
        <v>459.94854391583749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22.339272306939581</v>
      </c>
      <c r="EB175" s="21">
        <f>EXP(-LN(2)/25)*EB174+(1-EXP(-LN(2)/25))/(LN(2)/25)*Calculateur!DW175*Calculateur!DY175*VLOOKUP('Données projet'!$B$14,Paramètres!$A$1:$I$89,3,0)*0.475*44/12</f>
        <v>2.2472946025000078</v>
      </c>
      <c r="EC175" s="21">
        <f>EXP(-LN(2)/2)*EC174+(1-EXP(-LN(2)/2))/(LN(2)/2)*DW175*DZ175*VLOOKUP('Données projet'!$B$14,Paramètres!$A$1:$I$89,3,0)*0.475*44/12</f>
        <v>8.3806884055720067E-17</v>
      </c>
      <c r="ED175" s="22">
        <f t="shared" si="178"/>
        <v>24.58656690943959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1.7053025658242404E-13</v>
      </c>
      <c r="EK175" s="17">
        <f>EJ175*VLOOKUP('Données projet'!$B$15,Paramètres!$A$1:$I$89,3,0)*VLOOKUP('Données projet'!$B$15,Paramètres!$A$1:$I$89,5,0)</f>
        <v>1.3301360013429075E-13</v>
      </c>
      <c r="EL175" s="13">
        <f t="shared" si="179"/>
        <v>1.9329766731057041E-12</v>
      </c>
      <c r="EM175" s="20">
        <f t="shared" si="180"/>
        <v>3.5982663925596575E-12</v>
      </c>
      <c r="EN175" s="59">
        <f t="shared" si="128"/>
        <v>288.81492944696123</v>
      </c>
      <c r="EO175" s="59">
        <f ca="1">AVERAGE(OFFSET($EN$3,0,0,'Données projet'!$E$15+1,1))-AVERAGE(OFFSET($H$3,0,0,'Données projet'!$E$15+1,1))</f>
        <v>308.82719216177946</v>
      </c>
      <c r="EP175" s="59">
        <f t="shared" si="154"/>
        <v>302.59481222418219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10.551463812345224</v>
      </c>
      <c r="EW175" s="21">
        <f>EXP(-LN(2)/25)*EW174+(1-EXP(-LN(2)/25))/(LN(2)/25)*Calculateur!ER175*Calculateur!ET175*VLOOKUP('Données projet'!$B$15,Paramètres!$A$1:$I$89,3,0)*0.475*44/12</f>
        <v>3.9228485542171754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14.474312366562399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288.89331365276047</v>
      </c>
      <c r="S176" s="59">
        <f ca="1">AVERAGE(OFFSET($R$3,0,0,'Données projet'!$E$9+1,1))-AVERAGE(OFFSET($H$3,0,0,'Données projet'!$E$9+1,1))</f>
        <v>421.33534980160005</v>
      </c>
      <c r="T176" s="59">
        <f t="shared" si="142"/>
        <v>299.0473530693472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5.763922672485933E-13</v>
      </c>
      <c r="AK176" s="13">
        <f t="shared" si="164"/>
        <v>7.0619171555808457E-12</v>
      </c>
      <c r="AL176" s="20">
        <f t="shared" si="165"/>
        <v>1.3303388911427938E-11</v>
      </c>
      <c r="AM176" s="59">
        <f t="shared" si="113"/>
        <v>288.89331365276178</v>
      </c>
      <c r="AN176" s="59">
        <f ca="1">AVERAGE(OFFSET($AM$3,0,0,'Données projet'!$E$10+1,1))-AVERAGE(OFFSET($H$3,0,0,'Données projet'!$E$10+1,1))</f>
        <v>462.74754756814662</v>
      </c>
      <c r="AO176" s="59">
        <f t="shared" si="144"/>
        <v>327.65191293226667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83.408337362550938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83.408337362550938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5.6843418860808015E-13</v>
      </c>
      <c r="BE176" s="13">
        <f>BD176*VLOOKUP('Données projet'!$B$11,Paramètres!$A$1:$I$89,3,0)*VLOOKUP('Données projet'!$B$11,Paramètres!$A$1:$I$89,5,0)</f>
        <v>3.8130565371830017E-13</v>
      </c>
      <c r="BF176" s="13">
        <f t="shared" si="167"/>
        <v>4.9019074112354236E-12</v>
      </c>
      <c r="BG176" s="20">
        <f t="shared" si="168"/>
        <v>9.2015960881277352E-12</v>
      </c>
      <c r="BH176" s="59">
        <f t="shared" si="116"/>
        <v>288.89331365275768</v>
      </c>
      <c r="BI176" s="59">
        <f ca="1">AVERAGE(OFFSET($BH$3,0,0,'Données projet'!$E$11+1,1))-AVERAGE(OFFSET($H$3,0,0,'Données projet'!$E$11+1,1))</f>
        <v>332.21938212432008</v>
      </c>
      <c r="BJ176" s="59">
        <f t="shared" si="146"/>
        <v>237.47732529948181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68.009875080233854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68.009875080233854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5.4092197387944907E-13</v>
      </c>
      <c r="CA176" s="13">
        <f t="shared" si="170"/>
        <v>6.6765148417791561E-12</v>
      </c>
      <c r="CB176" s="20">
        <f t="shared" si="171"/>
        <v>1.2570369120605403E-11</v>
      </c>
      <c r="CC176" s="59">
        <f t="shared" si="119"/>
        <v>288.89331365276104</v>
      </c>
      <c r="CD176" s="59">
        <f ca="1">AVERAGE(OFFSET($CC$3,0,0,'Données projet'!$E$12+1,1))-AVERAGE(OFFSET($H$3,0,0,'Données projet'!$E$12+1,1))</f>
        <v>439.09551305860475</v>
      </c>
      <c r="CE176" s="59">
        <f t="shared" si="148"/>
        <v>311.31528017256846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78.275516601778648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78.275516601778648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5.6843418860808015E-13</v>
      </c>
      <c r="CU176" s="17">
        <f>CT176*VLOOKUP('Données projet'!$B$13,Paramètres!$A$1:$I$89,3,0)*VLOOKUP('Données projet'!$B$13,Paramètres!$A$1:$I$89,5,0)</f>
        <v>5.4978954722173515E-13</v>
      </c>
      <c r="CV176" s="13">
        <f t="shared" si="173"/>
        <v>6.7731340873355904E-12</v>
      </c>
      <c r="CW176" s="20">
        <f t="shared" si="174"/>
        <v>1.2754091996854009E-11</v>
      </c>
      <c r="CX176" s="59">
        <f t="shared" si="122"/>
        <v>288.89331365276121</v>
      </c>
      <c r="CY176" s="59">
        <f ca="1">AVERAGE(OFFSET($CX$3,0,0,'Données projet'!$E$13+1,1))-AVERAGE(OFFSET($H$3,0,0,'Données projet'!$E$13+1,1))</f>
        <v>445.01146841309549</v>
      </c>
      <c r="CZ176" s="59">
        <f t="shared" si="150"/>
        <v>315.40159257508969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79.558721791971706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79.558721791971706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-1.1368683772161603E-13</v>
      </c>
      <c r="DP176" s="17">
        <f>DO176*VLOOKUP('Données projet'!$B$14,Paramètres!$A$1:$I$89,3,0)*VLOOKUP('Données projet'!$B$14,Paramètres!$A$1:$I$89,5,0)</f>
        <v>-6.3550942286383367E-14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349.00268383833668</v>
      </c>
      <c r="DU176" s="59">
        <f t="shared" si="152"/>
        <v>459.94854391583749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21.901212802611184</v>
      </c>
      <c r="EB176" s="21">
        <f>EXP(-LN(2)/25)*EB175+(1-EXP(-LN(2)/25))/(LN(2)/25)*Calculateur!DW176*Calculateur!DY176*VLOOKUP('Données projet'!$B$14,Paramètres!$A$1:$I$89,3,0)*0.475*44/12</f>
        <v>2.1858422134145581</v>
      </c>
      <c r="EC176" s="21">
        <f>EXP(-LN(2)/2)*EC175+(1-EXP(-LN(2)/2))/(LN(2)/2)*DW176*DZ176*VLOOKUP('Données projet'!$B$14,Paramètres!$A$1:$I$89,3,0)*0.475*44/12</f>
        <v>5.9260416025914408E-17</v>
      </c>
      <c r="ED176" s="22">
        <f t="shared" si="178"/>
        <v>24.087055016025744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1.7053025658242404E-13</v>
      </c>
      <c r="EK176" s="17">
        <f>EJ176*VLOOKUP('Données projet'!$B$15,Paramètres!$A$1:$I$89,3,0)*VLOOKUP('Données projet'!$B$15,Paramètres!$A$1:$I$89,5,0)</f>
        <v>1.3301360013429075E-13</v>
      </c>
      <c r="EL176" s="13">
        <f t="shared" si="179"/>
        <v>1.9329766731057041E-12</v>
      </c>
      <c r="EM176" s="20">
        <f t="shared" si="180"/>
        <v>3.5982663925596575E-12</v>
      </c>
      <c r="EN176" s="59">
        <f t="shared" si="128"/>
        <v>288.89331365275206</v>
      </c>
      <c r="EO176" s="59">
        <f ca="1">AVERAGE(OFFSET($EN$3,0,0,'Données projet'!$E$15+1,1))-AVERAGE(OFFSET($H$3,0,0,'Données projet'!$E$15+1,1))</f>
        <v>308.82719216177946</v>
      </c>
      <c r="EP176" s="59">
        <f t="shared" si="154"/>
        <v>302.59481222418219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10.344556042742582</v>
      </c>
      <c r="EW176" s="21">
        <f>EXP(-LN(2)/25)*EW175+(1-EXP(-LN(2)/25))/(LN(2)/25)*Calculateur!ER176*Calculateur!ET176*VLOOKUP('Données projet'!$B$15,Paramètres!$A$1:$I$89,3,0)*0.475*44/12</f>
        <v>3.815578054208467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14.160134096951049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288.97033806782173</v>
      </c>
      <c r="S177" s="59">
        <f ca="1">AVERAGE(OFFSET($R$3,0,0,'Données projet'!$E$9+1,1))-AVERAGE(OFFSET($H$3,0,0,'Données projet'!$E$9+1,1))</f>
        <v>421.33534980160005</v>
      </c>
      <c r="T177" s="59">
        <f t="shared" si="142"/>
        <v>299.0473530693472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5.763922672485933E-13</v>
      </c>
      <c r="AK177" s="13">
        <f t="shared" si="164"/>
        <v>7.0619171555808457E-12</v>
      </c>
      <c r="AL177" s="20">
        <f t="shared" si="165"/>
        <v>1.3303388911427938E-11</v>
      </c>
      <c r="AM177" s="59">
        <f t="shared" si="113"/>
        <v>288.97033806782304</v>
      </c>
      <c r="AN177" s="59">
        <f ca="1">AVERAGE(OFFSET($AM$3,0,0,'Données projet'!$E$10+1,1))-AVERAGE(OFFSET($H$3,0,0,'Données projet'!$E$10+1,1))</f>
        <v>462.74754756814662</v>
      </c>
      <c r="AO177" s="59">
        <f t="shared" si="144"/>
        <v>327.65191293226667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81.772750740933702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81.772750740933702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5.6843418860808015E-13</v>
      </c>
      <c r="BE177" s="13">
        <f>BD177*VLOOKUP('Données projet'!$B$11,Paramètres!$A$1:$I$89,3,0)*VLOOKUP('Données projet'!$B$11,Paramètres!$A$1:$I$89,5,0)</f>
        <v>3.8130565371830017E-13</v>
      </c>
      <c r="BF177" s="13">
        <f t="shared" si="167"/>
        <v>4.9019074112354236E-12</v>
      </c>
      <c r="BG177" s="20">
        <f t="shared" si="168"/>
        <v>9.2015960881277352E-12</v>
      </c>
      <c r="BH177" s="59">
        <f t="shared" si="116"/>
        <v>288.97033806781894</v>
      </c>
      <c r="BI177" s="59">
        <f ca="1">AVERAGE(OFFSET($BH$3,0,0,'Données projet'!$E$11+1,1))-AVERAGE(OFFSET($H$3,0,0,'Données projet'!$E$11+1,1))</f>
        <v>332.21938212432008</v>
      </c>
      <c r="BJ177" s="59">
        <f t="shared" si="146"/>
        <v>237.47732529948181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66.676242911838273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66.676242911838273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5.4092197387944907E-13</v>
      </c>
      <c r="CA177" s="13">
        <f t="shared" si="170"/>
        <v>6.6765148417791561E-12</v>
      </c>
      <c r="CB177" s="20">
        <f t="shared" si="171"/>
        <v>1.2570369120605403E-11</v>
      </c>
      <c r="CC177" s="59">
        <f t="shared" si="119"/>
        <v>288.9703380678223</v>
      </c>
      <c r="CD177" s="59">
        <f ca="1">AVERAGE(OFFSET($CC$3,0,0,'Données projet'!$E$12+1,1))-AVERAGE(OFFSET($H$3,0,0,'Données projet'!$E$12+1,1))</f>
        <v>439.09551305860475</v>
      </c>
      <c r="CE177" s="59">
        <f t="shared" si="148"/>
        <v>311.31528017256846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76.740581464568635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76.740581464568635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5.6843418860808015E-13</v>
      </c>
      <c r="CU177" s="17">
        <f>CT177*VLOOKUP('Données projet'!$B$13,Paramètres!$A$1:$I$89,3,0)*VLOOKUP('Données projet'!$B$13,Paramètres!$A$1:$I$89,5,0)</f>
        <v>5.4978954722173515E-13</v>
      </c>
      <c r="CV177" s="13">
        <f t="shared" si="173"/>
        <v>6.7731340873355904E-12</v>
      </c>
      <c r="CW177" s="20">
        <f t="shared" si="174"/>
        <v>1.2754091996854009E-11</v>
      </c>
      <c r="CX177" s="59">
        <f t="shared" si="122"/>
        <v>288.97033806782247</v>
      </c>
      <c r="CY177" s="59">
        <f ca="1">AVERAGE(OFFSET($CX$3,0,0,'Données projet'!$E$13+1,1))-AVERAGE(OFFSET($H$3,0,0,'Données projet'!$E$13+1,1))</f>
        <v>445.01146841309549</v>
      </c>
      <c r="CZ177" s="59">
        <f t="shared" si="150"/>
        <v>315.40159257508969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77.99862378365988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77.99862378365988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-1.1368683772161603E-13</v>
      </c>
      <c r="DP177" s="17">
        <f>DO177*VLOOKUP('Données projet'!$B$14,Paramètres!$A$1:$I$89,3,0)*VLOOKUP('Données projet'!$B$14,Paramètres!$A$1:$I$89,5,0)</f>
        <v>-6.3550942286383367E-14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349.00268383833668</v>
      </c>
      <c r="DU177" s="59">
        <f t="shared" si="152"/>
        <v>459.94854391583749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21.471743377972754</v>
      </c>
      <c r="EB177" s="21">
        <f>EXP(-LN(2)/25)*EB176+(1-EXP(-LN(2)/25))/(LN(2)/25)*Calculateur!DW177*Calculateur!DY177*VLOOKUP('Données projet'!$B$14,Paramètres!$A$1:$I$89,3,0)*0.475*44/12</f>
        <v>2.1260702431402909</v>
      </c>
      <c r="EC177" s="21">
        <f>EXP(-LN(2)/2)*EC176+(1-EXP(-LN(2)/2))/(LN(2)/2)*DW177*DZ177*VLOOKUP('Données projet'!$B$14,Paramètres!$A$1:$I$89,3,0)*0.475*44/12</f>
        <v>4.1903442027860034E-17</v>
      </c>
      <c r="ED177" s="22">
        <f t="shared" si="178"/>
        <v>23.597813621113044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1.7053025658242404E-13</v>
      </c>
      <c r="EK177" s="17">
        <f>EJ177*VLOOKUP('Données projet'!$B$15,Paramètres!$A$1:$I$89,3,0)*VLOOKUP('Données projet'!$B$15,Paramètres!$A$1:$I$89,5,0)</f>
        <v>1.3301360013429075E-13</v>
      </c>
      <c r="EL177" s="13">
        <f t="shared" si="179"/>
        <v>1.9329766731057041E-12</v>
      </c>
      <c r="EM177" s="20">
        <f t="shared" si="180"/>
        <v>3.5982663925596575E-12</v>
      </c>
      <c r="EN177" s="59">
        <f t="shared" si="128"/>
        <v>288.97033806781332</v>
      </c>
      <c r="EO177" s="59">
        <f ca="1">AVERAGE(OFFSET($EN$3,0,0,'Données projet'!$E$15+1,1))-AVERAGE(OFFSET($H$3,0,0,'Données projet'!$E$15+1,1))</f>
        <v>308.82719216177946</v>
      </c>
      <c r="EP177" s="59">
        <f t="shared" si="154"/>
        <v>302.59481222418219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10.141705608300569</v>
      </c>
      <c r="EW177" s="21">
        <f>EXP(-LN(2)/25)*EW176+(1-EXP(-LN(2)/25))/(LN(2)/25)*Calculateur!ER177*Calculateur!ET177*VLOOKUP('Données projet'!$B$15,Paramètres!$A$1:$I$89,3,0)*0.475*44/12</f>
        <v>3.7112408716636072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13.852946479964176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289.0460262814824</v>
      </c>
      <c r="S178" s="59">
        <f ca="1">AVERAGE(OFFSET($R$3,0,0,'Données projet'!$E$9+1,1))-AVERAGE(OFFSET($H$3,0,0,'Données projet'!$E$9+1,1))</f>
        <v>421.33534980160005</v>
      </c>
      <c r="T178" s="59">
        <f t="shared" si="142"/>
        <v>299.0473530693472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5.763922672485933E-13</v>
      </c>
      <c r="AK178" s="13">
        <f t="shared" si="164"/>
        <v>7.0619171555808457E-12</v>
      </c>
      <c r="AL178" s="20">
        <f t="shared" si="165"/>
        <v>1.3303388911427938E-11</v>
      </c>
      <c r="AM178" s="59">
        <f t="shared" si="113"/>
        <v>289.04602628148371</v>
      </c>
      <c r="AN178" s="59">
        <f ca="1">AVERAGE(OFFSET($AM$3,0,0,'Données projet'!$E$10+1,1))-AVERAGE(OFFSET($H$3,0,0,'Données projet'!$E$10+1,1))</f>
        <v>462.74754756814662</v>
      </c>
      <c r="AO178" s="59">
        <f t="shared" si="144"/>
        <v>327.65191293226667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80.169236975357052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80.169236975357052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5.6843418860808015E-13</v>
      </c>
      <c r="BE178" s="13">
        <f>BD178*VLOOKUP('Données projet'!$B$11,Paramètres!$A$1:$I$89,3,0)*VLOOKUP('Données projet'!$B$11,Paramètres!$A$1:$I$89,5,0)</f>
        <v>3.8130565371830017E-13</v>
      </c>
      <c r="BF178" s="13">
        <f t="shared" si="167"/>
        <v>4.9019074112354236E-12</v>
      </c>
      <c r="BG178" s="20">
        <f t="shared" si="168"/>
        <v>9.2015960881277352E-12</v>
      </c>
      <c r="BH178" s="59">
        <f t="shared" si="116"/>
        <v>289.04602628147961</v>
      </c>
      <c r="BI178" s="59">
        <f ca="1">AVERAGE(OFFSET($BH$3,0,0,'Données projet'!$E$11+1,1))-AVERAGE(OFFSET($H$3,0,0,'Données projet'!$E$11+1,1))</f>
        <v>332.21938212432008</v>
      </c>
      <c r="BJ178" s="59">
        <f t="shared" si="146"/>
        <v>237.47732529948181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65.368762456829614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65.368762456829614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5.4092197387944907E-13</v>
      </c>
      <c r="CA178" s="13">
        <f t="shared" si="170"/>
        <v>6.6765148417791561E-12</v>
      </c>
      <c r="CB178" s="20">
        <f t="shared" si="171"/>
        <v>1.2570369120605403E-11</v>
      </c>
      <c r="CC178" s="59">
        <f t="shared" si="119"/>
        <v>289.04602628148297</v>
      </c>
      <c r="CD178" s="59">
        <f ca="1">AVERAGE(OFFSET($CC$3,0,0,'Données projet'!$E$12+1,1))-AVERAGE(OFFSET($H$3,0,0,'Données projet'!$E$12+1,1))</f>
        <v>439.09551305860475</v>
      </c>
      <c r="CE178" s="59">
        <f t="shared" si="148"/>
        <v>311.31528017256846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75.23574546918131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75.23574546918131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5.6843418860808015E-13</v>
      </c>
      <c r="CU178" s="17">
        <f>CT178*VLOOKUP('Données projet'!$B$13,Paramètres!$A$1:$I$89,3,0)*VLOOKUP('Données projet'!$B$13,Paramètres!$A$1:$I$89,5,0)</f>
        <v>5.4978954722173515E-13</v>
      </c>
      <c r="CV178" s="13">
        <f t="shared" si="173"/>
        <v>6.7731340873355904E-12</v>
      </c>
      <c r="CW178" s="20">
        <f t="shared" si="174"/>
        <v>1.2754091996854009E-11</v>
      </c>
      <c r="CX178" s="59">
        <f t="shared" si="122"/>
        <v>289.04602628148314</v>
      </c>
      <c r="CY178" s="59">
        <f ca="1">AVERAGE(OFFSET($CX$3,0,0,'Données projet'!$E$13+1,1))-AVERAGE(OFFSET($H$3,0,0,'Données projet'!$E$13+1,1))</f>
        <v>445.01146841309549</v>
      </c>
      <c r="CZ178" s="59">
        <f t="shared" si="150"/>
        <v>315.40159257508969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76.469118345725235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76.469118345725235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-1.1368683772161603E-13</v>
      </c>
      <c r="DP178" s="17">
        <f>DO178*VLOOKUP('Données projet'!$B$14,Paramètres!$A$1:$I$89,3,0)*VLOOKUP('Données projet'!$B$14,Paramètres!$A$1:$I$89,5,0)</f>
        <v>-6.3550942286383367E-14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349.00268383833668</v>
      </c>
      <c r="DU178" s="59">
        <f t="shared" si="152"/>
        <v>459.94854391583749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21.050695586800998</v>
      </c>
      <c r="EB178" s="21">
        <f>EXP(-LN(2)/25)*EB177+(1-EXP(-LN(2)/25))/(LN(2)/25)*Calculateur!DW178*Calculateur!DY178*VLOOKUP('Données projet'!$B$14,Paramètres!$A$1:$I$89,3,0)*0.475*44/12</f>
        <v>2.0679327405364449</v>
      </c>
      <c r="EC178" s="21">
        <f>EXP(-LN(2)/2)*EC177+(1-EXP(-LN(2)/2))/(LN(2)/2)*DW178*DZ178*VLOOKUP('Données projet'!$B$14,Paramètres!$A$1:$I$89,3,0)*0.475*44/12</f>
        <v>2.9630208012957204E-17</v>
      </c>
      <c r="ED178" s="22">
        <f t="shared" si="178"/>
        <v>23.118628327337444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1.7053025658242404E-13</v>
      </c>
      <c r="EK178" s="17">
        <f>EJ178*VLOOKUP('Données projet'!$B$15,Paramètres!$A$1:$I$89,3,0)*VLOOKUP('Données projet'!$B$15,Paramètres!$A$1:$I$89,5,0)</f>
        <v>1.3301360013429075E-13</v>
      </c>
      <c r="EL178" s="13">
        <f t="shared" si="179"/>
        <v>1.9329766731057041E-12</v>
      </c>
      <c r="EM178" s="20">
        <f t="shared" si="180"/>
        <v>3.5982663925596575E-12</v>
      </c>
      <c r="EN178" s="59">
        <f t="shared" si="128"/>
        <v>289.04602628147398</v>
      </c>
      <c r="EO178" s="59">
        <f ca="1">AVERAGE(OFFSET($EN$3,0,0,'Données projet'!$E$15+1,1))-AVERAGE(OFFSET($H$3,0,0,'Données projet'!$E$15+1,1))</f>
        <v>308.82719216177946</v>
      </c>
      <c r="EP178" s="59">
        <f t="shared" si="154"/>
        <v>302.59481222418219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9.9428329471514161</v>
      </c>
      <c r="EW178" s="21">
        <f>EXP(-LN(2)/25)*EW177+(1-EXP(-LN(2)/25))/(LN(2)/25)*Calculateur!ER178*Calculateur!ET178*VLOOKUP('Données projet'!$B$15,Paramètres!$A$1:$I$89,3,0)*0.475*44/12</f>
        <v>3.6097567948622906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13.552589742013707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289.1204014738496</v>
      </c>
      <c r="S179" s="59">
        <f ca="1">AVERAGE(OFFSET($R$3,0,0,'Données projet'!$E$9+1,1))-AVERAGE(OFFSET($H$3,0,0,'Données projet'!$E$9+1,1))</f>
        <v>421.33534980160005</v>
      </c>
      <c r="T179" s="59">
        <f t="shared" si="142"/>
        <v>299.0473530693472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5.763922672485933E-13</v>
      </c>
      <c r="AK179" s="13">
        <f t="shared" si="164"/>
        <v>7.0619171555808457E-12</v>
      </c>
      <c r="AL179" s="20">
        <f t="shared" si="165"/>
        <v>1.3303388911427938E-11</v>
      </c>
      <c r="AM179" s="59">
        <f t="shared" si="113"/>
        <v>289.1204014738509</v>
      </c>
      <c r="AN179" s="59">
        <f ca="1">AVERAGE(OFFSET($AM$3,0,0,'Données projet'!$E$10+1,1))-AVERAGE(OFFSET($H$3,0,0,'Données projet'!$E$10+1,1))</f>
        <v>462.74754756814662</v>
      </c>
      <c r="AO179" s="59">
        <f t="shared" si="144"/>
        <v>327.65191293226667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78.597167136676532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78.597167136676532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5.6843418860808015E-13</v>
      </c>
      <c r="BE179" s="13">
        <f>BD179*VLOOKUP('Données projet'!$B$11,Paramètres!$A$1:$I$89,3,0)*VLOOKUP('Données projet'!$B$11,Paramètres!$A$1:$I$89,5,0)</f>
        <v>3.8130565371830017E-13</v>
      </c>
      <c r="BF179" s="13">
        <f t="shared" si="167"/>
        <v>4.9019074112354236E-12</v>
      </c>
      <c r="BG179" s="20">
        <f t="shared" si="168"/>
        <v>9.2015960881277352E-12</v>
      </c>
      <c r="BH179" s="59">
        <f t="shared" si="116"/>
        <v>289.12040147384681</v>
      </c>
      <c r="BI179" s="59">
        <f ca="1">AVERAGE(OFFSET($BH$3,0,0,'Données projet'!$E$11+1,1))-AVERAGE(OFFSET($H$3,0,0,'Données projet'!$E$11+1,1))</f>
        <v>332.21938212432008</v>
      </c>
      <c r="BJ179" s="59">
        <f t="shared" si="146"/>
        <v>237.47732529948181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64.086920896059354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64.086920896059354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5.4092197387944907E-13</v>
      </c>
      <c r="CA179" s="13">
        <f t="shared" si="170"/>
        <v>6.6765148417791561E-12</v>
      </c>
      <c r="CB179" s="20">
        <f t="shared" si="171"/>
        <v>1.2570369120605403E-11</v>
      </c>
      <c r="CC179" s="59">
        <f t="shared" si="119"/>
        <v>289.12040147385017</v>
      </c>
      <c r="CD179" s="59">
        <f ca="1">AVERAGE(OFFSET($CC$3,0,0,'Données projet'!$E$12+1,1))-AVERAGE(OFFSET($H$3,0,0,'Données projet'!$E$12+1,1))</f>
        <v>439.09551305860475</v>
      </c>
      <c r="CE179" s="59">
        <f t="shared" si="148"/>
        <v>311.31528017256846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73.760418389804215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73.760418389804215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5.6843418860808015E-13</v>
      </c>
      <c r="CU179" s="17">
        <f>CT179*VLOOKUP('Données projet'!$B$13,Paramètres!$A$1:$I$89,3,0)*VLOOKUP('Données projet'!$B$13,Paramètres!$A$1:$I$89,5,0)</f>
        <v>5.4978954722173515E-13</v>
      </c>
      <c r="CV179" s="13">
        <f t="shared" si="173"/>
        <v>6.7731340873355904E-12</v>
      </c>
      <c r="CW179" s="20">
        <f t="shared" si="174"/>
        <v>1.2754091996854009E-11</v>
      </c>
      <c r="CX179" s="59">
        <f t="shared" si="122"/>
        <v>289.12040147385034</v>
      </c>
      <c r="CY179" s="59">
        <f ca="1">AVERAGE(OFFSET($CX$3,0,0,'Données projet'!$E$13+1,1))-AVERAGE(OFFSET($H$3,0,0,'Données projet'!$E$13+1,1))</f>
        <v>445.01146841309549</v>
      </c>
      <c r="CZ179" s="59">
        <f t="shared" si="150"/>
        <v>315.40159257508969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74.969605576522284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74.969605576522284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-1.1368683772161603E-13</v>
      </c>
      <c r="DP179" s="17">
        <f>DO179*VLOOKUP('Données projet'!$B$14,Paramètres!$A$1:$I$89,3,0)*VLOOKUP('Données projet'!$B$14,Paramètres!$A$1:$I$89,5,0)</f>
        <v>-6.3550942286383367E-14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349.00268383833668</v>
      </c>
      <c r="DU179" s="59">
        <f t="shared" si="152"/>
        <v>459.94854391583749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20.637904286000328</v>
      </c>
      <c r="EB179" s="21">
        <f>EXP(-LN(2)/25)*EB178+(1-EXP(-LN(2)/25))/(LN(2)/25)*Calculateur!DW179*Calculateur!DY179*VLOOKUP('Données projet'!$B$14,Paramètres!$A$1:$I$89,3,0)*0.475*44/12</f>
        <v>2.0113850109986195</v>
      </c>
      <c r="EC179" s="21">
        <f>EXP(-LN(2)/2)*EC178+(1-EXP(-LN(2)/2))/(LN(2)/2)*DW179*DZ179*VLOOKUP('Données projet'!$B$14,Paramètres!$A$1:$I$89,3,0)*0.475*44/12</f>
        <v>2.0951721013930017E-17</v>
      </c>
      <c r="ED179" s="22">
        <f t="shared" si="178"/>
        <v>22.649289296998948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1.7053025658242404E-13</v>
      </c>
      <c r="EK179" s="17">
        <f>EJ179*VLOOKUP('Données projet'!$B$15,Paramètres!$A$1:$I$89,3,0)*VLOOKUP('Données projet'!$B$15,Paramètres!$A$1:$I$89,5,0)</f>
        <v>1.3301360013429075E-13</v>
      </c>
      <c r="EL179" s="13">
        <f t="shared" si="179"/>
        <v>1.9329766731057041E-12</v>
      </c>
      <c r="EM179" s="20">
        <f t="shared" si="180"/>
        <v>3.5982663925596575E-12</v>
      </c>
      <c r="EN179" s="59">
        <f t="shared" si="128"/>
        <v>289.12040147384118</v>
      </c>
      <c r="EO179" s="59">
        <f ca="1">AVERAGE(OFFSET($EN$3,0,0,'Données projet'!$E$15+1,1))-AVERAGE(OFFSET($H$3,0,0,'Données projet'!$E$15+1,1))</f>
        <v>308.82719216177946</v>
      </c>
      <c r="EP179" s="59">
        <f t="shared" si="154"/>
        <v>302.59481222418219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9.7478600575870527</v>
      </c>
      <c r="EW179" s="21">
        <f>EXP(-LN(2)/25)*EW178+(1-EXP(-LN(2)/25))/(LN(2)/25)*Calculateur!ER179*Calculateur!ET179*VLOOKUP('Données projet'!$B$15,Paramètres!$A$1:$I$89,3,0)*0.475*44/12</f>
        <v>3.5110478054779217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13.258907863064975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289.19348642290726</v>
      </c>
      <c r="S180" s="59">
        <f ca="1">AVERAGE(OFFSET($R$3,0,0,'Données projet'!$E$9+1,1))-AVERAGE(OFFSET($H$3,0,0,'Données projet'!$E$9+1,1))</f>
        <v>421.33534980160005</v>
      </c>
      <c r="T180" s="59">
        <f t="shared" si="142"/>
        <v>299.0473530693472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5.763922672485933E-13</v>
      </c>
      <c r="AK180" s="13">
        <f t="shared" si="164"/>
        <v>7.0619171555808457E-12</v>
      </c>
      <c r="AL180" s="20">
        <f t="shared" si="165"/>
        <v>1.3303388911427938E-11</v>
      </c>
      <c r="AM180" s="59">
        <f t="shared" si="113"/>
        <v>289.19348642290856</v>
      </c>
      <c r="AN180" s="59">
        <f ca="1">AVERAGE(OFFSET($AM$3,0,0,'Données projet'!$E$10+1,1))-AVERAGE(OFFSET($H$3,0,0,'Données projet'!$E$10+1,1))</f>
        <v>462.74754756814662</v>
      </c>
      <c r="AO180" s="59">
        <f t="shared" si="144"/>
        <v>327.65191293226667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77.055924628664627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77.055924628664627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5.6843418860808015E-13</v>
      </c>
      <c r="BE180" s="13">
        <f>BD180*VLOOKUP('Données projet'!$B$11,Paramètres!$A$1:$I$89,3,0)*VLOOKUP('Données projet'!$B$11,Paramètres!$A$1:$I$89,5,0)</f>
        <v>3.8130565371830017E-13</v>
      </c>
      <c r="BF180" s="13">
        <f t="shared" si="167"/>
        <v>4.9019074112354236E-12</v>
      </c>
      <c r="BG180" s="20">
        <f t="shared" si="168"/>
        <v>9.2015960881277352E-12</v>
      </c>
      <c r="BH180" s="59">
        <f t="shared" si="116"/>
        <v>289.19348642290447</v>
      </c>
      <c r="BI180" s="59">
        <f ca="1">AVERAGE(OFFSET($BH$3,0,0,'Données projet'!$E$11+1,1))-AVERAGE(OFFSET($H$3,0,0,'Données projet'!$E$11+1,1))</f>
        <v>332.21938212432008</v>
      </c>
      <c r="BJ180" s="59">
        <f t="shared" si="146"/>
        <v>237.47732529948181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62.830215466449644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62.830215466449644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5.4092197387944907E-13</v>
      </c>
      <c r="CA180" s="13">
        <f t="shared" si="170"/>
        <v>6.6765148417791561E-12</v>
      </c>
      <c r="CB180" s="20">
        <f t="shared" si="171"/>
        <v>1.2570369120605403E-11</v>
      </c>
      <c r="CC180" s="59">
        <f t="shared" si="119"/>
        <v>289.19348642290782</v>
      </c>
      <c r="CD180" s="59">
        <f ca="1">AVERAGE(OFFSET($CC$3,0,0,'Données projet'!$E$12+1,1))-AVERAGE(OFFSET($H$3,0,0,'Données projet'!$E$12+1,1))</f>
        <v>439.09551305860475</v>
      </c>
      <c r="CE180" s="59">
        <f t="shared" si="148"/>
        <v>311.31528017256846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72.314021574593042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72.314021574593042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5.6843418860808015E-13</v>
      </c>
      <c r="CU180" s="17">
        <f>CT180*VLOOKUP('Données projet'!$B$13,Paramètres!$A$1:$I$89,3,0)*VLOOKUP('Données projet'!$B$13,Paramètres!$A$1:$I$89,5,0)</f>
        <v>5.4978954722173515E-13</v>
      </c>
      <c r="CV180" s="13">
        <f t="shared" si="173"/>
        <v>6.7731340873355904E-12</v>
      </c>
      <c r="CW180" s="20">
        <f t="shared" si="174"/>
        <v>1.2754091996854009E-11</v>
      </c>
      <c r="CX180" s="59">
        <f t="shared" si="122"/>
        <v>289.19348642290799</v>
      </c>
      <c r="CY180" s="59">
        <f ca="1">AVERAGE(OFFSET($CX$3,0,0,'Données projet'!$E$13+1,1))-AVERAGE(OFFSET($H$3,0,0,'Données projet'!$E$13+1,1))</f>
        <v>445.01146841309549</v>
      </c>
      <c r="CZ180" s="59">
        <f t="shared" si="150"/>
        <v>315.40159257508969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73.499497338110928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73.499497338110928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-1.1368683772161603E-13</v>
      </c>
      <c r="DP180" s="17">
        <f>DO180*VLOOKUP('Données projet'!$B$14,Paramètres!$A$1:$I$89,3,0)*VLOOKUP('Données projet'!$B$14,Paramètres!$A$1:$I$89,5,0)</f>
        <v>-6.3550942286383367E-14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349.00268383833668</v>
      </c>
      <c r="DU180" s="59">
        <f t="shared" si="152"/>
        <v>459.94854391583749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20.233207570830526</v>
      </c>
      <c r="EB180" s="21">
        <f>EXP(-LN(2)/25)*EB179+(1-EXP(-LN(2)/25))/(LN(2)/25)*Calculateur!DW180*Calculateur!DY180*VLOOKUP('Données projet'!$B$14,Paramètres!$A$1:$I$89,3,0)*0.475*44/12</f>
        <v>1.9563835820987217</v>
      </c>
      <c r="EC180" s="21">
        <f>EXP(-LN(2)/2)*EC179+(1-EXP(-LN(2)/2))/(LN(2)/2)*DW180*DZ180*VLOOKUP('Données projet'!$B$14,Paramètres!$A$1:$I$89,3,0)*0.475*44/12</f>
        <v>1.4815104006478602E-17</v>
      </c>
      <c r="ED180" s="22">
        <f t="shared" si="178"/>
        <v>22.189591152929246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1.7053025658242404E-13</v>
      </c>
      <c r="EK180" s="17">
        <f>EJ180*VLOOKUP('Données projet'!$B$15,Paramètres!$A$1:$I$89,3,0)*VLOOKUP('Données projet'!$B$15,Paramètres!$A$1:$I$89,5,0)</f>
        <v>1.3301360013429075E-13</v>
      </c>
      <c r="EL180" s="13">
        <f t="shared" si="179"/>
        <v>1.9329766731057041E-12</v>
      </c>
      <c r="EM180" s="20">
        <f t="shared" si="180"/>
        <v>3.5982663925596575E-12</v>
      </c>
      <c r="EN180" s="59">
        <f t="shared" si="128"/>
        <v>289.19348642289884</v>
      </c>
      <c r="EO180" s="59">
        <f ca="1">AVERAGE(OFFSET($EN$3,0,0,'Données projet'!$E$15+1,1))-AVERAGE(OFFSET($H$3,0,0,'Données projet'!$E$15+1,1))</f>
        <v>308.82719216177946</v>
      </c>
      <c r="EP180" s="59">
        <f t="shared" si="154"/>
        <v>302.59481222418219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9.5567104674653258</v>
      </c>
      <c r="EW180" s="21">
        <f>EXP(-LN(2)/25)*EW179+(1-EXP(-LN(2)/25))/(LN(2)/25)*Calculateur!ER180*Calculateur!ET180*VLOOKUP('Données projet'!$B$15,Paramètres!$A$1:$I$89,3,0)*0.475*44/12</f>
        <v>3.4150380185991485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12.971748486064474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289.26530351149216</v>
      </c>
      <c r="S181" s="59">
        <f ca="1">AVERAGE(OFFSET($R$3,0,0,'Données projet'!$E$9+1,1))-AVERAGE(OFFSET($H$3,0,0,'Données projet'!$E$9+1,1))</f>
        <v>421.33534980160005</v>
      </c>
      <c r="T181" s="59">
        <f t="shared" si="142"/>
        <v>299.0473530693472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5.763922672485933E-13</v>
      </c>
      <c r="AK181" s="13">
        <f t="shared" si="164"/>
        <v>7.0619171555808457E-12</v>
      </c>
      <c r="AL181" s="20">
        <f t="shared" si="165"/>
        <v>1.3303388911427938E-11</v>
      </c>
      <c r="AM181" s="59">
        <f t="shared" si="113"/>
        <v>289.26530351149347</v>
      </c>
      <c r="AN181" s="59">
        <f ca="1">AVERAGE(OFFSET($AM$3,0,0,'Données projet'!$E$10+1,1))-AVERAGE(OFFSET($H$3,0,0,'Données projet'!$E$10+1,1))</f>
        <v>462.74754756814662</v>
      </c>
      <c r="AO181" s="59">
        <f t="shared" si="144"/>
        <v>327.65191293226667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75.544904946169723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75.544904946169723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5.6843418860808015E-13</v>
      </c>
      <c r="BE181" s="13">
        <f>BD181*VLOOKUP('Données projet'!$B$11,Paramètres!$A$1:$I$89,3,0)*VLOOKUP('Données projet'!$B$11,Paramètres!$A$1:$I$89,5,0)</f>
        <v>3.8130565371830017E-13</v>
      </c>
      <c r="BF181" s="13">
        <f t="shared" si="167"/>
        <v>4.9019074112354236E-12</v>
      </c>
      <c r="BG181" s="20">
        <f t="shared" si="168"/>
        <v>9.2015960881277352E-12</v>
      </c>
      <c r="BH181" s="59">
        <f t="shared" si="116"/>
        <v>289.26530351148938</v>
      </c>
      <c r="BI181" s="59">
        <f ca="1">AVERAGE(OFFSET($BH$3,0,0,'Données projet'!$E$11+1,1))-AVERAGE(OFFSET($H$3,0,0,'Données projet'!$E$11+1,1))</f>
        <v>332.21938212432008</v>
      </c>
      <c r="BJ181" s="59">
        <f t="shared" si="146"/>
        <v>237.47732529948181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61.598153263799951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61.598153263799951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5.4092197387944907E-13</v>
      </c>
      <c r="CA181" s="13">
        <f t="shared" si="170"/>
        <v>6.6765148417791561E-12</v>
      </c>
      <c r="CB181" s="20">
        <f t="shared" si="171"/>
        <v>1.2570369120605403E-11</v>
      </c>
      <c r="CC181" s="59">
        <f t="shared" si="119"/>
        <v>289.26530351149273</v>
      </c>
      <c r="CD181" s="59">
        <f ca="1">AVERAGE(OFFSET($CC$3,0,0,'Données projet'!$E$12+1,1))-AVERAGE(OFFSET($H$3,0,0,'Données projet'!$E$12+1,1))</f>
        <v>439.09551305860475</v>
      </c>
      <c r="CE181" s="59">
        <f t="shared" si="148"/>
        <v>311.31528017256846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70.895987718713215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70.895987718713215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5.6843418860808015E-13</v>
      </c>
      <c r="CU181" s="17">
        <f>CT181*VLOOKUP('Données projet'!$B$13,Paramètres!$A$1:$I$89,3,0)*VLOOKUP('Données projet'!$B$13,Paramètres!$A$1:$I$89,5,0)</f>
        <v>5.4978954722173515E-13</v>
      </c>
      <c r="CV181" s="13">
        <f t="shared" si="173"/>
        <v>6.7731340873355904E-12</v>
      </c>
      <c r="CW181" s="20">
        <f t="shared" si="174"/>
        <v>1.2754091996854009E-11</v>
      </c>
      <c r="CX181" s="59">
        <f t="shared" si="122"/>
        <v>289.2653035114929</v>
      </c>
      <c r="CY181" s="59">
        <f ca="1">AVERAGE(OFFSET($CX$3,0,0,'Données projet'!$E$13+1,1))-AVERAGE(OFFSET($H$3,0,0,'Données projet'!$E$13+1,1))</f>
        <v>445.01146841309549</v>
      </c>
      <c r="CZ181" s="59">
        <f t="shared" si="150"/>
        <v>315.40159257508969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72.058217025577321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72.058217025577321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-1.1368683772161603E-13</v>
      </c>
      <c r="DP181" s="17">
        <f>DO181*VLOOKUP('Données projet'!$B$14,Paramètres!$A$1:$I$89,3,0)*VLOOKUP('Données projet'!$B$14,Paramètres!$A$1:$I$89,5,0)</f>
        <v>-6.3550942286383367E-14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349.00268383833668</v>
      </c>
      <c r="DU181" s="59">
        <f t="shared" si="152"/>
        <v>459.94854391583749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19.83644671140458</v>
      </c>
      <c r="EB181" s="21">
        <f>EXP(-LN(2)/25)*EB180+(1-EXP(-LN(2)/25))/(LN(2)/25)*Calculateur!DW181*Calculateur!DY181*VLOOKUP('Données projet'!$B$14,Paramètres!$A$1:$I$89,3,0)*0.475*44/12</f>
        <v>1.9028861701644908</v>
      </c>
      <c r="EC181" s="21">
        <f>EXP(-LN(2)/2)*EC180+(1-EXP(-LN(2)/2))/(LN(2)/2)*DW181*DZ181*VLOOKUP('Données projet'!$B$14,Paramètres!$A$1:$I$89,3,0)*0.475*44/12</f>
        <v>1.0475860506965008E-17</v>
      </c>
      <c r="ED181" s="22">
        <f t="shared" si="178"/>
        <v>21.739332881569069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1.7053025658242404E-13</v>
      </c>
      <c r="EK181" s="17">
        <f>EJ181*VLOOKUP('Données projet'!$B$15,Paramètres!$A$1:$I$89,3,0)*VLOOKUP('Données projet'!$B$15,Paramètres!$A$1:$I$89,5,0)</f>
        <v>1.3301360013429075E-13</v>
      </c>
      <c r="EL181" s="13">
        <f t="shared" si="179"/>
        <v>1.9329766731057041E-12</v>
      </c>
      <c r="EM181" s="20">
        <f t="shared" si="180"/>
        <v>3.5982663925596575E-12</v>
      </c>
      <c r="EN181" s="59">
        <f t="shared" si="128"/>
        <v>289.26530351148375</v>
      </c>
      <c r="EO181" s="59">
        <f ca="1">AVERAGE(OFFSET($EN$3,0,0,'Données projet'!$E$15+1,1))-AVERAGE(OFFSET($H$3,0,0,'Données projet'!$E$15+1,1))</f>
        <v>308.82719216177946</v>
      </c>
      <c r="EP181" s="59">
        <f t="shared" si="154"/>
        <v>302.59481222418219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9.3693092042161474</v>
      </c>
      <c r="EW181" s="21">
        <f>EXP(-LN(2)/25)*EW180+(1-EXP(-LN(2)/25))/(LN(2)/25)*Calculateur!ER181*Calculateur!ET181*VLOOKUP('Données projet'!$B$15,Paramètres!$A$1:$I$89,3,0)*0.475*44/12</f>
        <v>3.3216536243915105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12.690962828607658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289.33587473414912</v>
      </c>
      <c r="S182" s="59">
        <f ca="1">AVERAGE(OFFSET($R$3,0,0,'Données projet'!$E$9+1,1))-AVERAGE(OFFSET($H$3,0,0,'Données projet'!$E$9+1,1))</f>
        <v>421.33534980160005</v>
      </c>
      <c r="T182" s="59">
        <f t="shared" si="142"/>
        <v>299.0473530693472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5.763922672485933E-13</v>
      </c>
      <c r="AK182" s="13">
        <f t="shared" si="164"/>
        <v>7.0619171555808457E-12</v>
      </c>
      <c r="AL182" s="20">
        <f t="shared" si="165"/>
        <v>1.3303388911427938E-11</v>
      </c>
      <c r="AM182" s="59">
        <f t="shared" si="113"/>
        <v>289.33587473415042</v>
      </c>
      <c r="AN182" s="59">
        <f ca="1">AVERAGE(OFFSET($AM$3,0,0,'Données projet'!$E$10+1,1))-AVERAGE(OFFSET($H$3,0,0,'Données projet'!$E$10+1,1))</f>
        <v>462.74754756814662</v>
      </c>
      <c r="AO182" s="59">
        <f t="shared" si="144"/>
        <v>327.65191293226667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74.063515438017546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74.063515438017546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5.6843418860808015E-13</v>
      </c>
      <c r="BE182" s="13">
        <f>BD182*VLOOKUP('Données projet'!$B$11,Paramètres!$A$1:$I$89,3,0)*VLOOKUP('Données projet'!$B$11,Paramètres!$A$1:$I$89,5,0)</f>
        <v>3.8130565371830017E-13</v>
      </c>
      <c r="BF182" s="13">
        <f t="shared" si="167"/>
        <v>4.9019074112354236E-12</v>
      </c>
      <c r="BG182" s="20">
        <f t="shared" si="168"/>
        <v>9.2015960881277352E-12</v>
      </c>
      <c r="BH182" s="59">
        <f t="shared" si="116"/>
        <v>289.33587473414633</v>
      </c>
      <c r="BI182" s="59">
        <f ca="1">AVERAGE(OFFSET($BH$3,0,0,'Données projet'!$E$11+1,1))-AVERAGE(OFFSET($H$3,0,0,'Données projet'!$E$11+1,1))</f>
        <v>332.21938212432008</v>
      </c>
      <c r="BJ182" s="59">
        <f t="shared" si="146"/>
        <v>237.47732529948181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60.390251049460481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60.390251049460481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5.4092197387944907E-13</v>
      </c>
      <c r="CA182" s="13">
        <f t="shared" si="170"/>
        <v>6.6765148417791561E-12</v>
      </c>
      <c r="CB182" s="20">
        <f t="shared" si="171"/>
        <v>1.2570369120605403E-11</v>
      </c>
      <c r="CC182" s="59">
        <f t="shared" si="119"/>
        <v>289.33587473414968</v>
      </c>
      <c r="CD182" s="59">
        <f ca="1">AVERAGE(OFFSET($CC$3,0,0,'Données projet'!$E$12+1,1))-AVERAGE(OFFSET($H$3,0,0,'Données projet'!$E$12+1,1))</f>
        <v>439.09551305860475</v>
      </c>
      <c r="CE182" s="59">
        <f t="shared" si="148"/>
        <v>311.31528017256846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69.505760641831941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69.505760641831941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5.6843418860808015E-13</v>
      </c>
      <c r="CU182" s="17">
        <f>CT182*VLOOKUP('Données projet'!$B$13,Paramètres!$A$1:$I$89,3,0)*VLOOKUP('Données projet'!$B$13,Paramètres!$A$1:$I$89,5,0)</f>
        <v>5.4978954722173515E-13</v>
      </c>
      <c r="CV182" s="13">
        <f t="shared" si="173"/>
        <v>6.7731340873355904E-12</v>
      </c>
      <c r="CW182" s="20">
        <f t="shared" si="174"/>
        <v>1.2754091996854009E-11</v>
      </c>
      <c r="CX182" s="59">
        <f t="shared" si="122"/>
        <v>289.33587473414985</v>
      </c>
      <c r="CY182" s="59">
        <f ca="1">AVERAGE(OFFSET($CX$3,0,0,'Données projet'!$E$13+1,1))-AVERAGE(OFFSET($H$3,0,0,'Données projet'!$E$13+1,1))</f>
        <v>445.01146841309549</v>
      </c>
      <c r="CZ182" s="59">
        <f t="shared" si="150"/>
        <v>315.40159257508969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70.645199340878321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70.645199340878321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-1.1368683772161603E-13</v>
      </c>
      <c r="DP182" s="17">
        <f>DO182*VLOOKUP('Données projet'!$B$14,Paramètres!$A$1:$I$89,3,0)*VLOOKUP('Données projet'!$B$14,Paramètres!$A$1:$I$89,5,0)</f>
        <v>-6.3550942286383367E-14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349.00268383833668</v>
      </c>
      <c r="DU182" s="59">
        <f t="shared" si="152"/>
        <v>459.94854391583749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19.44746609043175</v>
      </c>
      <c r="EB182" s="21">
        <f>EXP(-LN(2)/25)*EB181+(1-EXP(-LN(2)/25))/(LN(2)/25)*Calculateur!DW182*Calculateur!DY182*VLOOKUP('Données projet'!$B$14,Paramètres!$A$1:$I$89,3,0)*0.475*44/12</f>
        <v>1.8508516477729082</v>
      </c>
      <c r="EC182" s="21">
        <f>EXP(-LN(2)/2)*EC181+(1-EXP(-LN(2)/2))/(LN(2)/2)*DW182*DZ182*VLOOKUP('Données projet'!$B$14,Paramètres!$A$1:$I$89,3,0)*0.475*44/12</f>
        <v>7.407552003239301E-18</v>
      </c>
      <c r="ED182" s="22">
        <f t="shared" si="178"/>
        <v>21.298317738204659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1.7053025658242404E-13</v>
      </c>
      <c r="EK182" s="17">
        <f>EJ182*VLOOKUP('Données projet'!$B$15,Paramètres!$A$1:$I$89,3,0)*VLOOKUP('Données projet'!$B$15,Paramètres!$A$1:$I$89,5,0)</f>
        <v>1.3301360013429075E-13</v>
      </c>
      <c r="EL182" s="13">
        <f t="shared" si="179"/>
        <v>1.9329766731057041E-12</v>
      </c>
      <c r="EM182" s="20">
        <f t="shared" si="180"/>
        <v>3.5982663925596575E-12</v>
      </c>
      <c r="EN182" s="59">
        <f t="shared" si="128"/>
        <v>289.3358747341407</v>
      </c>
      <c r="EO182" s="59">
        <f ca="1">AVERAGE(OFFSET($EN$3,0,0,'Données projet'!$E$15+1,1))-AVERAGE(OFFSET($H$3,0,0,'Données projet'!$E$15+1,1))</f>
        <v>308.82719216177946</v>
      </c>
      <c r="EP182" s="59">
        <f t="shared" si="154"/>
        <v>302.59481222418219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9.185582765435802</v>
      </c>
      <c r="EW182" s="21">
        <f>EXP(-LN(2)/25)*EW181+(1-EXP(-LN(2)/25))/(LN(2)/25)*Calculateur!ER182*Calculateur!ET182*VLOOKUP('Données projet'!$B$15,Paramètres!$A$1:$I$89,3,0)*0.475*44/12</f>
        <v>3.2308228313543523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12.416405596790154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289.40522170386663</v>
      </c>
      <c r="S183" s="59">
        <f ca="1">AVERAGE(OFFSET($R$3,0,0,'Données projet'!$E$9+1,1))-AVERAGE(OFFSET($H$3,0,0,'Données projet'!$E$9+1,1))</f>
        <v>421.33534980160005</v>
      </c>
      <c r="T183" s="59">
        <f t="shared" si="142"/>
        <v>299.0473530693472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5.763922672485933E-13</v>
      </c>
      <c r="AK183" s="13">
        <f t="shared" si="164"/>
        <v>7.0619171555808457E-12</v>
      </c>
      <c r="AL183" s="20">
        <f t="shared" si="165"/>
        <v>1.3303388911427938E-11</v>
      </c>
      <c r="AM183" s="59">
        <f t="shared" si="113"/>
        <v>289.40522170386794</v>
      </c>
      <c r="AN183" s="59">
        <f ca="1">AVERAGE(OFFSET($AM$3,0,0,'Données projet'!$E$10+1,1))-AVERAGE(OFFSET($H$3,0,0,'Données projet'!$E$10+1,1))</f>
        <v>462.74754756814662</v>
      </c>
      <c r="AO183" s="59">
        <f t="shared" si="144"/>
        <v>327.65191293226667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72.611175074561856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72.611175074561856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5.6843418860808015E-13</v>
      </c>
      <c r="BE183" s="13">
        <f>BD183*VLOOKUP('Données projet'!$B$11,Paramètres!$A$1:$I$89,3,0)*VLOOKUP('Données projet'!$B$11,Paramètres!$A$1:$I$89,5,0)</f>
        <v>3.8130565371830017E-13</v>
      </c>
      <c r="BF183" s="13">
        <f t="shared" si="167"/>
        <v>4.9019074112354236E-12</v>
      </c>
      <c r="BG183" s="20">
        <f t="shared" si="168"/>
        <v>9.2015960881277352E-12</v>
      </c>
      <c r="BH183" s="59">
        <f t="shared" si="116"/>
        <v>289.40522170386384</v>
      </c>
      <c r="BI183" s="59">
        <f ca="1">AVERAGE(OFFSET($BH$3,0,0,'Données projet'!$E$11+1,1))-AVERAGE(OFFSET($H$3,0,0,'Données projet'!$E$11+1,1))</f>
        <v>332.21938212432008</v>
      </c>
      <c r="BJ183" s="59">
        <f t="shared" si="146"/>
        <v>237.47732529948181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59.206035060796601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59.206035060796601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5.4092197387944907E-13</v>
      </c>
      <c r="CA183" s="13">
        <f t="shared" si="170"/>
        <v>6.6765148417791561E-12</v>
      </c>
      <c r="CB183" s="20">
        <f t="shared" si="171"/>
        <v>1.2570369120605403E-11</v>
      </c>
      <c r="CC183" s="59">
        <f t="shared" si="119"/>
        <v>289.4052217038672</v>
      </c>
      <c r="CD183" s="59">
        <f ca="1">AVERAGE(OFFSET($CC$3,0,0,'Données projet'!$E$12+1,1))-AVERAGE(OFFSET($H$3,0,0,'Données projet'!$E$12+1,1))</f>
        <v>439.09551305860475</v>
      </c>
      <c r="CE183" s="59">
        <f t="shared" si="148"/>
        <v>311.31528017256846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68.142795069973516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68.142795069973516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5.6843418860808015E-13</v>
      </c>
      <c r="CU183" s="17">
        <f>CT183*VLOOKUP('Données projet'!$B$13,Paramètres!$A$1:$I$89,3,0)*VLOOKUP('Données projet'!$B$13,Paramètres!$A$1:$I$89,5,0)</f>
        <v>5.4978954722173515E-13</v>
      </c>
      <c r="CV183" s="13">
        <f t="shared" si="173"/>
        <v>6.7731340873355904E-12</v>
      </c>
      <c r="CW183" s="20">
        <f t="shared" si="174"/>
        <v>1.2754091996854009E-11</v>
      </c>
      <c r="CX183" s="59">
        <f t="shared" si="122"/>
        <v>289.40522170386737</v>
      </c>
      <c r="CY183" s="59">
        <f ca="1">AVERAGE(OFFSET($CX$3,0,0,'Données projet'!$E$13+1,1))-AVERAGE(OFFSET($H$3,0,0,'Données projet'!$E$13+1,1))</f>
        <v>445.01146841309549</v>
      </c>
      <c r="CZ183" s="59">
        <f t="shared" si="150"/>
        <v>315.40159257508969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69.25989007112058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69.25989007112058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-1.1368683772161603E-13</v>
      </c>
      <c r="DP183" s="17">
        <f>DO183*VLOOKUP('Données projet'!$B$14,Paramètres!$A$1:$I$89,3,0)*VLOOKUP('Données projet'!$B$14,Paramètres!$A$1:$I$89,5,0)</f>
        <v>-6.3550942286383367E-14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349.00268383833668</v>
      </c>
      <c r="DU183" s="59">
        <f t="shared" si="152"/>
        <v>459.94854391583749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19.066113142181443</v>
      </c>
      <c r="EB183" s="21">
        <f>EXP(-LN(2)/25)*EB182+(1-EXP(-LN(2)/25))/(LN(2)/25)*Calculateur!DW183*Calculateur!DY183*VLOOKUP('Données projet'!$B$14,Paramètres!$A$1:$I$89,3,0)*0.475*44/12</f>
        <v>1.8002400121325002</v>
      </c>
      <c r="EC183" s="21">
        <f>EXP(-LN(2)/2)*EC182+(1-EXP(-LN(2)/2))/(LN(2)/2)*DW183*DZ183*VLOOKUP('Données projet'!$B$14,Paramètres!$A$1:$I$89,3,0)*0.475*44/12</f>
        <v>5.2379302534825042E-18</v>
      </c>
      <c r="ED183" s="22">
        <f t="shared" si="178"/>
        <v>20.866353154313945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1.7053025658242404E-13</v>
      </c>
      <c r="EK183" s="17">
        <f>EJ183*VLOOKUP('Données projet'!$B$15,Paramètres!$A$1:$I$89,3,0)*VLOOKUP('Données projet'!$B$15,Paramètres!$A$1:$I$89,5,0)</f>
        <v>1.3301360013429075E-13</v>
      </c>
      <c r="EL183" s="13">
        <f t="shared" si="179"/>
        <v>1.9329766731057041E-12</v>
      </c>
      <c r="EM183" s="20">
        <f t="shared" si="180"/>
        <v>3.5982663925596575E-12</v>
      </c>
      <c r="EN183" s="59">
        <f t="shared" si="128"/>
        <v>289.40522170385822</v>
      </c>
      <c r="EO183" s="59">
        <f ca="1">AVERAGE(OFFSET($EN$3,0,0,'Données projet'!$E$15+1,1))-AVERAGE(OFFSET($H$3,0,0,'Données projet'!$E$15+1,1))</f>
        <v>308.82719216177946</v>
      </c>
      <c r="EP183" s="59">
        <f t="shared" si="154"/>
        <v>302.59481222418219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9.0054590900578777</v>
      </c>
      <c r="EW183" s="21">
        <f>EXP(-LN(2)/25)*EW182+(1-EXP(-LN(2)/25))/(LN(2)/25)*Calculateur!ER183*Calculateur!ET183*VLOOKUP('Données projet'!$B$15,Paramètres!$A$1:$I$89,3,0)*0.475*44/12</f>
        <v>3.1424758111293789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12.147934901187256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289.47336565869608</v>
      </c>
      <c r="S184" s="59">
        <f ca="1">AVERAGE(OFFSET($R$3,0,0,'Données projet'!$E$9+1,1))-AVERAGE(OFFSET($H$3,0,0,'Données projet'!$E$9+1,1))</f>
        <v>421.33534980160005</v>
      </c>
      <c r="T184" s="59">
        <f t="shared" si="142"/>
        <v>299.0473530693472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5.763922672485933E-13</v>
      </c>
      <c r="AK184" s="13">
        <f t="shared" si="164"/>
        <v>7.0619171555808457E-12</v>
      </c>
      <c r="AL184" s="20">
        <f t="shared" si="165"/>
        <v>1.3303388911427938E-11</v>
      </c>
      <c r="AM184" s="59">
        <f t="shared" si="113"/>
        <v>289.47336565869739</v>
      </c>
      <c r="AN184" s="59">
        <f ca="1">AVERAGE(OFFSET($AM$3,0,0,'Données projet'!$E$10+1,1))-AVERAGE(OFFSET($H$3,0,0,'Données projet'!$E$10+1,1))</f>
        <v>462.74754756814662</v>
      </c>
      <c r="AO184" s="59">
        <f t="shared" si="144"/>
        <v>327.65191293226667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71.187314219793379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71.187314219793379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5.6843418860808015E-13</v>
      </c>
      <c r="BE184" s="13">
        <f>BD184*VLOOKUP('Données projet'!$B$11,Paramètres!$A$1:$I$89,3,0)*VLOOKUP('Données projet'!$B$11,Paramètres!$A$1:$I$89,5,0)</f>
        <v>3.8130565371830017E-13</v>
      </c>
      <c r="BF184" s="13">
        <f t="shared" si="167"/>
        <v>4.9019074112354236E-12</v>
      </c>
      <c r="BG184" s="20">
        <f t="shared" si="168"/>
        <v>9.2015960881277352E-12</v>
      </c>
      <c r="BH184" s="59">
        <f t="shared" si="116"/>
        <v>289.4733656586933</v>
      </c>
      <c r="BI184" s="59">
        <f ca="1">AVERAGE(OFFSET($BH$3,0,0,'Données projet'!$E$11+1,1))-AVERAGE(OFFSET($H$3,0,0,'Données projet'!$E$11+1,1))</f>
        <v>332.21938212432008</v>
      </c>
      <c r="BJ184" s="59">
        <f t="shared" si="146"/>
        <v>237.47732529948181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58.045040825369995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58.045040825369995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5.4092197387944907E-13</v>
      </c>
      <c r="CA184" s="13">
        <f t="shared" si="170"/>
        <v>6.6765148417791561E-12</v>
      </c>
      <c r="CB184" s="20">
        <f t="shared" si="171"/>
        <v>1.2570369120605403E-11</v>
      </c>
      <c r="CC184" s="59">
        <f t="shared" si="119"/>
        <v>289.47336565869665</v>
      </c>
      <c r="CD184" s="59">
        <f ca="1">AVERAGE(OFFSET($CC$3,0,0,'Données projet'!$E$12+1,1))-AVERAGE(OFFSET($H$3,0,0,'Données projet'!$E$12+1,1))</f>
        <v>439.09551305860475</v>
      </c>
      <c r="CE184" s="59">
        <f t="shared" si="148"/>
        <v>311.31528017256846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66.806556421652317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66.806556421652317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5.6843418860808015E-13</v>
      </c>
      <c r="CU184" s="17">
        <f>CT184*VLOOKUP('Données projet'!$B$13,Paramètres!$A$1:$I$89,3,0)*VLOOKUP('Données projet'!$B$13,Paramètres!$A$1:$I$89,5,0)</f>
        <v>5.4978954722173515E-13</v>
      </c>
      <c r="CV184" s="13">
        <f t="shared" si="173"/>
        <v>6.7731340873355904E-12</v>
      </c>
      <c r="CW184" s="20">
        <f t="shared" si="174"/>
        <v>1.2754091996854009E-11</v>
      </c>
      <c r="CX184" s="59">
        <f t="shared" si="122"/>
        <v>289.47336565869682</v>
      </c>
      <c r="CY184" s="59">
        <f ca="1">AVERAGE(OFFSET($CX$3,0,0,'Données projet'!$E$13+1,1))-AVERAGE(OFFSET($H$3,0,0,'Données projet'!$E$13+1,1))</f>
        <v>445.01146841309549</v>
      </c>
      <c r="CZ184" s="59">
        <f t="shared" si="150"/>
        <v>315.40159257508969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67.901745871187558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67.901745871187558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-1.1368683772161603E-13</v>
      </c>
      <c r="DP184" s="17">
        <f>DO184*VLOOKUP('Données projet'!$B$14,Paramètres!$A$1:$I$89,3,0)*VLOOKUP('Données projet'!$B$14,Paramètres!$A$1:$I$89,5,0)</f>
        <v>-6.3550942286383367E-14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349.00268383833668</v>
      </c>
      <c r="DU184" s="59">
        <f t="shared" si="152"/>
        <v>459.94854391583749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18.692238292643996</v>
      </c>
      <c r="EB184" s="21">
        <f>EXP(-LN(2)/25)*EB183+(1-EXP(-LN(2)/25))/(LN(2)/25)*Calculateur!DW184*Calculateur!DY184*VLOOKUP('Données projet'!$B$14,Paramètres!$A$1:$I$89,3,0)*0.475*44/12</f>
        <v>1.7510123543302292</v>
      </c>
      <c r="EC184" s="21">
        <f>EXP(-LN(2)/2)*EC183+(1-EXP(-LN(2)/2))/(LN(2)/2)*DW184*DZ184*VLOOKUP('Données projet'!$B$14,Paramètres!$A$1:$I$89,3,0)*0.475*44/12</f>
        <v>3.7037760016196505E-18</v>
      </c>
      <c r="ED184" s="22">
        <f t="shared" si="178"/>
        <v>20.443250646974224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1.7053025658242404E-13</v>
      </c>
      <c r="EK184" s="17">
        <f>EJ184*VLOOKUP('Données projet'!$B$15,Paramètres!$A$1:$I$89,3,0)*VLOOKUP('Données projet'!$B$15,Paramètres!$A$1:$I$89,5,0)</f>
        <v>1.3301360013429075E-13</v>
      </c>
      <c r="EL184" s="13">
        <f t="shared" si="179"/>
        <v>1.9329766731057041E-12</v>
      </c>
      <c r="EM184" s="20">
        <f t="shared" si="180"/>
        <v>3.5982663925596575E-12</v>
      </c>
      <c r="EN184" s="59">
        <f t="shared" si="128"/>
        <v>289.47336565868767</v>
      </c>
      <c r="EO184" s="59">
        <f ca="1">AVERAGE(OFFSET($EN$3,0,0,'Données projet'!$E$15+1,1))-AVERAGE(OFFSET($H$3,0,0,'Données projet'!$E$15+1,1))</f>
        <v>308.82719216177946</v>
      </c>
      <c r="EP184" s="59">
        <f t="shared" si="154"/>
        <v>302.59481222418219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8.8288675300895196</v>
      </c>
      <c r="EW184" s="21">
        <f>EXP(-LN(2)/25)*EW183+(1-EXP(-LN(2)/25))/(LN(2)/25)*Calculateur!ER184*Calculateur!ET184*VLOOKUP('Données projet'!$B$15,Paramètres!$A$1:$I$89,3,0)*0.475*44/12</f>
        <v>3.0565446448184255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11.885412174907945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289.54032746825641</v>
      </c>
      <c r="S185" s="59">
        <f ca="1">AVERAGE(OFFSET($R$3,0,0,'Données projet'!$E$9+1,1))-AVERAGE(OFFSET($H$3,0,0,'Données projet'!$E$9+1,1))</f>
        <v>421.33534980160005</v>
      </c>
      <c r="T185" s="59">
        <f t="shared" si="142"/>
        <v>299.0473530693472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5.763922672485933E-13</v>
      </c>
      <c r="AK185" s="13">
        <f t="shared" si="164"/>
        <v>7.0619171555808457E-12</v>
      </c>
      <c r="AL185" s="20">
        <f t="shared" si="165"/>
        <v>1.3303388911427938E-11</v>
      </c>
      <c r="AM185" s="59">
        <f t="shared" si="113"/>
        <v>289.54032746825771</v>
      </c>
      <c r="AN185" s="59">
        <f ca="1">AVERAGE(OFFSET($AM$3,0,0,'Données projet'!$E$10+1,1))-AVERAGE(OFFSET($H$3,0,0,'Données projet'!$E$10+1,1))</f>
        <v>462.74754756814662</v>
      </c>
      <c r="AO185" s="59">
        <f t="shared" si="144"/>
        <v>327.65191293226667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69.791374407917544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69.791374407917544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5.6843418860808015E-13</v>
      </c>
      <c r="BE185" s="13">
        <f>BD185*VLOOKUP('Données projet'!$B$11,Paramètres!$A$1:$I$89,3,0)*VLOOKUP('Données projet'!$B$11,Paramètres!$A$1:$I$89,5,0)</f>
        <v>3.8130565371830017E-13</v>
      </c>
      <c r="BF185" s="13">
        <f t="shared" si="167"/>
        <v>4.9019074112354236E-12</v>
      </c>
      <c r="BG185" s="20">
        <f t="shared" si="168"/>
        <v>9.2015960881277352E-12</v>
      </c>
      <c r="BH185" s="59">
        <f t="shared" si="116"/>
        <v>289.54032746825362</v>
      </c>
      <c r="BI185" s="59">
        <f ca="1">AVERAGE(OFFSET($BH$3,0,0,'Données projet'!$E$11+1,1))-AVERAGE(OFFSET($H$3,0,0,'Données projet'!$E$11+1,1))</f>
        <v>332.21938212432008</v>
      </c>
      <c r="BJ185" s="59">
        <f t="shared" si="146"/>
        <v>237.47732529948181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56.90681297876354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56.90681297876354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5.4092197387944907E-13</v>
      </c>
      <c r="CA185" s="13">
        <f t="shared" si="170"/>
        <v>6.6765148417791561E-12</v>
      </c>
      <c r="CB185" s="20">
        <f t="shared" si="171"/>
        <v>1.2570369120605403E-11</v>
      </c>
      <c r="CC185" s="59">
        <f t="shared" si="119"/>
        <v>289.54032746825698</v>
      </c>
      <c r="CD185" s="59">
        <f ca="1">AVERAGE(OFFSET($CC$3,0,0,'Données projet'!$E$12+1,1))-AVERAGE(OFFSET($H$3,0,0,'Données projet'!$E$12+1,1))</f>
        <v>439.09551305860475</v>
      </c>
      <c r="CE185" s="59">
        <f t="shared" si="148"/>
        <v>311.31528017256846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65.496520598199609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65.496520598199609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5.6843418860808015E-13</v>
      </c>
      <c r="CU185" s="17">
        <f>CT185*VLOOKUP('Données projet'!$B$13,Paramètres!$A$1:$I$89,3,0)*VLOOKUP('Données projet'!$B$13,Paramètres!$A$1:$I$89,5,0)</f>
        <v>5.4978954722173515E-13</v>
      </c>
      <c r="CV185" s="13">
        <f t="shared" si="173"/>
        <v>6.7731340873355904E-12</v>
      </c>
      <c r="CW185" s="20">
        <f t="shared" si="174"/>
        <v>1.2754091996854009E-11</v>
      </c>
      <c r="CX185" s="59">
        <f t="shared" si="122"/>
        <v>289.54032746825715</v>
      </c>
      <c r="CY185" s="59">
        <f ca="1">AVERAGE(OFFSET($CX$3,0,0,'Données projet'!$E$13+1,1))-AVERAGE(OFFSET($H$3,0,0,'Données projet'!$E$13+1,1))</f>
        <v>445.01146841309549</v>
      </c>
      <c r="CZ185" s="59">
        <f t="shared" si="150"/>
        <v>315.40159257508969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66.570234050629068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66.570234050629068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-1.1368683772161603E-13</v>
      </c>
      <c r="DP185" s="17">
        <f>DO185*VLOOKUP('Données projet'!$B$14,Paramètres!$A$1:$I$89,3,0)*VLOOKUP('Données projet'!$B$14,Paramètres!$A$1:$I$89,5,0)</f>
        <v>-6.3550942286383367E-14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349.00268383833668</v>
      </c>
      <c r="DU185" s="59">
        <f t="shared" si="152"/>
        <v>459.94854391583749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18.325694900864836</v>
      </c>
      <c r="EB185" s="21">
        <f>EXP(-LN(2)/25)*EB184+(1-EXP(-LN(2)/25))/(LN(2)/25)*Calculateur!DW185*Calculateur!DY185*VLOOKUP('Données projet'!$B$14,Paramètres!$A$1:$I$89,3,0)*0.475*44/12</f>
        <v>1.7031308294193312</v>
      </c>
      <c r="EC185" s="21">
        <f>EXP(-LN(2)/2)*EC184+(1-EXP(-LN(2)/2))/(LN(2)/2)*DW185*DZ185*VLOOKUP('Données projet'!$B$14,Paramètres!$A$1:$I$89,3,0)*0.475*44/12</f>
        <v>2.6189651267412521E-18</v>
      </c>
      <c r="ED185" s="22">
        <f t="shared" si="178"/>
        <v>20.028825730284169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1.7053025658242404E-13</v>
      </c>
      <c r="EK185" s="17">
        <f>EJ185*VLOOKUP('Données projet'!$B$15,Paramètres!$A$1:$I$89,3,0)*VLOOKUP('Données projet'!$B$15,Paramètres!$A$1:$I$89,5,0)</f>
        <v>1.3301360013429075E-13</v>
      </c>
      <c r="EL185" s="13">
        <f t="shared" si="179"/>
        <v>1.9329766731057041E-12</v>
      </c>
      <c r="EM185" s="20">
        <f t="shared" si="180"/>
        <v>3.5982663925596575E-12</v>
      </c>
      <c r="EN185" s="59">
        <f t="shared" si="128"/>
        <v>289.54032746824799</v>
      </c>
      <c r="EO185" s="59">
        <f ca="1">AVERAGE(OFFSET($EN$3,0,0,'Données projet'!$E$15+1,1))-AVERAGE(OFFSET($H$3,0,0,'Données projet'!$E$15+1,1))</f>
        <v>308.82719216177946</v>
      </c>
      <c r="EP185" s="59">
        <f t="shared" si="154"/>
        <v>302.59481222418219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8.6557388229019256</v>
      </c>
      <c r="EW185" s="21">
        <f>EXP(-LN(2)/25)*EW184+(1-EXP(-LN(2)/25))/(LN(2)/25)*Calculateur!ER185*Calculateur!ET185*VLOOKUP('Données projet'!$B$15,Paramètres!$A$1:$I$89,3,0)*0.475*44/12</f>
        <v>2.9729632707691684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11.628702093671095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289.60612764012495</v>
      </c>
      <c r="S186" s="59">
        <f ca="1">AVERAGE(OFFSET($R$3,0,0,'Données projet'!$E$9+1,1))-AVERAGE(OFFSET($H$3,0,0,'Données projet'!$E$9+1,1))</f>
        <v>421.33534980160005</v>
      </c>
      <c r="T186" s="59">
        <f t="shared" si="142"/>
        <v>299.0473530693472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5.763922672485933E-13</v>
      </c>
      <c r="AK186" s="13">
        <f t="shared" si="164"/>
        <v>7.0619171555808457E-12</v>
      </c>
      <c r="AL186" s="20">
        <f t="shared" si="165"/>
        <v>1.3303388911427938E-11</v>
      </c>
      <c r="AM186" s="59">
        <f t="shared" si="113"/>
        <v>289.60612764012626</v>
      </c>
      <c r="AN186" s="59">
        <f ca="1">AVERAGE(OFFSET($AM$3,0,0,'Données projet'!$E$10+1,1))-AVERAGE(OFFSET($H$3,0,0,'Données projet'!$E$10+1,1))</f>
        <v>462.74754756814662</v>
      </c>
      <c r="AO186" s="59">
        <f t="shared" si="144"/>
        <v>327.65191293226667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68.422808124313377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68.422808124313377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5.6843418860808015E-13</v>
      </c>
      <c r="BE186" s="13">
        <f>BD186*VLOOKUP('Données projet'!$B$11,Paramètres!$A$1:$I$89,3,0)*VLOOKUP('Données projet'!$B$11,Paramètres!$A$1:$I$89,5,0)</f>
        <v>3.8130565371830017E-13</v>
      </c>
      <c r="BF186" s="13">
        <f t="shared" si="167"/>
        <v>4.9019074112354236E-12</v>
      </c>
      <c r="BG186" s="20">
        <f t="shared" si="168"/>
        <v>9.2015960881277352E-12</v>
      </c>
      <c r="BH186" s="59">
        <f t="shared" si="116"/>
        <v>289.60612764012217</v>
      </c>
      <c r="BI186" s="59">
        <f ca="1">AVERAGE(OFFSET($BH$3,0,0,'Données projet'!$E$11+1,1))-AVERAGE(OFFSET($H$3,0,0,'Données projet'!$E$11+1,1))</f>
        <v>332.21938212432008</v>
      </c>
      <c r="BJ186" s="59">
        <f t="shared" si="146"/>
        <v>237.47732529948181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55.790905085978601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55.790905085978601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5.4092197387944907E-13</v>
      </c>
      <c r="CA186" s="13">
        <f t="shared" si="170"/>
        <v>6.6765148417791561E-12</v>
      </c>
      <c r="CB186" s="20">
        <f t="shared" si="171"/>
        <v>1.2570369120605403E-11</v>
      </c>
      <c r="CC186" s="59">
        <f t="shared" si="119"/>
        <v>289.60612764012552</v>
      </c>
      <c r="CD186" s="59">
        <f ca="1">AVERAGE(OFFSET($CC$3,0,0,'Données projet'!$E$12+1,1))-AVERAGE(OFFSET($H$3,0,0,'Données projet'!$E$12+1,1))</f>
        <v>439.09551305860475</v>
      </c>
      <c r="CE186" s="59">
        <f t="shared" si="148"/>
        <v>311.31528017256846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64.212173778201844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64.212173778201844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5.6843418860808015E-13</v>
      </c>
      <c r="CU186" s="17">
        <f>CT186*VLOOKUP('Données projet'!$B$13,Paramètres!$A$1:$I$89,3,0)*VLOOKUP('Données projet'!$B$13,Paramètres!$A$1:$I$89,5,0)</f>
        <v>5.4978954722173515E-13</v>
      </c>
      <c r="CV186" s="13">
        <f t="shared" si="173"/>
        <v>6.7731340873355904E-12</v>
      </c>
      <c r="CW186" s="20">
        <f t="shared" si="174"/>
        <v>1.2754091996854009E-11</v>
      </c>
      <c r="CX186" s="59">
        <f t="shared" si="122"/>
        <v>289.60612764012569</v>
      </c>
      <c r="CY186" s="59">
        <f ca="1">AVERAGE(OFFSET($CX$3,0,0,'Données projet'!$E$13+1,1))-AVERAGE(OFFSET($H$3,0,0,'Données projet'!$E$13+1,1))</f>
        <v>445.01146841309549</v>
      </c>
      <c r="CZ186" s="59">
        <f t="shared" si="150"/>
        <v>315.40159257508969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65.264832364729713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65.264832364729713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-1.1368683772161603E-13</v>
      </c>
      <c r="DP186" s="17">
        <f>DO186*VLOOKUP('Données projet'!$B$14,Paramètres!$A$1:$I$89,3,0)*VLOOKUP('Données projet'!$B$14,Paramètres!$A$1:$I$89,5,0)</f>
        <v>-6.3550942286383367E-14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349.00268383833668</v>
      </c>
      <c r="DU186" s="59">
        <f t="shared" si="152"/>
        <v>459.94854391583749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17.966339201429072</v>
      </c>
      <c r="EB186" s="21">
        <f>EXP(-LN(2)/25)*EB185+(1-EXP(-LN(2)/25))/(LN(2)/25)*Calculateur!DW186*Calculateur!DY186*VLOOKUP('Données projet'!$B$14,Paramètres!$A$1:$I$89,3,0)*0.475*44/12</f>
        <v>1.6565586273251018</v>
      </c>
      <c r="EC186" s="21">
        <f>EXP(-LN(2)/2)*EC185+(1-EXP(-LN(2)/2))/(LN(2)/2)*DW186*DZ186*VLOOKUP('Données projet'!$B$14,Paramètres!$A$1:$I$89,3,0)*0.475*44/12</f>
        <v>1.8518880008098253E-18</v>
      </c>
      <c r="ED186" s="22">
        <f t="shared" si="178"/>
        <v>19.622897828754173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1.7053025658242404E-13</v>
      </c>
      <c r="EK186" s="17">
        <f>EJ186*VLOOKUP('Données projet'!$B$15,Paramètres!$A$1:$I$89,3,0)*VLOOKUP('Données projet'!$B$15,Paramètres!$A$1:$I$89,5,0)</f>
        <v>1.3301360013429075E-13</v>
      </c>
      <c r="EL186" s="13">
        <f t="shared" si="179"/>
        <v>1.9329766731057041E-12</v>
      </c>
      <c r="EM186" s="20">
        <f t="shared" si="180"/>
        <v>3.5982663925596575E-12</v>
      </c>
      <c r="EN186" s="59">
        <f t="shared" si="128"/>
        <v>289.60612764011654</v>
      </c>
      <c r="EO186" s="59">
        <f ca="1">AVERAGE(OFFSET($EN$3,0,0,'Données projet'!$E$15+1,1))-AVERAGE(OFFSET($H$3,0,0,'Données projet'!$E$15+1,1))</f>
        <v>308.82719216177946</v>
      </c>
      <c r="EP186" s="59">
        <f t="shared" si="154"/>
        <v>302.59481222418219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8.4860050640641962</v>
      </c>
      <c r="EW186" s="21">
        <f>EXP(-LN(2)/25)*EW185+(1-EXP(-LN(2)/25))/(LN(2)/25)*Calculateur!ER186*Calculateur!ET186*VLOOKUP('Données projet'!$B$15,Paramètres!$A$1:$I$89,3,0)*0.475*44/12</f>
        <v>2.8916674337886419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11.377672497852839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289.67078632611873</v>
      </c>
      <c r="S187" s="59">
        <f ca="1">AVERAGE(OFFSET($R$3,0,0,'Données projet'!$E$9+1,1))-AVERAGE(OFFSET($H$3,0,0,'Données projet'!$E$9+1,1))</f>
        <v>421.33534980160005</v>
      </c>
      <c r="T187" s="59">
        <f t="shared" si="142"/>
        <v>299.0473530693472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5.763922672485933E-13</v>
      </c>
      <c r="AK187" s="13">
        <f t="shared" si="164"/>
        <v>7.0619171555808457E-12</v>
      </c>
      <c r="AL187" s="20">
        <f t="shared" si="165"/>
        <v>1.3303388911427938E-11</v>
      </c>
      <c r="AM187" s="59">
        <f t="shared" si="113"/>
        <v>289.67078632612004</v>
      </c>
      <c r="AN187" s="59">
        <f ca="1">AVERAGE(OFFSET($AM$3,0,0,'Données projet'!$E$10+1,1))-AVERAGE(OFFSET($H$3,0,0,'Données projet'!$E$10+1,1))</f>
        <v>462.74754756814662</v>
      </c>
      <c r="AO187" s="59">
        <f t="shared" si="144"/>
        <v>327.65191293226667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67.081078590787683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67.081078590787683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5.6843418860808015E-13</v>
      </c>
      <c r="BE187" s="13">
        <f>BD187*VLOOKUP('Données projet'!$B$11,Paramètres!$A$1:$I$89,3,0)*VLOOKUP('Données projet'!$B$11,Paramètres!$A$1:$I$89,5,0)</f>
        <v>3.8130565371830017E-13</v>
      </c>
      <c r="BF187" s="13">
        <f t="shared" si="167"/>
        <v>4.9019074112354236E-12</v>
      </c>
      <c r="BG187" s="20">
        <f t="shared" si="168"/>
        <v>9.2015960881277352E-12</v>
      </c>
      <c r="BH187" s="59">
        <f t="shared" si="116"/>
        <v>289.67078632611594</v>
      </c>
      <c r="BI187" s="59">
        <f ca="1">AVERAGE(OFFSET($BH$3,0,0,'Données projet'!$E$11+1,1))-AVERAGE(OFFSET($H$3,0,0,'Données projet'!$E$11+1,1))</f>
        <v>332.21938212432008</v>
      </c>
      <c r="BJ187" s="59">
        <f t="shared" si="146"/>
        <v>237.47732529948181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54.696879466334572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54.696879466334572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5.4092197387944907E-13</v>
      </c>
      <c r="CA187" s="13">
        <f t="shared" si="170"/>
        <v>6.6765148417791561E-12</v>
      </c>
      <c r="CB187" s="20">
        <f t="shared" si="171"/>
        <v>1.2570369120605403E-11</v>
      </c>
      <c r="CC187" s="59">
        <f t="shared" si="119"/>
        <v>289.6707863261193</v>
      </c>
      <c r="CD187" s="59">
        <f ca="1">AVERAGE(OFFSET($CC$3,0,0,'Données projet'!$E$12+1,1))-AVERAGE(OFFSET($H$3,0,0,'Données projet'!$E$12+1,1))</f>
        <v>439.09551305860475</v>
      </c>
      <c r="CE187" s="59">
        <f t="shared" si="148"/>
        <v>311.31528017256846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62.953012215970034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62.953012215970034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5.6843418860808015E-13</v>
      </c>
      <c r="CU187" s="17">
        <f>CT187*VLOOKUP('Données projet'!$B$13,Paramètres!$A$1:$I$89,3,0)*VLOOKUP('Données projet'!$B$13,Paramètres!$A$1:$I$89,5,0)</f>
        <v>5.4978954722173515E-13</v>
      </c>
      <c r="CV187" s="13">
        <f t="shared" si="173"/>
        <v>6.7731340873355904E-12</v>
      </c>
      <c r="CW187" s="20">
        <f t="shared" si="174"/>
        <v>1.2754091996854009E-11</v>
      </c>
      <c r="CX187" s="59">
        <f t="shared" si="122"/>
        <v>289.67078632611947</v>
      </c>
      <c r="CY187" s="59">
        <f ca="1">AVERAGE(OFFSET($CX$3,0,0,'Données projet'!$E$13+1,1))-AVERAGE(OFFSET($H$3,0,0,'Données projet'!$E$13+1,1))</f>
        <v>445.01146841309549</v>
      </c>
      <c r="CZ187" s="59">
        <f t="shared" si="150"/>
        <v>315.40159257508969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63.985028809674432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63.985028809674432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-1.1368683772161603E-13</v>
      </c>
      <c r="DP187" s="17">
        <f>DO187*VLOOKUP('Données projet'!$B$14,Paramètres!$A$1:$I$89,3,0)*VLOOKUP('Données projet'!$B$14,Paramètres!$A$1:$I$89,5,0)</f>
        <v>-6.3550942286383367E-14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349.00268383833668</v>
      </c>
      <c r="DU187" s="59">
        <f t="shared" si="152"/>
        <v>459.94854391583749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17.614030248073909</v>
      </c>
      <c r="EB187" s="21">
        <f>EXP(-LN(2)/25)*EB186+(1-EXP(-LN(2)/25))/(LN(2)/25)*Calculateur!DW187*Calculateur!DY187*VLOOKUP('Données projet'!$B$14,Paramètres!$A$1:$I$89,3,0)*0.475*44/12</f>
        <v>1.6112599445462648</v>
      </c>
      <c r="EC187" s="21">
        <f>EXP(-LN(2)/2)*EC186+(1-EXP(-LN(2)/2))/(LN(2)/2)*DW187*DZ187*VLOOKUP('Données projet'!$B$14,Paramètres!$A$1:$I$89,3,0)*0.475*44/12</f>
        <v>1.3094825633706261E-18</v>
      </c>
      <c r="ED187" s="22">
        <f t="shared" si="178"/>
        <v>19.225290192620175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1.7053025658242404E-13</v>
      </c>
      <c r="EK187" s="17">
        <f>EJ187*VLOOKUP('Données projet'!$B$15,Paramètres!$A$1:$I$89,3,0)*VLOOKUP('Données projet'!$B$15,Paramètres!$A$1:$I$89,5,0)</f>
        <v>1.3301360013429075E-13</v>
      </c>
      <c r="EL187" s="13">
        <f t="shared" si="179"/>
        <v>1.9329766731057041E-12</v>
      </c>
      <c r="EM187" s="20">
        <f t="shared" si="180"/>
        <v>3.5982663925596575E-12</v>
      </c>
      <c r="EN187" s="59">
        <f t="shared" si="128"/>
        <v>289.67078632611032</v>
      </c>
      <c r="EO187" s="59">
        <f ca="1">AVERAGE(OFFSET($EN$3,0,0,'Données projet'!$E$15+1,1))-AVERAGE(OFFSET($H$3,0,0,'Données projet'!$E$15+1,1))</f>
        <v>308.82719216177946</v>
      </c>
      <c r="EP187" s="59">
        <f t="shared" si="154"/>
        <v>302.59481222418219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8.3195996807099029</v>
      </c>
      <c r="EW187" s="21">
        <f>EXP(-LN(2)/25)*EW186+(1-EXP(-LN(2)/25))/(LN(2)/25)*Calculateur!ER187*Calculateur!ET187*VLOOKUP('Données projet'!$B$15,Paramètres!$A$1:$I$89,3,0)*0.475*44/12</f>
        <v>2.8125946357455103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11.132194316455413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289.73432332846573</v>
      </c>
      <c r="S188" s="59">
        <f ca="1">AVERAGE(OFFSET($R$3,0,0,'Données projet'!$E$9+1,1))-AVERAGE(OFFSET($H$3,0,0,'Données projet'!$E$9+1,1))</f>
        <v>421.33534980160005</v>
      </c>
      <c r="T188" s="59">
        <f t="shared" si="142"/>
        <v>299.0473530693472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5.763922672485933E-13</v>
      </c>
      <c r="AK188" s="13">
        <f t="shared" si="164"/>
        <v>7.0619171555808457E-12</v>
      </c>
      <c r="AL188" s="20">
        <f t="shared" si="165"/>
        <v>1.3303388911427938E-11</v>
      </c>
      <c r="AM188" s="59">
        <f t="shared" si="113"/>
        <v>289.73432332846704</v>
      </c>
      <c r="AN188" s="59">
        <f ca="1">AVERAGE(OFFSET($AM$3,0,0,'Données projet'!$E$10+1,1))-AVERAGE(OFFSET($H$3,0,0,'Données projet'!$E$10+1,1))</f>
        <v>462.74754756814662</v>
      </c>
      <c r="AO188" s="59">
        <f t="shared" si="144"/>
        <v>327.65191293226667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65.765659555040216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65.765659555040216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5.6843418860808015E-13</v>
      </c>
      <c r="BE188" s="13">
        <f>BD188*VLOOKUP('Données projet'!$B$11,Paramètres!$A$1:$I$89,3,0)*VLOOKUP('Données projet'!$B$11,Paramètres!$A$1:$I$89,5,0)</f>
        <v>3.8130565371830017E-13</v>
      </c>
      <c r="BF188" s="13">
        <f t="shared" si="167"/>
        <v>4.9019074112354236E-12</v>
      </c>
      <c r="BG188" s="20">
        <f t="shared" si="168"/>
        <v>9.2015960881277352E-12</v>
      </c>
      <c r="BH188" s="59">
        <f t="shared" si="116"/>
        <v>289.73432332846295</v>
      </c>
      <c r="BI188" s="59">
        <f ca="1">AVERAGE(OFFSET($BH$3,0,0,'Données projet'!$E$11+1,1))-AVERAGE(OFFSET($H$3,0,0,'Données projet'!$E$11+1,1))</f>
        <v>332.21938212432008</v>
      </c>
      <c r="BJ188" s="59">
        <f t="shared" si="146"/>
        <v>237.47732529948181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53.624307021802018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53.624307021802018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5.4092197387944907E-13</v>
      </c>
      <c r="CA188" s="13">
        <f t="shared" si="170"/>
        <v>6.6765148417791561E-12</v>
      </c>
      <c r="CB188" s="20">
        <f t="shared" si="171"/>
        <v>1.2570369120605403E-11</v>
      </c>
      <c r="CC188" s="59">
        <f t="shared" si="119"/>
        <v>289.7343233284663</v>
      </c>
      <c r="CD188" s="59">
        <f ca="1">AVERAGE(OFFSET($CC$3,0,0,'Données projet'!$E$12+1,1))-AVERAGE(OFFSET($H$3,0,0,'Données projet'!$E$12+1,1))</f>
        <v>439.09551305860475</v>
      </c>
      <c r="CE188" s="59">
        <f t="shared" si="148"/>
        <v>311.31528017256846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61.718542043960873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61.718542043960873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5.6843418860808015E-13</v>
      </c>
      <c r="CU188" s="17">
        <f>CT188*VLOOKUP('Données projet'!$B$13,Paramètres!$A$1:$I$89,3,0)*VLOOKUP('Données projet'!$B$13,Paramètres!$A$1:$I$89,5,0)</f>
        <v>5.4978954722173515E-13</v>
      </c>
      <c r="CV188" s="13">
        <f t="shared" si="173"/>
        <v>6.7731340873355904E-12</v>
      </c>
      <c r="CW188" s="20">
        <f t="shared" si="174"/>
        <v>1.2754091996854009E-11</v>
      </c>
      <c r="CX188" s="59">
        <f t="shared" si="122"/>
        <v>289.73432332846647</v>
      </c>
      <c r="CY188" s="59">
        <f ca="1">AVERAGE(OFFSET($CX$3,0,0,'Données projet'!$E$13+1,1))-AVERAGE(OFFSET($H$3,0,0,'Données projet'!$E$13+1,1))</f>
        <v>445.01146841309549</v>
      </c>
      <c r="CZ188" s="59">
        <f t="shared" si="150"/>
        <v>315.40159257508969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62.730321421730693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62.730321421730693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-1.1368683772161603E-13</v>
      </c>
      <c r="DP188" s="17">
        <f>DO188*VLOOKUP('Données projet'!$B$14,Paramètres!$A$1:$I$89,3,0)*VLOOKUP('Données projet'!$B$14,Paramètres!$A$1:$I$89,5,0)</f>
        <v>-6.3550942286383367E-14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349.00268383833668</v>
      </c>
      <c r="DU188" s="59">
        <f t="shared" si="152"/>
        <v>459.94854391583749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17.268629858406801</v>
      </c>
      <c r="EB188" s="21">
        <f>EXP(-LN(2)/25)*EB187+(1-EXP(-LN(2)/25))/(LN(2)/25)*Calculateur!DW188*Calculateur!DY188*VLOOKUP('Données projet'!$B$14,Paramètres!$A$1:$I$89,3,0)*0.475*44/12</f>
        <v>1.5671999566301693</v>
      </c>
      <c r="EC188" s="21">
        <f>EXP(-LN(2)/2)*EC187+(1-EXP(-LN(2)/2))/(LN(2)/2)*DW188*DZ188*VLOOKUP('Données projet'!$B$14,Paramètres!$A$1:$I$89,3,0)*0.475*44/12</f>
        <v>9.2594400040491263E-19</v>
      </c>
      <c r="ED188" s="22">
        <f t="shared" si="178"/>
        <v>18.83582981503697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1.7053025658242404E-13</v>
      </c>
      <c r="EK188" s="17">
        <f>EJ188*VLOOKUP('Données projet'!$B$15,Paramètres!$A$1:$I$89,3,0)*VLOOKUP('Données projet'!$B$15,Paramètres!$A$1:$I$89,5,0)</f>
        <v>1.3301360013429075E-13</v>
      </c>
      <c r="EL188" s="13">
        <f t="shared" si="179"/>
        <v>1.9329766731057041E-12</v>
      </c>
      <c r="EM188" s="20">
        <f t="shared" si="180"/>
        <v>3.5982663925596575E-12</v>
      </c>
      <c r="EN188" s="59">
        <f t="shared" si="128"/>
        <v>289.73432332845732</v>
      </c>
      <c r="EO188" s="59">
        <f ca="1">AVERAGE(OFFSET($EN$3,0,0,'Données projet'!$E$15+1,1))-AVERAGE(OFFSET($H$3,0,0,'Données projet'!$E$15+1,1))</f>
        <v>308.82719216177946</v>
      </c>
      <c r="EP188" s="59">
        <f t="shared" si="154"/>
        <v>302.59481222418219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8.1564574054259253</v>
      </c>
      <c r="EW188" s="21">
        <f>EXP(-LN(2)/25)*EW187+(1-EXP(-LN(2)/25))/(LN(2)/25)*Calculateur!ER188*Calculateur!ET188*VLOOKUP('Données projet'!$B$15,Paramètres!$A$1:$I$89,3,0)*0.475*44/12</f>
        <v>2.7356840875231256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10.892141492949051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289.7967581058694</v>
      </c>
      <c r="S189" s="59">
        <f ca="1">AVERAGE(OFFSET($R$3,0,0,'Données projet'!$E$9+1,1))-AVERAGE(OFFSET($H$3,0,0,'Données projet'!$E$9+1,1))</f>
        <v>421.33534980160005</v>
      </c>
      <c r="T189" s="59">
        <f t="shared" si="142"/>
        <v>299.0473530693472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5.763922672485933E-13</v>
      </c>
      <c r="AK189" s="13">
        <f t="shared" si="164"/>
        <v>7.0619171555808457E-12</v>
      </c>
      <c r="AL189" s="20">
        <f t="shared" si="165"/>
        <v>1.3303388911427938E-11</v>
      </c>
      <c r="AM189" s="59">
        <f t="shared" si="113"/>
        <v>289.79675810587071</v>
      </c>
      <c r="AN189" s="59">
        <f ca="1">AVERAGE(OFFSET($AM$3,0,0,'Données projet'!$E$10+1,1))-AVERAGE(OFFSET($H$3,0,0,'Données projet'!$E$10+1,1))</f>
        <v>462.74754756814662</v>
      </c>
      <c r="AO189" s="59">
        <f t="shared" si="144"/>
        <v>327.65191293226667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64.476035084257362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64.476035084257362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5.6843418860808015E-13</v>
      </c>
      <c r="BE189" s="13">
        <f>BD189*VLOOKUP('Données projet'!$B$11,Paramètres!$A$1:$I$89,3,0)*VLOOKUP('Données projet'!$B$11,Paramètres!$A$1:$I$89,5,0)</f>
        <v>3.8130565371830017E-13</v>
      </c>
      <c r="BF189" s="13">
        <f t="shared" si="167"/>
        <v>4.9019074112354236E-12</v>
      </c>
      <c r="BG189" s="20">
        <f t="shared" si="168"/>
        <v>9.2015960881277352E-12</v>
      </c>
      <c r="BH189" s="59">
        <f t="shared" si="116"/>
        <v>289.79675810586662</v>
      </c>
      <c r="BI189" s="59">
        <f ca="1">AVERAGE(OFFSET($BH$3,0,0,'Données projet'!$E$11+1,1))-AVERAGE(OFFSET($H$3,0,0,'Données projet'!$E$11+1,1))</f>
        <v>332.21938212432008</v>
      </c>
      <c r="BJ189" s="59">
        <f t="shared" si="146"/>
        <v>237.47732529948181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52.572767068702156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52.572767068702156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5.4092197387944907E-13</v>
      </c>
      <c r="CA189" s="13">
        <f t="shared" si="170"/>
        <v>6.6765148417791561E-12</v>
      </c>
      <c r="CB189" s="20">
        <f t="shared" si="171"/>
        <v>1.2570369120605403E-11</v>
      </c>
      <c r="CC189" s="59">
        <f t="shared" si="119"/>
        <v>289.79675810586997</v>
      </c>
      <c r="CD189" s="59">
        <f ca="1">AVERAGE(OFFSET($CC$3,0,0,'Données projet'!$E$12+1,1))-AVERAGE(OFFSET($H$3,0,0,'Données projet'!$E$12+1,1))</f>
        <v>439.09551305860475</v>
      </c>
      <c r="CE189" s="59">
        <f t="shared" si="148"/>
        <v>311.31528017256846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60.508279079072352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60.508279079072352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5.6843418860808015E-13</v>
      </c>
      <c r="CU189" s="17">
        <f>CT189*VLOOKUP('Données projet'!$B$13,Paramètres!$A$1:$I$89,3,0)*VLOOKUP('Données projet'!$B$13,Paramètres!$A$1:$I$89,5,0)</f>
        <v>5.4978954722173515E-13</v>
      </c>
      <c r="CV189" s="13">
        <f t="shared" si="173"/>
        <v>6.7731340873355904E-12</v>
      </c>
      <c r="CW189" s="20">
        <f t="shared" si="174"/>
        <v>1.2754091996854009E-11</v>
      </c>
      <c r="CX189" s="59">
        <f t="shared" si="122"/>
        <v>289.79675810587014</v>
      </c>
      <c r="CY189" s="59">
        <f ca="1">AVERAGE(OFFSET($CX$3,0,0,'Données projet'!$E$13+1,1))-AVERAGE(OFFSET($H$3,0,0,'Données projet'!$E$13+1,1))</f>
        <v>445.01146841309549</v>
      </c>
      <c r="CZ189" s="59">
        <f t="shared" si="150"/>
        <v>315.40159257508969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61.50021808036859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61.50021808036859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-1.1368683772161603E-13</v>
      </c>
      <c r="DP189" s="17">
        <f>DO189*VLOOKUP('Données projet'!$B$14,Paramètres!$A$1:$I$89,3,0)*VLOOKUP('Données projet'!$B$14,Paramètres!$A$1:$I$89,5,0)</f>
        <v>-6.3550942286383367E-14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349.00268383833668</v>
      </c>
      <c r="DU189" s="59">
        <f t="shared" si="152"/>
        <v>459.94854391583749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16.930002559707628</v>
      </c>
      <c r="EB189" s="21">
        <f>EXP(-LN(2)/25)*EB188+(1-EXP(-LN(2)/25))/(LN(2)/25)*Calculateur!DW189*Calculateur!DY189*VLOOKUP('Données projet'!$B$14,Paramètres!$A$1:$I$89,3,0)*0.475*44/12</f>
        <v>1.5243447914006536</v>
      </c>
      <c r="EC189" s="21">
        <f>EXP(-LN(2)/2)*EC188+(1-EXP(-LN(2)/2))/(LN(2)/2)*DW189*DZ189*VLOOKUP('Données projet'!$B$14,Paramètres!$A$1:$I$89,3,0)*0.475*44/12</f>
        <v>6.5474128168531303E-19</v>
      </c>
      <c r="ED189" s="22">
        <f t="shared" si="178"/>
        <v>18.454347351108282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1.7053025658242404E-13</v>
      </c>
      <c r="EK189" s="17">
        <f>EJ189*VLOOKUP('Données projet'!$B$15,Paramètres!$A$1:$I$89,3,0)*VLOOKUP('Données projet'!$B$15,Paramètres!$A$1:$I$89,5,0)</f>
        <v>1.3301360013429075E-13</v>
      </c>
      <c r="EL189" s="13">
        <f t="shared" si="179"/>
        <v>1.9329766731057041E-12</v>
      </c>
      <c r="EM189" s="20">
        <f t="shared" si="180"/>
        <v>3.5982663925596575E-12</v>
      </c>
      <c r="EN189" s="59">
        <f t="shared" si="128"/>
        <v>289.79675810586099</v>
      </c>
      <c r="EO189" s="59">
        <f ca="1">AVERAGE(OFFSET($EN$3,0,0,'Données projet'!$E$15+1,1))-AVERAGE(OFFSET($H$3,0,0,'Données projet'!$E$15+1,1))</f>
        <v>308.82719216177946</v>
      </c>
      <c r="EP189" s="59">
        <f t="shared" si="154"/>
        <v>302.59481222418219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7.9965142506533047</v>
      </c>
      <c r="EW189" s="21">
        <f>EXP(-LN(2)/25)*EW188+(1-EXP(-LN(2)/25))/(LN(2)/25)*Calculateur!ER189*Calculateur!ET189*VLOOKUP('Données projet'!$B$15,Paramètres!$A$1:$I$89,3,0)*0.475*44/12</f>
        <v>2.6608766622864319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10.657390912939736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289.85810977946841</v>
      </c>
      <c r="S190" s="59">
        <f ca="1">AVERAGE(OFFSET($R$3,0,0,'Données projet'!$E$9+1,1))-AVERAGE(OFFSET($H$3,0,0,'Données projet'!$E$9+1,1))</f>
        <v>421.33534980160005</v>
      </c>
      <c r="T190" s="59">
        <f t="shared" si="142"/>
        <v>299.0473530693472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5.763922672485933E-13</v>
      </c>
      <c r="AK190" s="13">
        <f t="shared" si="164"/>
        <v>7.0619171555808457E-12</v>
      </c>
      <c r="AL190" s="20">
        <f t="shared" si="165"/>
        <v>1.3303388911427938E-11</v>
      </c>
      <c r="AM190" s="59">
        <f t="shared" si="113"/>
        <v>289.85810977946971</v>
      </c>
      <c r="AN190" s="59">
        <f ca="1">AVERAGE(OFFSET($AM$3,0,0,'Données projet'!$E$10+1,1))-AVERAGE(OFFSET($H$3,0,0,'Données projet'!$E$10+1,1))</f>
        <v>462.74754756814662</v>
      </c>
      <c r="AO190" s="59">
        <f t="shared" si="144"/>
        <v>327.65191293226667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63.211699362753308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63.211699362753308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5.6843418860808015E-13</v>
      </c>
      <c r="BE190" s="13">
        <f>BD190*VLOOKUP('Données projet'!$B$11,Paramètres!$A$1:$I$89,3,0)*VLOOKUP('Données projet'!$B$11,Paramètres!$A$1:$I$89,5,0)</f>
        <v>3.8130565371830017E-13</v>
      </c>
      <c r="BF190" s="13">
        <f t="shared" si="167"/>
        <v>4.9019074112354236E-12</v>
      </c>
      <c r="BG190" s="20">
        <f t="shared" si="168"/>
        <v>9.2015960881277352E-12</v>
      </c>
      <c r="BH190" s="59">
        <f t="shared" si="116"/>
        <v>289.85810977946562</v>
      </c>
      <c r="BI190" s="59">
        <f ca="1">AVERAGE(OFFSET($BH$3,0,0,'Données projet'!$E$11+1,1))-AVERAGE(OFFSET($H$3,0,0,'Données projet'!$E$11+1,1))</f>
        <v>332.21938212432008</v>
      </c>
      <c r="BJ190" s="59">
        <f t="shared" si="146"/>
        <v>237.47732529948181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51.541847172706539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51.541847172706539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5.4092197387944907E-13</v>
      </c>
      <c r="CA190" s="13">
        <f t="shared" si="170"/>
        <v>6.6765148417791561E-12</v>
      </c>
      <c r="CB190" s="20">
        <f t="shared" si="171"/>
        <v>1.2570369120605403E-11</v>
      </c>
      <c r="CC190" s="59">
        <f t="shared" si="119"/>
        <v>289.85810977946898</v>
      </c>
      <c r="CD190" s="59">
        <f ca="1">AVERAGE(OFFSET($CC$3,0,0,'Données projet'!$E$12+1,1))-AVERAGE(OFFSET($H$3,0,0,'Données projet'!$E$12+1,1))</f>
        <v>439.09551305860475</v>
      </c>
      <c r="CE190" s="59">
        <f t="shared" si="148"/>
        <v>311.31528017256846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59.32174863273778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59.32174863273778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5.6843418860808015E-13</v>
      </c>
      <c r="CU190" s="17">
        <f>CT190*VLOOKUP('Données projet'!$B$13,Paramètres!$A$1:$I$89,3,0)*VLOOKUP('Données projet'!$B$13,Paramètres!$A$1:$I$89,5,0)</f>
        <v>5.4978954722173515E-13</v>
      </c>
      <c r="CV190" s="13">
        <f t="shared" si="173"/>
        <v>6.7731340873355904E-12</v>
      </c>
      <c r="CW190" s="20">
        <f t="shared" si="174"/>
        <v>1.2754091996854009E-11</v>
      </c>
      <c r="CX190" s="59">
        <f t="shared" si="122"/>
        <v>289.85810977946915</v>
      </c>
      <c r="CY190" s="59">
        <f ca="1">AVERAGE(OFFSET($CX$3,0,0,'Données projet'!$E$13+1,1))-AVERAGE(OFFSET($H$3,0,0,'Données projet'!$E$13+1,1))</f>
        <v>445.01146841309549</v>
      </c>
      <c r="CZ190" s="59">
        <f t="shared" si="150"/>
        <v>315.40159257508969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60.294236315241648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60.294236315241648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-1.1368683772161603E-13</v>
      </c>
      <c r="DP190" s="17">
        <f>DO190*VLOOKUP('Données projet'!$B$14,Paramètres!$A$1:$I$89,3,0)*VLOOKUP('Données projet'!$B$14,Paramètres!$A$1:$I$89,5,0)</f>
        <v>-6.3550942286383367E-14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349.00268383833668</v>
      </c>
      <c r="DU190" s="59">
        <f t="shared" si="152"/>
        <v>459.94854391583749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16.598015535793689</v>
      </c>
      <c r="EB190" s="21">
        <f>EXP(-LN(2)/25)*EB189+(1-EXP(-LN(2)/25))/(LN(2)/25)*Calculateur!DW190*Calculateur!DY190*VLOOKUP('Données projet'!$B$14,Paramètres!$A$1:$I$89,3,0)*0.475*44/12</f>
        <v>1.4826615029179941</v>
      </c>
      <c r="EC190" s="21">
        <f>EXP(-LN(2)/2)*EC189+(1-EXP(-LN(2)/2))/(LN(2)/2)*DW190*DZ190*VLOOKUP('Données projet'!$B$14,Paramètres!$A$1:$I$89,3,0)*0.475*44/12</f>
        <v>4.6297200020245631E-19</v>
      </c>
      <c r="ED190" s="22">
        <f t="shared" si="178"/>
        <v>18.080677038711684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1.7053025658242404E-13</v>
      </c>
      <c r="EK190" s="17">
        <f>EJ190*VLOOKUP('Données projet'!$B$15,Paramètres!$A$1:$I$89,3,0)*VLOOKUP('Données projet'!$B$15,Paramètres!$A$1:$I$89,5,0)</f>
        <v>1.3301360013429075E-13</v>
      </c>
      <c r="EL190" s="13">
        <f t="shared" si="179"/>
        <v>1.9329766731057041E-12</v>
      </c>
      <c r="EM190" s="20">
        <f t="shared" si="180"/>
        <v>3.5982663925596575E-12</v>
      </c>
      <c r="EN190" s="59">
        <f t="shared" si="128"/>
        <v>289.85810977945999</v>
      </c>
      <c r="EO190" s="59">
        <f ca="1">AVERAGE(OFFSET($EN$3,0,0,'Données projet'!$E$15+1,1))-AVERAGE(OFFSET($H$3,0,0,'Données projet'!$E$15+1,1))</f>
        <v>308.82719216177946</v>
      </c>
      <c r="EP190" s="59">
        <f t="shared" si="154"/>
        <v>302.59481222418219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7.8397074835900842</v>
      </c>
      <c r="EW190" s="21">
        <f>EXP(-LN(2)/25)*EW189+(1-EXP(-LN(2)/25))/(LN(2)/25)*Calculateur!ER190*Calculateur!ET190*VLOOKUP('Données projet'!$B$15,Paramètres!$A$1:$I$89,3,0)*0.475*44/12</f>
        <v>2.5881148500267872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10.427822333616872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289.91839713869223</v>
      </c>
      <c r="S191" s="59">
        <f ca="1">AVERAGE(OFFSET($R$3,0,0,'Données projet'!$E$9+1,1))-AVERAGE(OFFSET($H$3,0,0,'Données projet'!$E$9+1,1))</f>
        <v>421.33534980160005</v>
      </c>
      <c r="T191" s="59">
        <f t="shared" si="142"/>
        <v>299.0473530693472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5.763922672485933E-13</v>
      </c>
      <c r="AK191" s="13">
        <f t="shared" si="164"/>
        <v>7.0619171555808457E-12</v>
      </c>
      <c r="AL191" s="20">
        <f t="shared" si="165"/>
        <v>1.3303388911427938E-11</v>
      </c>
      <c r="AM191" s="59">
        <f t="shared" si="113"/>
        <v>289.91839713869354</v>
      </c>
      <c r="AN191" s="59">
        <f ca="1">AVERAGE(OFFSET($AM$3,0,0,'Données projet'!$E$10+1,1))-AVERAGE(OFFSET($H$3,0,0,'Données projet'!$E$10+1,1))</f>
        <v>462.74754756814662</v>
      </c>
      <c r="AO191" s="59">
        <f t="shared" si="144"/>
        <v>327.65191293226667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61.972156493579305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61.972156493579305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5.6843418860808015E-13</v>
      </c>
      <c r="BE191" s="13">
        <f>BD191*VLOOKUP('Données projet'!$B$11,Paramètres!$A$1:$I$89,3,0)*VLOOKUP('Données projet'!$B$11,Paramètres!$A$1:$I$89,5,0)</f>
        <v>3.8130565371830017E-13</v>
      </c>
      <c r="BF191" s="13">
        <f t="shared" si="167"/>
        <v>4.9019074112354236E-12</v>
      </c>
      <c r="BG191" s="20">
        <f t="shared" si="168"/>
        <v>9.2015960881277352E-12</v>
      </c>
      <c r="BH191" s="59">
        <f t="shared" si="116"/>
        <v>289.91839713868944</v>
      </c>
      <c r="BI191" s="59">
        <f ca="1">AVERAGE(OFFSET($BH$3,0,0,'Données projet'!$E$11+1,1))-AVERAGE(OFFSET($H$3,0,0,'Données projet'!$E$11+1,1))</f>
        <v>332.21938212432008</v>
      </c>
      <c r="BJ191" s="59">
        <f t="shared" si="146"/>
        <v>237.47732529948181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50.53114298707235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50.53114298707235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5.4092197387944907E-13</v>
      </c>
      <c r="CA191" s="13">
        <f t="shared" si="170"/>
        <v>6.6765148417791561E-12</v>
      </c>
      <c r="CB191" s="20">
        <f t="shared" si="171"/>
        <v>1.2570369120605403E-11</v>
      </c>
      <c r="CC191" s="59">
        <f t="shared" si="119"/>
        <v>289.9183971386928</v>
      </c>
      <c r="CD191" s="59">
        <f ca="1">AVERAGE(OFFSET($CC$3,0,0,'Données projet'!$E$12+1,1))-AVERAGE(OFFSET($H$3,0,0,'Données projet'!$E$12+1,1))</f>
        <v>439.09551305860475</v>
      </c>
      <c r="CE191" s="59">
        <f t="shared" si="148"/>
        <v>311.31528017256846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58.158485324743715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58.158485324743715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5.6843418860808015E-13</v>
      </c>
      <c r="CU191" s="17">
        <f>CT191*VLOOKUP('Données projet'!$B$13,Paramètres!$A$1:$I$89,3,0)*VLOOKUP('Données projet'!$B$13,Paramètres!$A$1:$I$89,5,0)</f>
        <v>5.4978954722173515E-13</v>
      </c>
      <c r="CV191" s="13">
        <f t="shared" si="173"/>
        <v>6.7731340873355904E-12</v>
      </c>
      <c r="CW191" s="20">
        <f t="shared" si="174"/>
        <v>1.2754091996854009E-11</v>
      </c>
      <c r="CX191" s="59">
        <f t="shared" si="122"/>
        <v>289.91839713869297</v>
      </c>
      <c r="CY191" s="59">
        <f ca="1">AVERAGE(OFFSET($CX$3,0,0,'Données projet'!$E$13+1,1))-AVERAGE(OFFSET($H$3,0,0,'Données projet'!$E$13+1,1))</f>
        <v>445.01146841309549</v>
      </c>
      <c r="CZ191" s="59">
        <f t="shared" si="150"/>
        <v>315.40159257508969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59.111903116952597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59.111903116952597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-1.1368683772161603E-13</v>
      </c>
      <c r="DP191" s="17">
        <f>DO191*VLOOKUP('Données projet'!$B$14,Paramètres!$A$1:$I$89,3,0)*VLOOKUP('Données projet'!$B$14,Paramètres!$A$1:$I$89,5,0)</f>
        <v>-6.3550942286383367E-14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349.00268383833668</v>
      </c>
      <c r="DU191" s="59">
        <f t="shared" si="152"/>
        <v>459.94854391583749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16.27253857492661</v>
      </c>
      <c r="EB191" s="21">
        <f>EXP(-LN(2)/25)*EB190+(1-EXP(-LN(2)/25))/(LN(2)/25)*Calculateur!DW191*Calculateur!DY191*VLOOKUP('Données projet'!$B$14,Paramètres!$A$1:$I$89,3,0)*0.475*44/12</f>
        <v>1.4421180461509218</v>
      </c>
      <c r="EC191" s="21">
        <f>EXP(-LN(2)/2)*EC190+(1-EXP(-LN(2)/2))/(LN(2)/2)*DW191*DZ191*VLOOKUP('Données projet'!$B$14,Paramètres!$A$1:$I$89,3,0)*0.475*44/12</f>
        <v>3.2737064084265651E-19</v>
      </c>
      <c r="ED191" s="22">
        <f t="shared" si="178"/>
        <v>17.71465662107753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1.7053025658242404E-13</v>
      </c>
      <c r="EK191" s="17">
        <f>EJ191*VLOOKUP('Données projet'!$B$15,Paramètres!$A$1:$I$89,3,0)*VLOOKUP('Données projet'!$B$15,Paramètres!$A$1:$I$89,5,0)</f>
        <v>1.3301360013429075E-13</v>
      </c>
      <c r="EL191" s="13">
        <f t="shared" si="179"/>
        <v>1.9329766731057041E-12</v>
      </c>
      <c r="EM191" s="20">
        <f t="shared" si="180"/>
        <v>3.5982663925596575E-12</v>
      </c>
      <c r="EN191" s="59">
        <f t="shared" si="128"/>
        <v>289.91839713868382</v>
      </c>
      <c r="EO191" s="59">
        <f ca="1">AVERAGE(OFFSET($EN$3,0,0,'Données projet'!$E$15+1,1))-AVERAGE(OFFSET($H$3,0,0,'Données projet'!$E$15+1,1))</f>
        <v>308.82719216177946</v>
      </c>
      <c r="EP191" s="59">
        <f t="shared" si="154"/>
        <v>302.59481222418219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7.6859756015862892</v>
      </c>
      <c r="EW191" s="21">
        <f>EXP(-LN(2)/25)*EW190+(1-EXP(-LN(2)/25))/(LN(2)/25)*Calculateur!ER191*Calculateur!ET191*VLOOKUP('Données projet'!$B$15,Paramètres!$A$1:$I$89,3,0)*0.475*44/12</f>
        <v>2.5173427133497599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10.203318314936048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289.97763864701585</v>
      </c>
      <c r="S192" s="59">
        <f ca="1">AVERAGE(OFFSET($R$3,0,0,'Données projet'!$E$9+1,1))-AVERAGE(OFFSET($H$3,0,0,'Données projet'!$E$9+1,1))</f>
        <v>421.33534980160005</v>
      </c>
      <c r="T192" s="59">
        <f t="shared" si="142"/>
        <v>299.0473530693472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5.763922672485933E-13</v>
      </c>
      <c r="AK192" s="13">
        <f t="shared" si="164"/>
        <v>7.0619171555808457E-12</v>
      </c>
      <c r="AL192" s="20">
        <f t="shared" si="165"/>
        <v>1.3303388911427938E-11</v>
      </c>
      <c r="AM192" s="59">
        <f t="shared" si="113"/>
        <v>289.97763864701716</v>
      </c>
      <c r="AN192" s="59">
        <f ca="1">AVERAGE(OFFSET($AM$3,0,0,'Données projet'!$E$10+1,1))-AVERAGE(OFFSET($H$3,0,0,'Données projet'!$E$10+1,1))</f>
        <v>462.74754756814662</v>
      </c>
      <c r="AO192" s="59">
        <f t="shared" si="144"/>
        <v>327.65191293226667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60.756920304023311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60.756920304023311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5.6843418860808015E-13</v>
      </c>
      <c r="BE192" s="13">
        <f>BD192*VLOOKUP('Données projet'!$B$11,Paramètres!$A$1:$I$89,3,0)*VLOOKUP('Données projet'!$B$11,Paramètres!$A$1:$I$89,5,0)</f>
        <v>3.8130565371830017E-13</v>
      </c>
      <c r="BF192" s="13">
        <f t="shared" si="167"/>
        <v>4.9019074112354236E-12</v>
      </c>
      <c r="BG192" s="20">
        <f t="shared" si="168"/>
        <v>9.2015960881277352E-12</v>
      </c>
      <c r="BH192" s="59">
        <f t="shared" si="116"/>
        <v>289.97763864701307</v>
      </c>
      <c r="BI192" s="59">
        <f ca="1">AVERAGE(OFFSET($BH$3,0,0,'Données projet'!$E$11+1,1))-AVERAGE(OFFSET($H$3,0,0,'Données projet'!$E$11+1,1))</f>
        <v>332.21938212432008</v>
      </c>
      <c r="BJ192" s="59">
        <f t="shared" si="146"/>
        <v>237.47732529948181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49.540258094049769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49.540258094049769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5.4092197387944907E-13</v>
      </c>
      <c r="CA192" s="13">
        <f t="shared" si="170"/>
        <v>6.6765148417791561E-12</v>
      </c>
      <c r="CB192" s="20">
        <f t="shared" si="171"/>
        <v>1.2570369120605403E-11</v>
      </c>
      <c r="CC192" s="59">
        <f t="shared" si="119"/>
        <v>289.97763864701642</v>
      </c>
      <c r="CD192" s="59">
        <f ca="1">AVERAGE(OFFSET($CC$3,0,0,'Données projet'!$E$12+1,1))-AVERAGE(OFFSET($H$3,0,0,'Données projet'!$E$12+1,1))</f>
        <v>439.09551305860475</v>
      </c>
      <c r="CE192" s="59">
        <f t="shared" si="148"/>
        <v>311.31528017256846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57.018032900698856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57.018032900698856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5.6843418860808015E-13</v>
      </c>
      <c r="CU192" s="17">
        <f>CT192*VLOOKUP('Données projet'!$B$13,Paramètres!$A$1:$I$89,3,0)*VLOOKUP('Données projet'!$B$13,Paramètres!$A$1:$I$89,5,0)</f>
        <v>5.4978954722173515E-13</v>
      </c>
      <c r="CV192" s="13">
        <f t="shared" si="173"/>
        <v>6.7731340873355904E-12</v>
      </c>
      <c r="CW192" s="20">
        <f t="shared" si="174"/>
        <v>1.2754091996854009E-11</v>
      </c>
      <c r="CX192" s="59">
        <f t="shared" si="122"/>
        <v>289.97763864701659</v>
      </c>
      <c r="CY192" s="59">
        <f ca="1">AVERAGE(OFFSET($CX$3,0,0,'Données projet'!$E$13+1,1))-AVERAGE(OFFSET($H$3,0,0,'Données projet'!$E$13+1,1))</f>
        <v>445.01146841309549</v>
      </c>
      <c r="CZ192" s="59">
        <f t="shared" si="150"/>
        <v>315.40159257508969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57.952754751529952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57.952754751529952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-1.1368683772161603E-13</v>
      </c>
      <c r="DP192" s="17">
        <f>DO192*VLOOKUP('Données projet'!$B$14,Paramètres!$A$1:$I$89,3,0)*VLOOKUP('Données projet'!$B$14,Paramètres!$A$1:$I$89,5,0)</f>
        <v>-6.3550942286383367E-14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349.00268383833668</v>
      </c>
      <c r="DU192" s="59">
        <f t="shared" si="152"/>
        <v>459.94854391583749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15.953444018740791</v>
      </c>
      <c r="EB192" s="21">
        <f>EXP(-LN(2)/25)*EB191+(1-EXP(-LN(2)/25))/(LN(2)/25)*Calculateur!DW192*Calculateur!DY192*VLOOKUP('Données projet'!$B$14,Paramètres!$A$1:$I$89,3,0)*0.475*44/12</f>
        <v>1.4026832523412327</v>
      </c>
      <c r="EC192" s="21">
        <f>EXP(-LN(2)/2)*EC191+(1-EXP(-LN(2)/2))/(LN(2)/2)*DW192*DZ192*VLOOKUP('Données projet'!$B$14,Paramètres!$A$1:$I$89,3,0)*0.475*44/12</f>
        <v>2.3148600010122816E-19</v>
      </c>
      <c r="ED192" s="22">
        <f t="shared" si="178"/>
        <v>17.356127271082023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1.7053025658242404E-13</v>
      </c>
      <c r="EK192" s="17">
        <f>EJ192*VLOOKUP('Données projet'!$B$15,Paramètres!$A$1:$I$89,3,0)*VLOOKUP('Données projet'!$B$15,Paramètres!$A$1:$I$89,5,0)</f>
        <v>1.3301360013429075E-13</v>
      </c>
      <c r="EL192" s="13">
        <f t="shared" si="179"/>
        <v>1.9329766731057041E-12</v>
      </c>
      <c r="EM192" s="20">
        <f t="shared" si="180"/>
        <v>3.5982663925596575E-12</v>
      </c>
      <c r="EN192" s="59">
        <f t="shared" si="128"/>
        <v>289.97763864700744</v>
      </c>
      <c r="EO192" s="59">
        <f ca="1">AVERAGE(OFFSET($EN$3,0,0,'Données projet'!$E$15+1,1))-AVERAGE(OFFSET($H$3,0,0,'Données projet'!$E$15+1,1))</f>
        <v>308.82719216177946</v>
      </c>
      <c r="EP192" s="59">
        <f t="shared" si="154"/>
        <v>302.59481222418219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7.5352583080213993</v>
      </c>
      <c r="EW192" s="21">
        <f>EXP(-LN(2)/25)*EW191+(1-EXP(-LN(2)/25))/(LN(2)/25)*Calculateur!ER192*Calculateur!ET192*VLOOKUP('Données projet'!$B$15,Paramètres!$A$1:$I$89,3,0)*0.475*44/12</f>
        <v>2.448505844471911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9.9837641524933112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290.03585244761427</v>
      </c>
      <c r="S193" s="59">
        <f ca="1">AVERAGE(OFFSET($R$3,0,0,'Données projet'!$E$9+1,1))-AVERAGE(OFFSET($H$3,0,0,'Données projet'!$E$9+1,1))</f>
        <v>421.33534980160005</v>
      </c>
      <c r="T193" s="59">
        <f t="shared" si="142"/>
        <v>299.0473530693472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5.763922672485933E-13</v>
      </c>
      <c r="AK193" s="13">
        <f t="shared" si="164"/>
        <v>7.0619171555808457E-12</v>
      </c>
      <c r="AL193" s="20">
        <f t="shared" si="165"/>
        <v>1.3303388911427938E-11</v>
      </c>
      <c r="AM193" s="59">
        <f t="shared" si="113"/>
        <v>290.03585244761558</v>
      </c>
      <c r="AN193" s="59">
        <f ca="1">AVERAGE(OFFSET($AM$3,0,0,'Données projet'!$E$10+1,1))-AVERAGE(OFFSET($H$3,0,0,'Données projet'!$E$10+1,1))</f>
        <v>462.74754756814662</v>
      </c>
      <c r="AO193" s="59">
        <f t="shared" si="144"/>
        <v>327.65191293226667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59.565514154923619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59.565514154923619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5.6843418860808015E-13</v>
      </c>
      <c r="BE193" s="13">
        <f>BD193*VLOOKUP('Données projet'!$B$11,Paramètres!$A$1:$I$89,3,0)*VLOOKUP('Données projet'!$B$11,Paramètres!$A$1:$I$89,5,0)</f>
        <v>3.8130565371830017E-13</v>
      </c>
      <c r="BF193" s="13">
        <f t="shared" si="167"/>
        <v>4.9019074112354236E-12</v>
      </c>
      <c r="BG193" s="20">
        <f t="shared" si="168"/>
        <v>9.2015960881277352E-12</v>
      </c>
      <c r="BH193" s="59">
        <f t="shared" si="116"/>
        <v>290.03585244761149</v>
      </c>
      <c r="BI193" s="59">
        <f ca="1">AVERAGE(OFFSET($BH$3,0,0,'Données projet'!$E$11+1,1))-AVERAGE(OFFSET($H$3,0,0,'Données projet'!$E$11+1,1))</f>
        <v>332.21938212432008</v>
      </c>
      <c r="BJ193" s="59">
        <f t="shared" si="146"/>
        <v>237.47732529948181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48.568803849399252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48.568803849399252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5.4092197387944907E-13</v>
      </c>
      <c r="CA193" s="13">
        <f t="shared" si="170"/>
        <v>6.6765148417791561E-12</v>
      </c>
      <c r="CB193" s="20">
        <f t="shared" si="171"/>
        <v>1.2570369120605403E-11</v>
      </c>
      <c r="CC193" s="59">
        <f t="shared" si="119"/>
        <v>290.03585244761484</v>
      </c>
      <c r="CD193" s="59">
        <f ca="1">AVERAGE(OFFSET($CC$3,0,0,'Données projet'!$E$12+1,1))-AVERAGE(OFFSET($H$3,0,0,'Données projet'!$E$12+1,1))</f>
        <v>439.09551305860475</v>
      </c>
      <c r="CE193" s="59">
        <f t="shared" si="148"/>
        <v>311.31528017256846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55.899944053082223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55.899944053082223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5.6843418860808015E-13</v>
      </c>
      <c r="CU193" s="17">
        <f>CT193*VLOOKUP('Données projet'!$B$13,Paramètres!$A$1:$I$89,3,0)*VLOOKUP('Données projet'!$B$13,Paramètres!$A$1:$I$89,5,0)</f>
        <v>5.4978954722173515E-13</v>
      </c>
      <c r="CV193" s="13">
        <f t="shared" si="173"/>
        <v>6.7731340873355904E-12</v>
      </c>
      <c r="CW193" s="20">
        <f t="shared" si="174"/>
        <v>1.2754091996854009E-11</v>
      </c>
      <c r="CX193" s="59">
        <f t="shared" si="122"/>
        <v>290.03585244761501</v>
      </c>
      <c r="CY193" s="59">
        <f ca="1">AVERAGE(OFFSET($CX$3,0,0,'Données projet'!$E$13+1,1))-AVERAGE(OFFSET($H$3,0,0,'Données projet'!$E$13+1,1))</f>
        <v>445.01146841309549</v>
      </c>
      <c r="CZ193" s="59">
        <f t="shared" si="150"/>
        <v>315.40159257508969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56.816336578542554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56.816336578542554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-1.1368683772161603E-13</v>
      </c>
      <c r="DP193" s="17">
        <f>DO193*VLOOKUP('Données projet'!$B$14,Paramètres!$A$1:$I$89,3,0)*VLOOKUP('Données projet'!$B$14,Paramètres!$A$1:$I$89,5,0)</f>
        <v>-6.3550942286383367E-14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349.00268383833668</v>
      </c>
      <c r="DU193" s="59">
        <f t="shared" si="152"/>
        <v>459.94854391583749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15.640606712173314</v>
      </c>
      <c r="EB193" s="21">
        <f>EXP(-LN(2)/25)*EB192+(1-EXP(-LN(2)/25))/(LN(2)/25)*Calculateur!DW193*Calculateur!DY193*VLOOKUP('Données projet'!$B$14,Paramètres!$A$1:$I$89,3,0)*0.475*44/12</f>
        <v>1.3643268050420554</v>
      </c>
      <c r="EC193" s="21">
        <f>EXP(-LN(2)/2)*EC192+(1-EXP(-LN(2)/2))/(LN(2)/2)*DW193*DZ193*VLOOKUP('Données projet'!$B$14,Paramètres!$A$1:$I$89,3,0)*0.475*44/12</f>
        <v>1.6368532042132826E-19</v>
      </c>
      <c r="ED193" s="22">
        <f t="shared" si="178"/>
        <v>17.00493351721537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1.7053025658242404E-13</v>
      </c>
      <c r="EK193" s="17">
        <f>EJ193*VLOOKUP('Données projet'!$B$15,Paramètres!$A$1:$I$89,3,0)*VLOOKUP('Données projet'!$B$15,Paramètres!$A$1:$I$89,5,0)</f>
        <v>1.3301360013429075E-13</v>
      </c>
      <c r="EL193" s="13">
        <f t="shared" si="179"/>
        <v>1.9329766731057041E-12</v>
      </c>
      <c r="EM193" s="20">
        <f t="shared" si="180"/>
        <v>3.5982663925596575E-12</v>
      </c>
      <c r="EN193" s="59">
        <f t="shared" si="128"/>
        <v>290.03585244760586</v>
      </c>
      <c r="EO193" s="59">
        <f ca="1">AVERAGE(OFFSET($EN$3,0,0,'Données projet'!$E$15+1,1))-AVERAGE(OFFSET($H$3,0,0,'Données projet'!$E$15+1,1))</f>
        <v>308.82719216177946</v>
      </c>
      <c r="EP193" s="59">
        <f t="shared" si="154"/>
        <v>302.59481222418219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7.3874964886548451</v>
      </c>
      <c r="EW193" s="21">
        <f>EXP(-LN(2)/25)*EW192+(1-EXP(-LN(2)/25))/(LN(2)/25)*Calculateur!ER193*Calculateur!ET193*VLOOKUP('Données projet'!$B$15,Paramètres!$A$1:$I$89,3,0)*0.475*44/12</f>
        <v>2.3815513233935004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9.7690478120483455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290.09305636891884</v>
      </c>
      <c r="S194" s="59">
        <f ca="1">AVERAGE(OFFSET($R$3,0,0,'Données projet'!$E$9+1,1))-AVERAGE(OFFSET($H$3,0,0,'Données projet'!$E$9+1,1))</f>
        <v>421.33534980160005</v>
      </c>
      <c r="T194" s="59">
        <f t="shared" si="142"/>
        <v>299.0473530693472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5.763922672485933E-13</v>
      </c>
      <c r="AK194" s="13">
        <f t="shared" si="164"/>
        <v>7.0619171555808457E-12</v>
      </c>
      <c r="AL194" s="20">
        <f t="shared" si="165"/>
        <v>1.3303388911427938E-11</v>
      </c>
      <c r="AM194" s="59">
        <f t="shared" si="113"/>
        <v>290.09305636892014</v>
      </c>
      <c r="AN194" s="59">
        <f ca="1">AVERAGE(OFFSET($AM$3,0,0,'Données projet'!$E$10+1,1))-AVERAGE(OFFSET($H$3,0,0,'Données projet'!$E$10+1,1))</f>
        <v>462.74754756814662</v>
      </c>
      <c r="AO194" s="59">
        <f t="shared" si="144"/>
        <v>327.65191293226667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58.397470753721777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58.397470753721777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5.6843418860808015E-13</v>
      </c>
      <c r="BE194" s="13">
        <f>BD194*VLOOKUP('Données projet'!$B$11,Paramètres!$A$1:$I$89,3,0)*VLOOKUP('Données projet'!$B$11,Paramètres!$A$1:$I$89,5,0)</f>
        <v>3.8130565371830017E-13</v>
      </c>
      <c r="BF194" s="13">
        <f t="shared" si="167"/>
        <v>4.9019074112354236E-12</v>
      </c>
      <c r="BG194" s="20">
        <f t="shared" si="168"/>
        <v>9.2015960881277352E-12</v>
      </c>
      <c r="BH194" s="59">
        <f t="shared" si="116"/>
        <v>290.09305636891605</v>
      </c>
      <c r="BI194" s="59">
        <f ca="1">AVERAGE(OFFSET($BH$3,0,0,'Données projet'!$E$11+1,1))-AVERAGE(OFFSET($H$3,0,0,'Données projet'!$E$11+1,1))</f>
        <v>332.21938212432008</v>
      </c>
      <c r="BJ194" s="59">
        <f t="shared" si="146"/>
        <v>237.47732529948181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47.61639922995775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47.61639922995775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5.4092197387944907E-13</v>
      </c>
      <c r="CA194" s="13">
        <f t="shared" si="170"/>
        <v>6.6765148417791561E-12</v>
      </c>
      <c r="CB194" s="20">
        <f t="shared" si="171"/>
        <v>1.2570369120605403E-11</v>
      </c>
      <c r="CC194" s="59">
        <f t="shared" si="119"/>
        <v>290.09305636891941</v>
      </c>
      <c r="CD194" s="59">
        <f ca="1">AVERAGE(OFFSET($CC$3,0,0,'Données projet'!$E$12+1,1))-AVERAGE(OFFSET($H$3,0,0,'Données projet'!$E$12+1,1))</f>
        <v>439.09551305860475</v>
      </c>
      <c r="CE194" s="59">
        <f t="shared" si="148"/>
        <v>311.31528017256846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54.803780245800489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54.803780245800489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5.6843418860808015E-13</v>
      </c>
      <c r="CU194" s="17">
        <f>CT194*VLOOKUP('Données projet'!$B$13,Paramètres!$A$1:$I$89,3,0)*VLOOKUP('Données projet'!$B$13,Paramètres!$A$1:$I$89,5,0)</f>
        <v>5.4978954722173515E-13</v>
      </c>
      <c r="CV194" s="13">
        <f t="shared" si="173"/>
        <v>6.7731340873355904E-12</v>
      </c>
      <c r="CW194" s="20">
        <f t="shared" si="174"/>
        <v>1.2754091996854009E-11</v>
      </c>
      <c r="CX194" s="59">
        <f t="shared" si="122"/>
        <v>290.09305636891958</v>
      </c>
      <c r="CY194" s="59">
        <f ca="1">AVERAGE(OFFSET($CX$3,0,0,'Données projet'!$E$13+1,1))-AVERAGE(OFFSET($H$3,0,0,'Données projet'!$E$13+1,1))</f>
        <v>445.01146841309549</v>
      </c>
      <c r="CZ194" s="59">
        <f t="shared" si="150"/>
        <v>315.40159257508969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55.702202872780795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55.702202872780795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-1.1368683772161603E-13</v>
      </c>
      <c r="DP194" s="17">
        <f>DO194*VLOOKUP('Données projet'!$B$14,Paramètres!$A$1:$I$89,3,0)*VLOOKUP('Données projet'!$B$14,Paramètres!$A$1:$I$89,5,0)</f>
        <v>-6.3550942286383367E-14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349.00268383833668</v>
      </c>
      <c r="DU194" s="59">
        <f t="shared" si="152"/>
        <v>459.94854391583749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15.33390395437571</v>
      </c>
      <c r="EB194" s="21">
        <f>EXP(-LN(2)/25)*EB193+(1-EXP(-LN(2)/25))/(LN(2)/25)*Calculateur!DW194*Calculateur!DY194*VLOOKUP('Données projet'!$B$14,Paramètres!$A$1:$I$89,3,0)*0.475*44/12</f>
        <v>1.3270192168113519</v>
      </c>
      <c r="EC194" s="21">
        <f>EXP(-LN(2)/2)*EC193+(1-EXP(-LN(2)/2))/(LN(2)/2)*DW194*DZ194*VLOOKUP('Données projet'!$B$14,Paramètres!$A$1:$I$89,3,0)*0.475*44/12</f>
        <v>1.1574300005061408E-19</v>
      </c>
      <c r="ED194" s="22">
        <f t="shared" si="178"/>
        <v>16.660923171187061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1.7053025658242404E-13</v>
      </c>
      <c r="EK194" s="17">
        <f>EJ194*VLOOKUP('Données projet'!$B$15,Paramètres!$A$1:$I$89,3,0)*VLOOKUP('Données projet'!$B$15,Paramètres!$A$1:$I$89,5,0)</f>
        <v>1.3301360013429075E-13</v>
      </c>
      <c r="EL194" s="13">
        <f t="shared" si="179"/>
        <v>1.9329766731057041E-12</v>
      </c>
      <c r="EM194" s="20">
        <f t="shared" si="180"/>
        <v>3.5982663925596575E-12</v>
      </c>
      <c r="EN194" s="59">
        <f t="shared" si="128"/>
        <v>290.09305636891042</v>
      </c>
      <c r="EO194" s="59">
        <f ca="1">AVERAGE(OFFSET($EN$3,0,0,'Données projet'!$E$15+1,1))-AVERAGE(OFFSET($H$3,0,0,'Données projet'!$E$15+1,1))</f>
        <v>308.82719216177946</v>
      </c>
      <c r="EP194" s="59">
        <f t="shared" si="154"/>
        <v>302.59481222418219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7.2426321884402585</v>
      </c>
      <c r="EW194" s="21">
        <f>EXP(-LN(2)/25)*EW193+(1-EXP(-LN(2)/25))/(LN(2)/25)*Calculateur!ER194*Calculateur!ET194*VLOOKUP('Données projet'!$B$15,Paramètres!$A$1:$I$89,3,0)*0.475*44/12</f>
        <v>2.3164276772149641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9.5590598656552217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290.14926793007766</v>
      </c>
      <c r="S195" s="59">
        <f ca="1">AVERAGE(OFFSET($R$3,0,0,'Données projet'!$E$9+1,1))-AVERAGE(OFFSET($H$3,0,0,'Données projet'!$E$9+1,1))</f>
        <v>421.33534980160005</v>
      </c>
      <c r="T195" s="59">
        <f t="shared" si="142"/>
        <v>299.0473530693472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5.763922672485933E-13</v>
      </c>
      <c r="AK195" s="13">
        <f t="shared" si="164"/>
        <v>7.0619171555808457E-12</v>
      </c>
      <c r="AL195" s="20">
        <f t="shared" si="165"/>
        <v>1.3303388911427938E-11</v>
      </c>
      <c r="AM195" s="59">
        <f t="shared" si="113"/>
        <v>290.14926793007896</v>
      </c>
      <c r="AN195" s="59">
        <f ca="1">AVERAGE(OFFSET($AM$3,0,0,'Données projet'!$E$10+1,1))-AVERAGE(OFFSET($H$3,0,0,'Données projet'!$E$10+1,1))</f>
        <v>462.74754756814662</v>
      </c>
      <c r="AO195" s="59">
        <f t="shared" si="144"/>
        <v>327.65191293226667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57.252331971181377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57.252331971181377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5.6843418860808015E-13</v>
      </c>
      <c r="BE195" s="13">
        <f>BD195*VLOOKUP('Données projet'!$B$11,Paramètres!$A$1:$I$89,3,0)*VLOOKUP('Données projet'!$B$11,Paramètres!$A$1:$I$89,5,0)</f>
        <v>3.8130565371830017E-13</v>
      </c>
      <c r="BF195" s="13">
        <f t="shared" si="167"/>
        <v>4.9019074112354236E-12</v>
      </c>
      <c r="BG195" s="20">
        <f t="shared" si="168"/>
        <v>9.2015960881277352E-12</v>
      </c>
      <c r="BH195" s="59">
        <f t="shared" si="116"/>
        <v>290.14926793007487</v>
      </c>
      <c r="BI195" s="59">
        <f ca="1">AVERAGE(OFFSET($BH$3,0,0,'Données projet'!$E$11+1,1))-AVERAGE(OFFSET($H$3,0,0,'Données projet'!$E$11+1,1))</f>
        <v>332.21938212432008</v>
      </c>
      <c r="BJ195" s="59">
        <f t="shared" si="146"/>
        <v>237.47732529948181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46.682670684194036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46.682670684194036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5.4092197387944907E-13</v>
      </c>
      <c r="CA195" s="13">
        <f t="shared" si="170"/>
        <v>6.6765148417791561E-12</v>
      </c>
      <c r="CB195" s="20">
        <f t="shared" si="171"/>
        <v>1.2570369120605403E-11</v>
      </c>
      <c r="CC195" s="59">
        <f t="shared" si="119"/>
        <v>290.14926793007822</v>
      </c>
      <c r="CD195" s="59">
        <f ca="1">AVERAGE(OFFSET($CC$3,0,0,'Données projet'!$E$12+1,1))-AVERAGE(OFFSET($H$3,0,0,'Données projet'!$E$12+1,1))</f>
        <v>439.09551305860475</v>
      </c>
      <c r="CE195" s="59">
        <f t="shared" si="148"/>
        <v>311.31528017256846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53.729111542185649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53.729111542185649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5.6843418860808015E-13</v>
      </c>
      <c r="CU195" s="17">
        <f>CT195*VLOOKUP('Données projet'!$B$13,Paramètres!$A$1:$I$89,3,0)*VLOOKUP('Données projet'!$B$13,Paramètres!$A$1:$I$89,5,0)</f>
        <v>5.4978954722173515E-13</v>
      </c>
      <c r="CV195" s="13">
        <f t="shared" si="173"/>
        <v>6.7731340873355904E-12</v>
      </c>
      <c r="CW195" s="20">
        <f t="shared" si="174"/>
        <v>1.2754091996854009E-11</v>
      </c>
      <c r="CX195" s="59">
        <f t="shared" si="122"/>
        <v>290.14926793007839</v>
      </c>
      <c r="CY195" s="59">
        <f ca="1">AVERAGE(OFFSET($CX$3,0,0,'Données projet'!$E$13+1,1))-AVERAGE(OFFSET($H$3,0,0,'Données projet'!$E$13+1,1))</f>
        <v>445.01146841309549</v>
      </c>
      <c r="CZ195" s="59">
        <f t="shared" si="150"/>
        <v>315.40159257508969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54.609916649434567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54.609916649434567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-1.1368683772161603E-13</v>
      </c>
      <c r="DP195" s="17">
        <f>DO195*VLOOKUP('Données projet'!$B$14,Paramètres!$A$1:$I$89,3,0)*VLOOKUP('Données projet'!$B$14,Paramètres!$A$1:$I$89,5,0)</f>
        <v>-6.3550942286383367E-14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349.00268383833668</v>
      </c>
      <c r="DU195" s="59">
        <f t="shared" si="152"/>
        <v>459.94854391583749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15.033215450588306</v>
      </c>
      <c r="EB195" s="21">
        <f>EXP(-LN(2)/25)*EB194+(1-EXP(-LN(2)/25))/(LN(2)/25)*Calculateur!DW195*Calculateur!DY195*VLOOKUP('Données projet'!$B$14,Paramètres!$A$1:$I$89,3,0)*0.475*44/12</f>
        <v>1.2907318065427378</v>
      </c>
      <c r="EC195" s="21">
        <f>EXP(-LN(2)/2)*EC194+(1-EXP(-LN(2)/2))/(LN(2)/2)*DW195*DZ195*VLOOKUP('Données projet'!$B$14,Paramètres!$A$1:$I$89,3,0)*0.475*44/12</f>
        <v>8.1842660210664128E-20</v>
      </c>
      <c r="ED195" s="22">
        <f t="shared" si="178"/>
        <v>16.323947257131046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1.7053025658242404E-13</v>
      </c>
      <c r="EK195" s="17">
        <f>EJ195*VLOOKUP('Données projet'!$B$15,Paramètres!$A$1:$I$89,3,0)*VLOOKUP('Données projet'!$B$15,Paramètres!$A$1:$I$89,5,0)</f>
        <v>1.3301360013429075E-13</v>
      </c>
      <c r="EL195" s="13">
        <f t="shared" si="179"/>
        <v>1.9329766731057041E-12</v>
      </c>
      <c r="EM195" s="20">
        <f t="shared" si="180"/>
        <v>3.5982663925596575E-12</v>
      </c>
      <c r="EN195" s="59">
        <f t="shared" si="128"/>
        <v>290.14926793006924</v>
      </c>
      <c r="EO195" s="59">
        <f ca="1">AVERAGE(OFFSET($EN$3,0,0,'Données projet'!$E$15+1,1))-AVERAGE(OFFSET($H$3,0,0,'Données projet'!$E$15+1,1))</f>
        <v>308.82719216177946</v>
      </c>
      <c r="EP195" s="59">
        <f t="shared" si="154"/>
        <v>302.59481222418219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7.1006085887943815</v>
      </c>
      <c r="EW195" s="21">
        <f>EXP(-LN(2)/25)*EW194+(1-EXP(-LN(2)/25))/(LN(2)/25)*Calculateur!ER195*Calculateur!ET195*VLOOKUP('Données projet'!$B$15,Paramètres!$A$1:$I$89,3,0)*0.475*44/12</f>
        <v>2.2530848405658834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9.3536934293602645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290.2045043463205</v>
      </c>
      <c r="S196" s="59">
        <f ca="1">AVERAGE(OFFSET($R$3,0,0,'Données projet'!$E$9+1,1))-AVERAGE(OFFSET($H$3,0,0,'Données projet'!$E$9+1,1))</f>
        <v>421.33534980160005</v>
      </c>
      <c r="T196" s="59">
        <f t="shared" si="142"/>
        <v>299.0473530693472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5.763922672485933E-13</v>
      </c>
      <c r="AK196" s="13">
        <f t="shared" si="164"/>
        <v>7.0619171555808457E-12</v>
      </c>
      <c r="AL196" s="20">
        <f t="shared" si="165"/>
        <v>1.3303388911427938E-11</v>
      </c>
      <c r="AM196" s="59">
        <f t="shared" ref="AM196:AM203" si="193">AL196+(AD196+AE196)*44/12</f>
        <v>290.20450434632181</v>
      </c>
      <c r="AN196" s="59">
        <f ca="1">AVERAGE(OFFSET($AM$3,0,0,'Données projet'!$E$10+1,1))-AVERAGE(OFFSET($H$3,0,0,'Données projet'!$E$10+1,1))</f>
        <v>462.74754756814662</v>
      </c>
      <c r="AO196" s="59">
        <f t="shared" si="144"/>
        <v>327.65191293226667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56.129648661700905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56.129648661700905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5.6843418860808015E-13</v>
      </c>
      <c r="BE196" s="13">
        <f>BD196*VLOOKUP('Données projet'!$B$11,Paramètres!$A$1:$I$89,3,0)*VLOOKUP('Données projet'!$B$11,Paramètres!$A$1:$I$89,5,0)</f>
        <v>3.8130565371830017E-13</v>
      </c>
      <c r="BF196" s="13">
        <f t="shared" si="167"/>
        <v>4.9019074112354236E-12</v>
      </c>
      <c r="BG196" s="20">
        <f t="shared" si="168"/>
        <v>9.2015960881277352E-12</v>
      </c>
      <c r="BH196" s="59">
        <f t="shared" ref="BH196:BH203" si="194">BG196+(AY196+AZ196)*44/12</f>
        <v>290.20450434631772</v>
      </c>
      <c r="BI196" s="59">
        <f ca="1">AVERAGE(OFFSET($BH$3,0,0,'Données projet'!$E$11+1,1))-AVERAGE(OFFSET($H$3,0,0,'Données projet'!$E$11+1,1))</f>
        <v>332.21938212432008</v>
      </c>
      <c r="BJ196" s="59">
        <f t="shared" si="146"/>
        <v>237.47732529948181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45.767251985694571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45.767251985694571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5.4092197387944907E-13</v>
      </c>
      <c r="CA196" s="13">
        <f t="shared" si="170"/>
        <v>6.6765148417791561E-12</v>
      </c>
      <c r="CB196" s="20">
        <f t="shared" si="171"/>
        <v>1.2570369120605403E-11</v>
      </c>
      <c r="CC196" s="59">
        <f t="shared" ref="CC196:CC203" si="195">CB196+(BT196+BU196)*44/12</f>
        <v>290.20450434632107</v>
      </c>
      <c r="CD196" s="59">
        <f ca="1">AVERAGE(OFFSET($CC$3,0,0,'Données projet'!$E$12+1,1))-AVERAGE(OFFSET($H$3,0,0,'Données projet'!$E$12+1,1))</f>
        <v>439.09551305860475</v>
      </c>
      <c r="CE196" s="59">
        <f t="shared" si="148"/>
        <v>311.31528017256846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52.675516436365513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52.675516436365513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5.6843418860808015E-13</v>
      </c>
      <c r="CU196" s="17">
        <f>CT196*VLOOKUP('Données projet'!$B$13,Paramètres!$A$1:$I$89,3,0)*VLOOKUP('Données projet'!$B$13,Paramètres!$A$1:$I$89,5,0)</f>
        <v>5.4978954722173515E-13</v>
      </c>
      <c r="CV196" s="13">
        <f t="shared" si="173"/>
        <v>6.7731340873355904E-12</v>
      </c>
      <c r="CW196" s="20">
        <f t="shared" si="174"/>
        <v>1.2754091996854009E-11</v>
      </c>
      <c r="CX196" s="59">
        <f t="shared" ref="CX196:CX203" si="196">CW196+(CO196+CP196)*44/12</f>
        <v>290.20450434632124</v>
      </c>
      <c r="CY196" s="59">
        <f ca="1">AVERAGE(OFFSET($CX$3,0,0,'Données projet'!$E$13+1,1))-AVERAGE(OFFSET($H$3,0,0,'Données projet'!$E$13+1,1))</f>
        <v>445.01146841309549</v>
      </c>
      <c r="CZ196" s="59">
        <f t="shared" si="150"/>
        <v>315.40159257508969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53.539049492699341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53.539049492699341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-1.1368683772161603E-13</v>
      </c>
      <c r="DP196" s="17">
        <f>DO196*VLOOKUP('Données projet'!$B$14,Paramètres!$A$1:$I$89,3,0)*VLOOKUP('Données projet'!$B$14,Paramètres!$A$1:$I$89,5,0)</f>
        <v>-6.3550942286383367E-14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349.00268383833668</v>
      </c>
      <c r="DU196" s="59">
        <f t="shared" si="152"/>
        <v>459.94854391583749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14.738423264958296</v>
      </c>
      <c r="EB196" s="21">
        <f>EXP(-LN(2)/25)*EB195+(1-EXP(-LN(2)/25))/(LN(2)/25)*Calculateur!DW196*Calculateur!DY196*VLOOKUP('Données projet'!$B$14,Paramètres!$A$1:$I$89,3,0)*0.475*44/12</f>
        <v>1.2554366774161909</v>
      </c>
      <c r="EC196" s="21">
        <f>EXP(-LN(2)/2)*EC195+(1-EXP(-LN(2)/2))/(LN(2)/2)*DW196*DZ196*VLOOKUP('Données projet'!$B$14,Paramètres!$A$1:$I$89,3,0)*0.475*44/12</f>
        <v>5.7871500025307039E-20</v>
      </c>
      <c r="ED196" s="22">
        <f t="shared" si="178"/>
        <v>15.993859942374486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1.7053025658242404E-13</v>
      </c>
      <c r="EK196" s="17">
        <f>EJ196*VLOOKUP('Données projet'!$B$15,Paramètres!$A$1:$I$89,3,0)*VLOOKUP('Données projet'!$B$15,Paramètres!$A$1:$I$89,5,0)</f>
        <v>1.3301360013429075E-13</v>
      </c>
      <c r="EL196" s="13">
        <f t="shared" si="179"/>
        <v>1.9329766731057041E-12</v>
      </c>
      <c r="EM196" s="20">
        <f t="shared" si="180"/>
        <v>3.5982663925596575E-12</v>
      </c>
      <c r="EN196" s="59">
        <f t="shared" ref="EN196:EN203" si="198">EM196+(EE196+EF196)*44/12</f>
        <v>290.20450434631209</v>
      </c>
      <c r="EO196" s="59">
        <f ca="1">AVERAGE(OFFSET($EN$3,0,0,'Données projet'!$E$15+1,1))-AVERAGE(OFFSET($H$3,0,0,'Données projet'!$E$15+1,1))</f>
        <v>308.82719216177946</v>
      </c>
      <c r="EP196" s="59">
        <f t="shared" si="154"/>
        <v>302.59481222418219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6.9613699853117179</v>
      </c>
      <c r="EW196" s="21">
        <f>EXP(-LN(2)/25)*EW195+(1-EXP(-LN(2)/25))/(LN(2)/25)*Calculateur!ER196*Calculateur!ET196*VLOOKUP('Données projet'!$B$15,Paramètres!$A$1:$I$89,3,0)*0.475*44/12</f>
        <v>2.191474117116027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9.1528441024277445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290.25878253423173</v>
      </c>
      <c r="S197" s="59">
        <f ca="1">AVERAGE(OFFSET($R$3,0,0,'Données projet'!$E$9+1,1))-AVERAGE(OFFSET($H$3,0,0,'Données projet'!$E$9+1,1))</f>
        <v>421.33534980160005</v>
      </c>
      <c r="T197" s="59">
        <f t="shared" ref="T197:T203" si="204">$T$3</f>
        <v>299.0473530693472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5.763922672485933E-13</v>
      </c>
      <c r="AK197" s="13">
        <f t="shared" si="164"/>
        <v>7.0619171555808457E-12</v>
      </c>
      <c r="AL197" s="20">
        <f t="shared" si="165"/>
        <v>1.3303388911427938E-11</v>
      </c>
      <c r="AM197" s="59">
        <f t="shared" si="193"/>
        <v>290.25878253423303</v>
      </c>
      <c r="AN197" s="59">
        <f ca="1">AVERAGE(OFFSET($AM$3,0,0,'Données projet'!$E$10+1,1))-AVERAGE(OFFSET($H$3,0,0,'Données projet'!$E$10+1,1))</f>
        <v>462.74754756814662</v>
      </c>
      <c r="AO197" s="59">
        <f t="shared" ref="AO197:AO203" si="205">$AO$3</f>
        <v>327.65191293226667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55.028980487150136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55.028980487150136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5.6843418860808015E-13</v>
      </c>
      <c r="BE197" s="13">
        <f>BD197*VLOOKUP('Données projet'!$B$11,Paramètres!$A$1:$I$89,3,0)*VLOOKUP('Données projet'!$B$11,Paramètres!$A$1:$I$89,5,0)</f>
        <v>3.8130565371830017E-13</v>
      </c>
      <c r="BF197" s="13">
        <f t="shared" si="167"/>
        <v>4.9019074112354236E-12</v>
      </c>
      <c r="BG197" s="20">
        <f t="shared" si="168"/>
        <v>9.2015960881277352E-12</v>
      </c>
      <c r="BH197" s="59">
        <f t="shared" si="194"/>
        <v>290.25878253422894</v>
      </c>
      <c r="BI197" s="59">
        <f ca="1">AVERAGE(OFFSET($BH$3,0,0,'Données projet'!$E$11+1,1))-AVERAGE(OFFSET($H$3,0,0,'Données projet'!$E$11+1,1))</f>
        <v>332.21938212432008</v>
      </c>
      <c r="BJ197" s="59">
        <f t="shared" ref="BJ197:BJ203" si="206">$BJ$3</f>
        <v>237.47732529948181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44.869784089522405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44.869784089522405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5.4092197387944907E-13</v>
      </c>
      <c r="CA197" s="13">
        <f t="shared" si="170"/>
        <v>6.6765148417791561E-12</v>
      </c>
      <c r="CB197" s="20">
        <f t="shared" si="171"/>
        <v>1.2570369120605403E-11</v>
      </c>
      <c r="CC197" s="59">
        <f t="shared" si="195"/>
        <v>290.2587825342323</v>
      </c>
      <c r="CD197" s="59">
        <f ca="1">AVERAGE(OFFSET($CC$3,0,0,'Données projet'!$E$12+1,1))-AVERAGE(OFFSET($H$3,0,0,'Données projet'!$E$12+1,1))</f>
        <v>439.09551305860475</v>
      </c>
      <c r="CE197" s="59">
        <f t="shared" ref="CE197:CE203" si="207">$CE$3</f>
        <v>311.31528017256846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51.642581687940947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51.642581687940947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5.6843418860808015E-13</v>
      </c>
      <c r="CU197" s="17">
        <f>CT197*VLOOKUP('Données projet'!$B$13,Paramètres!$A$1:$I$89,3,0)*VLOOKUP('Données projet'!$B$13,Paramètres!$A$1:$I$89,5,0)</f>
        <v>5.4978954722173515E-13</v>
      </c>
      <c r="CV197" s="13">
        <f t="shared" si="173"/>
        <v>6.7731340873355904E-12</v>
      </c>
      <c r="CW197" s="20">
        <f t="shared" si="174"/>
        <v>1.2754091996854009E-11</v>
      </c>
      <c r="CX197" s="59">
        <f t="shared" si="196"/>
        <v>290.25878253423247</v>
      </c>
      <c r="CY197" s="59">
        <f ca="1">AVERAGE(OFFSET($CX$3,0,0,'Données projet'!$E$13+1,1))-AVERAGE(OFFSET($H$3,0,0,'Données projet'!$E$13+1,1))</f>
        <v>445.01146841309549</v>
      </c>
      <c r="CZ197" s="59">
        <f t="shared" ref="CZ197:CZ203" si="208">$CZ$3</f>
        <v>315.40159257508969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52.489181387743223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52.489181387743223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-1.1368683772161603E-13</v>
      </c>
      <c r="DP197" s="17">
        <f>DO197*VLOOKUP('Données projet'!$B$14,Paramètres!$A$1:$I$89,3,0)*VLOOKUP('Données projet'!$B$14,Paramètres!$A$1:$I$89,5,0)</f>
        <v>-6.3550942286383367E-14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349.00268383833668</v>
      </c>
      <c r="DU197" s="59">
        <f t="shared" ref="DU197:DU203" si="209">$DU$3</f>
        <v>459.94854391583749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14.449411774283011</v>
      </c>
      <c r="EB197" s="21">
        <f>EXP(-LN(2)/25)*EB196+(1-EXP(-LN(2)/25))/(LN(2)/25)*Calculateur!DW197*Calculateur!DY197*VLOOKUP('Données projet'!$B$14,Paramètres!$A$1:$I$89,3,0)*0.475*44/12</f>
        <v>1.2211066954516996</v>
      </c>
      <c r="EC197" s="21">
        <f>EXP(-LN(2)/2)*EC196+(1-EXP(-LN(2)/2))/(LN(2)/2)*DW197*DZ197*VLOOKUP('Données projet'!$B$14,Paramètres!$A$1:$I$89,3,0)*0.475*44/12</f>
        <v>4.0921330105332064E-20</v>
      </c>
      <c r="ED197" s="22">
        <f t="shared" si="178"/>
        <v>15.670518469734709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1.7053025658242404E-13</v>
      </c>
      <c r="EK197" s="17">
        <f>EJ197*VLOOKUP('Données projet'!$B$15,Paramètres!$A$1:$I$89,3,0)*VLOOKUP('Données projet'!$B$15,Paramètres!$A$1:$I$89,5,0)</f>
        <v>1.3301360013429075E-13</v>
      </c>
      <c r="EL197" s="13">
        <f t="shared" si="179"/>
        <v>1.9329766731057041E-12</v>
      </c>
      <c r="EM197" s="20">
        <f t="shared" si="180"/>
        <v>3.5982663925596575E-12</v>
      </c>
      <c r="EN197" s="59">
        <f t="shared" si="198"/>
        <v>290.25878253422331</v>
      </c>
      <c r="EO197" s="59">
        <f ca="1">AVERAGE(OFFSET($EN$3,0,0,'Données projet'!$E$15+1,1))-AVERAGE(OFFSET($H$3,0,0,'Données projet'!$E$15+1,1))</f>
        <v>308.82719216177946</v>
      </c>
      <c r="EP197" s="59">
        <f t="shared" ref="EP197:EP203" si="210">$EP$3</f>
        <v>302.59481222418219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6.8248617659161868</v>
      </c>
      <c r="EW197" s="21">
        <f>EXP(-LN(2)/25)*EW196+(1-EXP(-LN(2)/25))/(LN(2)/25)*Calculateur!ER197*Calculateur!ET197*VLOOKUP('Données projet'!$B$15,Paramètres!$A$1:$I$89,3,0)*0.475*44/12</f>
        <v>2.131548142138874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8.9564099080550612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290.31211911693049</v>
      </c>
      <c r="S198" s="59">
        <f ca="1">AVERAGE(OFFSET($R$3,0,0,'Données projet'!$E$9+1,1))-AVERAGE(OFFSET($H$3,0,0,'Données projet'!$E$9+1,1))</f>
        <v>421.33534980160005</v>
      </c>
      <c r="T198" s="59">
        <f t="shared" si="204"/>
        <v>299.0473530693472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5.763922672485933E-13</v>
      </c>
      <c r="AK198" s="13">
        <f t="shared" si="164"/>
        <v>7.0619171555808457E-12</v>
      </c>
      <c r="AL198" s="20">
        <f t="shared" si="165"/>
        <v>1.3303388911427938E-11</v>
      </c>
      <c r="AM198" s="59">
        <f t="shared" si="193"/>
        <v>290.3121191169318</v>
      </c>
      <c r="AN198" s="59">
        <f ca="1">AVERAGE(OFFSET($AM$3,0,0,'Données projet'!$E$10+1,1))-AVERAGE(OFFSET($H$3,0,0,'Données projet'!$E$10+1,1))</f>
        <v>462.74754756814662</v>
      </c>
      <c r="AO198" s="59">
        <f t="shared" si="205"/>
        <v>327.65191293226667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53.949895744161012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53.949895744161012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5.6843418860808015E-13</v>
      </c>
      <c r="BE198" s="13">
        <f>BD198*VLOOKUP('Données projet'!$B$11,Paramètres!$A$1:$I$89,3,0)*VLOOKUP('Données projet'!$B$11,Paramètres!$A$1:$I$89,5,0)</f>
        <v>3.8130565371830017E-13</v>
      </c>
      <c r="BF198" s="13">
        <f t="shared" si="167"/>
        <v>4.9019074112354236E-12</v>
      </c>
      <c r="BG198" s="20">
        <f t="shared" si="168"/>
        <v>9.2015960881277352E-12</v>
      </c>
      <c r="BH198" s="59">
        <f t="shared" si="194"/>
        <v>290.3121191169277</v>
      </c>
      <c r="BI198" s="59">
        <f ca="1">AVERAGE(OFFSET($BH$3,0,0,'Données projet'!$E$11+1,1))-AVERAGE(OFFSET($H$3,0,0,'Données projet'!$E$11+1,1))</f>
        <v>332.21938212432008</v>
      </c>
      <c r="BJ198" s="59">
        <f t="shared" si="206"/>
        <v>237.47732529948181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43.989914991392816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43.989914991392816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5.4092197387944907E-13</v>
      </c>
      <c r="CA198" s="13">
        <f t="shared" si="170"/>
        <v>6.6765148417791561E-12</v>
      </c>
      <c r="CB198" s="20">
        <f t="shared" si="171"/>
        <v>1.2570369120605403E-11</v>
      </c>
      <c r="CC198" s="59">
        <f t="shared" si="195"/>
        <v>290.31211911693106</v>
      </c>
      <c r="CD198" s="59">
        <f ca="1">AVERAGE(OFFSET($CC$3,0,0,'Données projet'!$E$12+1,1))-AVERAGE(OFFSET($H$3,0,0,'Données projet'!$E$12+1,1))</f>
        <v>439.09551305860475</v>
      </c>
      <c r="CE198" s="59">
        <f t="shared" si="207"/>
        <v>311.31528017256846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50.629902159905001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50.629902159905001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5.6843418860808015E-13</v>
      </c>
      <c r="CU198" s="17">
        <f>CT198*VLOOKUP('Données projet'!$B$13,Paramètres!$A$1:$I$89,3,0)*VLOOKUP('Données projet'!$B$13,Paramètres!$A$1:$I$89,5,0)</f>
        <v>5.4978954722173515E-13</v>
      </c>
      <c r="CV198" s="13">
        <f t="shared" si="173"/>
        <v>6.7731340873355904E-12</v>
      </c>
      <c r="CW198" s="20">
        <f t="shared" si="174"/>
        <v>1.2754091996854009E-11</v>
      </c>
      <c r="CX198" s="59">
        <f t="shared" si="196"/>
        <v>290.31211911693123</v>
      </c>
      <c r="CY198" s="59">
        <f ca="1">AVERAGE(OFFSET($CX$3,0,0,'Données projet'!$E$13+1,1))-AVERAGE(OFFSET($H$3,0,0,'Données projet'!$E$13+1,1))</f>
        <v>445.01146841309549</v>
      </c>
      <c r="CZ198" s="59">
        <f t="shared" si="208"/>
        <v>315.40159257508969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51.459900555968986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51.459900555968986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-1.1368683772161603E-13</v>
      </c>
      <c r="DP198" s="17">
        <f>DO198*VLOOKUP('Données projet'!$B$14,Paramètres!$A$1:$I$89,3,0)*VLOOKUP('Données projet'!$B$14,Paramètres!$A$1:$I$89,5,0)</f>
        <v>-6.3550942286383367E-14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349.00268383833668</v>
      </c>
      <c r="DU198" s="59">
        <f t="shared" si="209"/>
        <v>459.94854391583749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14.166067622660265</v>
      </c>
      <c r="EB198" s="21">
        <f>EXP(-LN(2)/25)*EB197+(1-EXP(-LN(2)/25))/(LN(2)/25)*Calculateur!DW198*Calculateur!DY198*VLOOKUP('Données projet'!$B$14,Paramètres!$A$1:$I$89,3,0)*0.475*44/12</f>
        <v>1.1877154686493627</v>
      </c>
      <c r="EC198" s="21">
        <f>EXP(-LN(2)/2)*EC197+(1-EXP(-LN(2)/2))/(LN(2)/2)*DW198*DZ198*VLOOKUP('Données projet'!$B$14,Paramètres!$A$1:$I$89,3,0)*0.475*44/12</f>
        <v>2.893575001265352E-20</v>
      </c>
      <c r="ED198" s="22">
        <f t="shared" si="178"/>
        <v>15.353783091309626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1.7053025658242404E-13</v>
      </c>
      <c r="EK198" s="17">
        <f>EJ198*VLOOKUP('Données projet'!$B$15,Paramètres!$A$1:$I$89,3,0)*VLOOKUP('Données projet'!$B$15,Paramètres!$A$1:$I$89,5,0)</f>
        <v>1.3301360013429075E-13</v>
      </c>
      <c r="EL198" s="13">
        <f t="shared" si="179"/>
        <v>1.9329766731057041E-12</v>
      </c>
      <c r="EM198" s="20">
        <f t="shared" si="180"/>
        <v>3.5982663925596575E-12</v>
      </c>
      <c r="EN198" s="59">
        <f t="shared" si="198"/>
        <v>290.31211911692208</v>
      </c>
      <c r="EO198" s="59">
        <f ca="1">AVERAGE(OFFSET($EN$3,0,0,'Données projet'!$E$15+1,1))-AVERAGE(OFFSET($H$3,0,0,'Données projet'!$E$15+1,1))</f>
        <v>308.82719216177946</v>
      </c>
      <c r="EP198" s="59">
        <f t="shared" si="210"/>
        <v>302.59481222418219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6.6910303894412095</v>
      </c>
      <c r="EW198" s="21">
        <f>EXP(-LN(2)/25)*EW197+(1-EXP(-LN(2)/25))/(LN(2)/25)*Calculateur!ER198*Calculateur!ET198*VLOOKUP('Données projet'!$B$15,Paramètres!$A$1:$I$89,3,0)*0.475*44/12</f>
        <v>2.0732608460988415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8.7642912355400515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290.36453042916219</v>
      </c>
      <c r="S199" s="59">
        <f ca="1">AVERAGE(OFFSET($R$3,0,0,'Données projet'!$E$9+1,1))-AVERAGE(OFFSET($H$3,0,0,'Données projet'!$E$9+1,1))</f>
        <v>421.33534980160005</v>
      </c>
      <c r="T199" s="59">
        <f t="shared" si="204"/>
        <v>299.0473530693472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5.763922672485933E-13</v>
      </c>
      <c r="AK199" s="13">
        <f t="shared" si="164"/>
        <v>7.0619171555808457E-12</v>
      </c>
      <c r="AL199" s="20">
        <f t="shared" si="165"/>
        <v>1.3303388911427938E-11</v>
      </c>
      <c r="AM199" s="59">
        <f t="shared" si="193"/>
        <v>290.36453042916349</v>
      </c>
      <c r="AN199" s="59">
        <f ca="1">AVERAGE(OFFSET($AM$3,0,0,'Données projet'!$E$10+1,1))-AVERAGE(OFFSET($H$3,0,0,'Données projet'!$E$10+1,1))</f>
        <v>462.74754756814662</v>
      </c>
      <c r="AO199" s="59">
        <f t="shared" si="205"/>
        <v>327.65191293226667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52.891971194805201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52.891971194805201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5.6843418860808015E-13</v>
      </c>
      <c r="BE199" s="13">
        <f>BD199*VLOOKUP('Données projet'!$B$11,Paramètres!$A$1:$I$89,3,0)*VLOOKUP('Données projet'!$B$11,Paramètres!$A$1:$I$89,5,0)</f>
        <v>3.8130565371830017E-13</v>
      </c>
      <c r="BF199" s="13">
        <f t="shared" si="167"/>
        <v>4.9019074112354236E-12</v>
      </c>
      <c r="BG199" s="20">
        <f t="shared" si="168"/>
        <v>9.2015960881277352E-12</v>
      </c>
      <c r="BH199" s="59">
        <f t="shared" si="194"/>
        <v>290.3645304291594</v>
      </c>
      <c r="BI199" s="59">
        <f ca="1">AVERAGE(OFFSET($BH$3,0,0,'Données projet'!$E$11+1,1))-AVERAGE(OFFSET($H$3,0,0,'Données projet'!$E$11+1,1))</f>
        <v>332.21938212432008</v>
      </c>
      <c r="BJ199" s="59">
        <f t="shared" si="206"/>
        <v>237.47732529948181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43.127299589610388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43.127299589610388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5.4092197387944907E-13</v>
      </c>
      <c r="CA199" s="13">
        <f t="shared" si="170"/>
        <v>6.6765148417791561E-12</v>
      </c>
      <c r="CB199" s="20">
        <f t="shared" si="171"/>
        <v>1.2570369120605403E-11</v>
      </c>
      <c r="CC199" s="59">
        <f t="shared" si="195"/>
        <v>290.36453042916276</v>
      </c>
      <c r="CD199" s="59">
        <f ca="1">AVERAGE(OFFSET($CC$3,0,0,'Données projet'!$E$12+1,1))-AVERAGE(OFFSET($H$3,0,0,'Données projet'!$E$12+1,1))</f>
        <v>439.09551305860475</v>
      </c>
      <c r="CE199" s="59">
        <f t="shared" si="207"/>
        <v>311.31528017256846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49.63708065974032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49.63708065974032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5.6843418860808015E-13</v>
      </c>
      <c r="CU199" s="17">
        <f>CT199*VLOOKUP('Données projet'!$B$13,Paramètres!$A$1:$I$89,3,0)*VLOOKUP('Données projet'!$B$13,Paramètres!$A$1:$I$89,5,0)</f>
        <v>5.4978954722173515E-13</v>
      </c>
      <c r="CV199" s="13">
        <f t="shared" si="173"/>
        <v>6.7731340873355904E-12</v>
      </c>
      <c r="CW199" s="20">
        <f t="shared" si="174"/>
        <v>1.2754091996854009E-11</v>
      </c>
      <c r="CX199" s="59">
        <f t="shared" si="196"/>
        <v>290.36453042916293</v>
      </c>
      <c r="CY199" s="59">
        <f ca="1">AVERAGE(OFFSET($CX$3,0,0,'Données projet'!$E$13+1,1))-AVERAGE(OFFSET($H$3,0,0,'Données projet'!$E$13+1,1))</f>
        <v>445.01146841309549</v>
      </c>
      <c r="CZ199" s="59">
        <f t="shared" si="208"/>
        <v>315.40159257508969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50.450803293506517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50.450803293506517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-1.1368683772161603E-13</v>
      </c>
      <c r="DP199" s="17">
        <f>DO199*VLOOKUP('Données projet'!$B$14,Paramètres!$A$1:$I$89,3,0)*VLOOKUP('Données projet'!$B$14,Paramètres!$A$1:$I$89,5,0)</f>
        <v>-6.3550942286383367E-14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349.00268383833668</v>
      </c>
      <c r="DU199" s="59">
        <f t="shared" si="209"/>
        <v>459.94854391583749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13.888279677027974</v>
      </c>
      <c r="EB199" s="21">
        <f>EXP(-LN(2)/25)*EB198+(1-EXP(-LN(2)/25))/(LN(2)/25)*Calculateur!DW199*Calculateur!DY199*VLOOKUP('Données projet'!$B$14,Paramètres!$A$1:$I$89,3,0)*0.475*44/12</f>
        <v>1.1552373266999039</v>
      </c>
      <c r="EC199" s="21">
        <f>EXP(-LN(2)/2)*EC198+(1-EXP(-LN(2)/2))/(LN(2)/2)*DW199*DZ199*VLOOKUP('Données projet'!$B$14,Paramètres!$A$1:$I$89,3,0)*0.475*44/12</f>
        <v>2.0460665052666032E-20</v>
      </c>
      <c r="ED199" s="22">
        <f t="shared" si="178"/>
        <v>15.043517003727878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1.7053025658242404E-13</v>
      </c>
      <c r="EK199" s="17">
        <f>EJ199*VLOOKUP('Données projet'!$B$15,Paramètres!$A$1:$I$89,3,0)*VLOOKUP('Données projet'!$B$15,Paramètres!$A$1:$I$89,5,0)</f>
        <v>1.3301360013429075E-13</v>
      </c>
      <c r="EL199" s="13">
        <f t="shared" si="179"/>
        <v>1.9329766731057041E-12</v>
      </c>
      <c r="EM199" s="20">
        <f t="shared" si="180"/>
        <v>3.5982663925596575E-12</v>
      </c>
      <c r="EN199" s="59">
        <f t="shared" si="198"/>
        <v>290.36453042915377</v>
      </c>
      <c r="EO199" s="59">
        <f ca="1">AVERAGE(OFFSET($EN$3,0,0,'Données projet'!$E$15+1,1))-AVERAGE(OFFSET($H$3,0,0,'Données projet'!$E$15+1,1))</f>
        <v>308.82719216177946</v>
      </c>
      <c r="EP199" s="59">
        <f t="shared" si="210"/>
        <v>302.59481222418219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6.5598233646298274</v>
      </c>
      <c r="EW199" s="21">
        <f>EXP(-LN(2)/25)*EW198+(1-EXP(-LN(2)/25))/(LN(2)/25)*Calculateur!ER199*Calculateur!ET199*VLOOKUP('Données projet'!$B$15,Paramètres!$A$1:$I$89,3,0)*0.475*44/12</f>
        <v>2.0165674192342191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8.5763907838640456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290.41603252230078</v>
      </c>
      <c r="S200" s="59">
        <f ca="1">AVERAGE(OFFSET($R$3,0,0,'Données projet'!$E$9+1,1))-AVERAGE(OFFSET($H$3,0,0,'Données projet'!$E$9+1,1))</f>
        <v>421.33534980160005</v>
      </c>
      <c r="T200" s="59">
        <f t="shared" si="204"/>
        <v>299.0473530693472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5.763922672485933E-13</v>
      </c>
      <c r="AK200" s="13">
        <f t="shared" si="164"/>
        <v>7.0619171555808457E-12</v>
      </c>
      <c r="AL200" s="20">
        <f t="shared" si="165"/>
        <v>1.3303388911427938E-11</v>
      </c>
      <c r="AM200" s="59">
        <f t="shared" si="193"/>
        <v>290.41603252230209</v>
      </c>
      <c r="AN200" s="59">
        <f ca="1">AVERAGE(OFFSET($AM$3,0,0,'Données projet'!$E$10+1,1))-AVERAGE(OFFSET($H$3,0,0,'Données projet'!$E$10+1,1))</f>
        <v>462.74754756814662</v>
      </c>
      <c r="AO200" s="59">
        <f t="shared" si="205"/>
        <v>327.65191293226667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51.854791900591998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51.854791900591998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5.6843418860808015E-13</v>
      </c>
      <c r="BE200" s="13">
        <f>BD200*VLOOKUP('Données projet'!$B$11,Paramètres!$A$1:$I$89,3,0)*VLOOKUP('Données projet'!$B$11,Paramètres!$A$1:$I$89,5,0)</f>
        <v>3.8130565371830017E-13</v>
      </c>
      <c r="BF200" s="13">
        <f t="shared" si="167"/>
        <v>4.9019074112354236E-12</v>
      </c>
      <c r="BG200" s="20">
        <f t="shared" si="168"/>
        <v>9.2015960881277352E-12</v>
      </c>
      <c r="BH200" s="59">
        <f t="shared" si="194"/>
        <v>290.416032522298</v>
      </c>
      <c r="BI200" s="59">
        <f ca="1">AVERAGE(OFFSET($BH$3,0,0,'Données projet'!$E$11+1,1))-AVERAGE(OFFSET($H$3,0,0,'Données projet'!$E$11+1,1))</f>
        <v>332.21938212432008</v>
      </c>
      <c r="BJ200" s="59">
        <f t="shared" si="206"/>
        <v>237.47732529948181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42.281599549713469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42.281599549713469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5.4092197387944907E-13</v>
      </c>
      <c r="CA200" s="13">
        <f t="shared" si="170"/>
        <v>6.6765148417791561E-12</v>
      </c>
      <c r="CB200" s="20">
        <f t="shared" si="171"/>
        <v>1.2570369120605403E-11</v>
      </c>
      <c r="CC200" s="59">
        <f t="shared" si="195"/>
        <v>290.41603252230135</v>
      </c>
      <c r="CD200" s="59">
        <f ca="1">AVERAGE(OFFSET($CC$3,0,0,'Données projet'!$E$12+1,1))-AVERAGE(OFFSET($H$3,0,0,'Données projet'!$E$12+1,1))</f>
        <v>439.09551305860475</v>
      </c>
      <c r="CE200" s="59">
        <f t="shared" si="207"/>
        <v>311.31528017256846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48.663727783632545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48.663727783632545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5.6843418860808015E-13</v>
      </c>
      <c r="CU200" s="17">
        <f>CT200*VLOOKUP('Données projet'!$B$13,Paramètres!$A$1:$I$89,3,0)*VLOOKUP('Données projet'!$B$13,Paramètres!$A$1:$I$89,5,0)</f>
        <v>5.4978954722173515E-13</v>
      </c>
      <c r="CV200" s="13">
        <f t="shared" si="173"/>
        <v>6.7731340873355904E-12</v>
      </c>
      <c r="CW200" s="20">
        <f t="shared" si="174"/>
        <v>1.2754091996854009E-11</v>
      </c>
      <c r="CX200" s="59">
        <f t="shared" si="196"/>
        <v>290.41603252230152</v>
      </c>
      <c r="CY200" s="59">
        <f ca="1">AVERAGE(OFFSET($CX$3,0,0,'Données projet'!$E$13+1,1))-AVERAGE(OFFSET($H$3,0,0,'Données projet'!$E$13+1,1))</f>
        <v>445.01146841309549</v>
      </c>
      <c r="CZ200" s="59">
        <f t="shared" si="208"/>
        <v>315.40159257508969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49.461493812872384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49.461493812872384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-1.1368683772161603E-13</v>
      </c>
      <c r="DP200" s="17">
        <f>DO200*VLOOKUP('Données projet'!$B$14,Paramètres!$A$1:$I$89,3,0)*VLOOKUP('Données projet'!$B$14,Paramètres!$A$1:$I$89,5,0)</f>
        <v>-6.3550942286383367E-14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349.00268383833668</v>
      </c>
      <c r="DU200" s="59">
        <f t="shared" si="209"/>
        <v>459.94854391583749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13.615938983575615</v>
      </c>
      <c r="EB200" s="21">
        <f>EXP(-LN(2)/25)*EB199+(1-EXP(-LN(2)/25))/(LN(2)/25)*Calculateur!DW200*Calculateur!DY200*VLOOKUP('Données projet'!$B$14,Paramètres!$A$1:$I$89,3,0)*0.475*44/12</f>
        <v>1.1236473012500043</v>
      </c>
      <c r="EC200" s="21">
        <f>EXP(-LN(2)/2)*EC199+(1-EXP(-LN(2)/2))/(LN(2)/2)*DW200*DZ200*VLOOKUP('Données projet'!$B$14,Paramètres!$A$1:$I$89,3,0)*0.475*44/12</f>
        <v>1.446787500632676E-20</v>
      </c>
      <c r="ED200" s="22">
        <f t="shared" si="178"/>
        <v>14.73958628482562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1.7053025658242404E-13</v>
      </c>
      <c r="EK200" s="17">
        <f>EJ200*VLOOKUP('Données projet'!$B$15,Paramètres!$A$1:$I$89,3,0)*VLOOKUP('Données projet'!$B$15,Paramètres!$A$1:$I$89,5,0)</f>
        <v>1.3301360013429075E-13</v>
      </c>
      <c r="EL200" s="13">
        <f t="shared" si="179"/>
        <v>1.9329766731057041E-12</v>
      </c>
      <c r="EM200" s="20">
        <f t="shared" si="180"/>
        <v>3.5982663925596575E-12</v>
      </c>
      <c r="EN200" s="59">
        <f t="shared" si="198"/>
        <v>290.41603252229237</v>
      </c>
      <c r="EO200" s="59">
        <f ca="1">AVERAGE(OFFSET($EN$3,0,0,'Données projet'!$E$15+1,1))-AVERAGE(OFFSET($H$3,0,0,'Données projet'!$E$15+1,1))</f>
        <v>308.82719216177946</v>
      </c>
      <c r="EP200" s="59">
        <f t="shared" si="210"/>
        <v>302.59481222418219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6.4311892295466135</v>
      </c>
      <c r="EW200" s="21">
        <f>EXP(-LN(2)/25)*EW199+(1-EXP(-LN(2)/25))/(LN(2)/25)*Calculateur!ER200*Calculateur!ET200*VLOOKUP('Données projet'!$B$15,Paramètres!$A$1:$I$89,3,0)*0.475*44/12</f>
        <v>1.9614242771085877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8.3926135066552021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290.4666411692649</v>
      </c>
      <c r="S201" s="59">
        <f ca="1">AVERAGE(OFFSET($R$3,0,0,'Données projet'!$E$9+1,1))-AVERAGE(OFFSET($H$3,0,0,'Données projet'!$E$9+1,1))</f>
        <v>421.33534980160005</v>
      </c>
      <c r="T201" s="59">
        <f t="shared" si="204"/>
        <v>299.0473530693472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5.763922672485933E-13</v>
      </c>
      <c r="AK201" s="13">
        <f t="shared" si="164"/>
        <v>7.0619171555808457E-12</v>
      </c>
      <c r="AL201" s="20">
        <f t="shared" si="165"/>
        <v>1.3303388911427938E-11</v>
      </c>
      <c r="AM201" s="59">
        <f t="shared" si="193"/>
        <v>290.46664116926621</v>
      </c>
      <c r="AN201" s="59">
        <f ca="1">AVERAGE(OFFSET($AM$3,0,0,'Données projet'!$E$10+1,1))-AVERAGE(OFFSET($H$3,0,0,'Données projet'!$E$10+1,1))</f>
        <v>462.74754756814662</v>
      </c>
      <c r="AO201" s="59">
        <f t="shared" si="205"/>
        <v>327.65191293226667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50.837951059721412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50.837951059721412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5.6843418860808015E-13</v>
      </c>
      <c r="BE201" s="13">
        <f>BD201*VLOOKUP('Données projet'!$B$11,Paramètres!$A$1:$I$89,3,0)*VLOOKUP('Données projet'!$B$11,Paramètres!$A$1:$I$89,5,0)</f>
        <v>3.8130565371830017E-13</v>
      </c>
      <c r="BF201" s="13">
        <f t="shared" si="167"/>
        <v>4.9019074112354236E-12</v>
      </c>
      <c r="BG201" s="20">
        <f t="shared" si="168"/>
        <v>9.2015960881277352E-12</v>
      </c>
      <c r="BH201" s="59">
        <f t="shared" si="194"/>
        <v>290.46664116926212</v>
      </c>
      <c r="BI201" s="59">
        <f ca="1">AVERAGE(OFFSET($BH$3,0,0,'Données projet'!$E$11+1,1))-AVERAGE(OFFSET($H$3,0,0,'Données projet'!$E$11+1,1))</f>
        <v>332.21938212432008</v>
      </c>
      <c r="BJ201" s="59">
        <f t="shared" si="206"/>
        <v>237.47732529948181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41.45248317177284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41.45248317177284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5.4092197387944907E-13</v>
      </c>
      <c r="CA201" s="13">
        <f t="shared" si="170"/>
        <v>6.6765148417791561E-12</v>
      </c>
      <c r="CB201" s="20">
        <f t="shared" si="171"/>
        <v>1.2570369120605403E-11</v>
      </c>
      <c r="CC201" s="59">
        <f t="shared" si="195"/>
        <v>290.46664116926547</v>
      </c>
      <c r="CD201" s="59">
        <f ca="1">AVERAGE(OFFSET($CC$3,0,0,'Données projet'!$E$12+1,1))-AVERAGE(OFFSET($H$3,0,0,'Données projet'!$E$12+1,1))</f>
        <v>439.09551305860475</v>
      </c>
      <c r="CE201" s="59">
        <f t="shared" si="207"/>
        <v>311.31528017256846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47.709461763738609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47.709461763738609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5.6843418860808015E-13</v>
      </c>
      <c r="CU201" s="17">
        <f>CT201*VLOOKUP('Données projet'!$B$13,Paramètres!$A$1:$I$89,3,0)*VLOOKUP('Données projet'!$B$13,Paramètres!$A$1:$I$89,5,0)</f>
        <v>5.4978954722173515E-13</v>
      </c>
      <c r="CV201" s="13">
        <f t="shared" si="173"/>
        <v>6.7731340873355904E-12</v>
      </c>
      <c r="CW201" s="20">
        <f t="shared" si="174"/>
        <v>1.2754091996854009E-11</v>
      </c>
      <c r="CX201" s="59">
        <f t="shared" si="196"/>
        <v>290.46664116926564</v>
      </c>
      <c r="CY201" s="59">
        <f ca="1">AVERAGE(OFFSET($CX$3,0,0,'Données projet'!$E$13+1,1))-AVERAGE(OFFSET($H$3,0,0,'Données projet'!$E$13+1,1))</f>
        <v>445.01146841309549</v>
      </c>
      <c r="CZ201" s="59">
        <f t="shared" si="208"/>
        <v>315.40159257508969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48.491584087734289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48.491584087734289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-1.1368683772161603E-13</v>
      </c>
      <c r="DP201" s="17">
        <f>DO201*VLOOKUP('Données projet'!$B$14,Paramètres!$A$1:$I$89,3,0)*VLOOKUP('Données projet'!$B$14,Paramètres!$A$1:$I$89,5,0)</f>
        <v>-6.3550942286383367E-14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349.00268383833668</v>
      </c>
      <c r="DU201" s="59">
        <f t="shared" si="209"/>
        <v>459.94854391583749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13.348938725010436</v>
      </c>
      <c r="EB201" s="21">
        <f>EXP(-LN(2)/25)*EB200+(1-EXP(-LN(2)/25))/(LN(2)/25)*Calculateur!DW201*Calculateur!DY201*VLOOKUP('Données projet'!$B$14,Paramètres!$A$1:$I$89,3,0)*0.475*44/12</f>
        <v>1.0929211067072795</v>
      </c>
      <c r="EC201" s="21">
        <f>EXP(-LN(2)/2)*EC200+(1-EXP(-LN(2)/2))/(LN(2)/2)*DW201*DZ201*VLOOKUP('Données projet'!$B$14,Paramètres!$A$1:$I$89,3,0)*0.475*44/12</f>
        <v>1.0230332526333016E-20</v>
      </c>
      <c r="ED201" s="22">
        <f t="shared" si="178"/>
        <v>14.441859831717716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1.7053025658242404E-13</v>
      </c>
      <c r="EK201" s="17">
        <f>EJ201*VLOOKUP('Données projet'!$B$15,Paramètres!$A$1:$I$89,3,0)*VLOOKUP('Données projet'!$B$15,Paramètres!$A$1:$I$89,5,0)</f>
        <v>1.3301360013429075E-13</v>
      </c>
      <c r="EL201" s="13">
        <f t="shared" si="179"/>
        <v>1.9329766731057041E-12</v>
      </c>
      <c r="EM201" s="20">
        <f t="shared" si="180"/>
        <v>3.5982663925596575E-12</v>
      </c>
      <c r="EN201" s="59">
        <f t="shared" si="198"/>
        <v>290.46664116925649</v>
      </c>
      <c r="EO201" s="59">
        <f ca="1">AVERAGE(OFFSET($EN$3,0,0,'Données projet'!$E$15+1,1))-AVERAGE(OFFSET($H$3,0,0,'Données projet'!$E$15+1,1))</f>
        <v>308.82719216177946</v>
      </c>
      <c r="EP201" s="59">
        <f t="shared" si="210"/>
        <v>302.59481222418219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6.3050775313933061</v>
      </c>
      <c r="EW201" s="21">
        <f>EXP(-LN(2)/25)*EW200+(1-EXP(-LN(2)/25))/(LN(2)/25)*Calculateur!ER201*Calculateur!ET201*VLOOKUP('Données projet'!$B$15,Paramètres!$A$1:$I$89,3,0)*0.475*44/12</f>
        <v>1.9077890271042335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8.2128665584975398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290.51637186934812</v>
      </c>
      <c r="S202" s="59">
        <f ca="1">AVERAGE(OFFSET($R$3,0,0,'Données projet'!$E$9+1,1))-AVERAGE(OFFSET($H$3,0,0,'Données projet'!$E$9+1,1))</f>
        <v>421.33534980160005</v>
      </c>
      <c r="T202" s="59">
        <f t="shared" si="204"/>
        <v>299.0473530693472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5.763922672485933E-13</v>
      </c>
      <c r="AK202" s="13">
        <f t="shared" si="164"/>
        <v>7.0619171555808457E-12</v>
      </c>
      <c r="AL202" s="20">
        <f t="shared" si="165"/>
        <v>1.3303388911427938E-11</v>
      </c>
      <c r="AM202" s="59">
        <f t="shared" si="193"/>
        <v>290.51637186934943</v>
      </c>
      <c r="AN202" s="59">
        <f ca="1">AVERAGE(OFFSET($AM$3,0,0,'Données projet'!$E$10+1,1))-AVERAGE(OFFSET($H$3,0,0,'Données projet'!$E$10+1,1))</f>
        <v>462.74754756814662</v>
      </c>
      <c r="AO202" s="59">
        <f t="shared" si="205"/>
        <v>327.65191293226667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49.84104984752863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49.84104984752863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5.6843418860808015E-13</v>
      </c>
      <c r="BE202" s="13">
        <f>BD202*VLOOKUP('Données projet'!$B$11,Paramètres!$A$1:$I$89,3,0)*VLOOKUP('Données projet'!$B$11,Paramètres!$A$1:$I$89,5,0)</f>
        <v>3.8130565371830017E-13</v>
      </c>
      <c r="BF202" s="13">
        <f t="shared" si="167"/>
        <v>4.9019074112354236E-12</v>
      </c>
      <c r="BG202" s="20">
        <f t="shared" si="168"/>
        <v>9.2015960881277352E-12</v>
      </c>
      <c r="BH202" s="59">
        <f t="shared" si="194"/>
        <v>290.51637186934533</v>
      </c>
      <c r="BI202" s="59">
        <f ca="1">AVERAGE(OFFSET($BH$3,0,0,'Données projet'!$E$11+1,1))-AVERAGE(OFFSET($H$3,0,0,'Données projet'!$E$11+1,1))</f>
        <v>332.21938212432008</v>
      </c>
      <c r="BJ202" s="59">
        <f t="shared" si="206"/>
        <v>237.47732529948181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40.639625260292568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40.639625260292568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5.4092197387944907E-13</v>
      </c>
      <c r="CA202" s="13">
        <f t="shared" si="170"/>
        <v>6.6765148417791561E-12</v>
      </c>
      <c r="CB202" s="20">
        <f t="shared" si="171"/>
        <v>1.2570369120605403E-11</v>
      </c>
      <c r="CC202" s="59">
        <f t="shared" si="195"/>
        <v>290.51637186934869</v>
      </c>
      <c r="CD202" s="59">
        <f ca="1">AVERAGE(OFFSET($CC$3,0,0,'Données projet'!$E$12+1,1))-AVERAGE(OFFSET($H$3,0,0,'Données projet'!$E$12+1,1))</f>
        <v>439.09551305860475</v>
      </c>
      <c r="CE202" s="59">
        <f t="shared" si="207"/>
        <v>311.31528017256846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46.773908318449998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46.773908318449998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5.6843418860808015E-13</v>
      </c>
      <c r="CU202" s="17">
        <f>CT202*VLOOKUP('Données projet'!$B$13,Paramètres!$A$1:$I$89,3,0)*VLOOKUP('Données projet'!$B$13,Paramètres!$A$1:$I$89,5,0)</f>
        <v>5.4978954722173515E-13</v>
      </c>
      <c r="CV202" s="13">
        <f t="shared" si="173"/>
        <v>6.7731340873355904E-12</v>
      </c>
      <c r="CW202" s="20">
        <f t="shared" si="174"/>
        <v>1.2754091996854009E-11</v>
      </c>
      <c r="CX202" s="59">
        <f t="shared" si="196"/>
        <v>290.51637186934886</v>
      </c>
      <c r="CY202" s="59">
        <f ca="1">AVERAGE(OFFSET($CX$3,0,0,'Données projet'!$E$13+1,1))-AVERAGE(OFFSET($H$3,0,0,'Données projet'!$E$13+1,1))</f>
        <v>445.01146841309549</v>
      </c>
      <c r="CZ202" s="59">
        <f t="shared" si="208"/>
        <v>315.40159257508969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47.540693700719629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47.540693700719629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-1.1368683772161603E-13</v>
      </c>
      <c r="DP202" s="17">
        <f>DO202*VLOOKUP('Données projet'!$B$14,Paramètres!$A$1:$I$89,3,0)*VLOOKUP('Données projet'!$B$14,Paramètres!$A$1:$I$89,5,0)</f>
        <v>-6.3550942286383367E-14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349.00268383833668</v>
      </c>
      <c r="DU202" s="59">
        <f t="shared" si="209"/>
        <v>459.94854391583749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13.087174178661643</v>
      </c>
      <c r="EB202" s="21">
        <f>EXP(-LN(2)/25)*EB201+(1-EXP(-LN(2)/25))/(LN(2)/25)*Calculateur!DW202*Calculateur!DY202*VLOOKUP('Données projet'!$B$14,Paramètres!$A$1:$I$89,3,0)*0.475*44/12</f>
        <v>1.0630351215701459</v>
      </c>
      <c r="EC202" s="21">
        <f>EXP(-LN(2)/2)*EC201+(1-EXP(-LN(2)/2))/(LN(2)/2)*DW202*DZ202*VLOOKUP('Données projet'!$B$14,Paramètres!$A$1:$I$89,3,0)*0.475*44/12</f>
        <v>7.2339375031633799E-21</v>
      </c>
      <c r="ED202" s="22">
        <f t="shared" si="178"/>
        <v>14.150209300231788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1.7053025658242404E-13</v>
      </c>
      <c r="EK202" s="17">
        <f>EJ202*VLOOKUP('Données projet'!$B$15,Paramètres!$A$1:$I$89,3,0)*VLOOKUP('Données projet'!$B$15,Paramètres!$A$1:$I$89,5,0)</f>
        <v>1.3301360013429075E-13</v>
      </c>
      <c r="EL202" s="13">
        <f t="shared" si="179"/>
        <v>1.9329766731057041E-12</v>
      </c>
      <c r="EM202" s="20">
        <f t="shared" si="180"/>
        <v>3.5982663925596575E-12</v>
      </c>
      <c r="EN202" s="59">
        <f t="shared" si="198"/>
        <v>290.51637186933971</v>
      </c>
      <c r="EO202" s="59">
        <f ca="1">AVERAGE(OFFSET($EN$3,0,0,'Données projet'!$E$15+1,1))-AVERAGE(OFFSET($H$3,0,0,'Données projet'!$E$15+1,1))</f>
        <v>308.82719216177946</v>
      </c>
      <c r="EP202" s="59">
        <f t="shared" si="210"/>
        <v>302.59481222418219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6.1814388067202444</v>
      </c>
      <c r="EW202" s="21">
        <f>EXP(-LN(2)/25)*EW201+(1-EXP(-LN(2)/25))/(LN(2)/25)*Calculateur!ER202*Calculateur!ET202*VLOOKUP('Données projet'!$B$15,Paramètres!$A$1:$I$89,3,0)*0.475*44/12</f>
        <v>1.8556204358318036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8.0370592425520471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290.5652398529661</v>
      </c>
      <c r="S203" s="59">
        <f ca="1">AVERAGE(OFFSET($R$3,0,0,'Données projet'!$E$9+1,1))-AVERAGE(OFFSET($H$3,0,0,'Données projet'!$E$9+1,1))</f>
        <v>421.33534980160005</v>
      </c>
      <c r="T203" s="59">
        <f t="shared" si="204"/>
        <v>299.0473530693472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5.763922672485933E-13</v>
      </c>
      <c r="AK203" s="13">
        <f t="shared" si="164"/>
        <v>7.0619171555808457E-12</v>
      </c>
      <c r="AL203" s="20">
        <f t="shared" si="165"/>
        <v>1.3303388911427938E-11</v>
      </c>
      <c r="AM203" s="59">
        <f t="shared" si="193"/>
        <v>290.56523985296741</v>
      </c>
      <c r="AN203" s="59">
        <f ca="1">AVERAGE(OFFSET($AM$3,0,0,'Données projet'!$E$10+1,1))-AVERAGE(OFFSET($H$3,0,0,'Données projet'!$E$10+1,1))</f>
        <v>462.74754756814662</v>
      </c>
      <c r="AO203" s="59">
        <f t="shared" si="205"/>
        <v>327.65191293226667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48.863697260057243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48.863697260057243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5.6843418860808015E-13</v>
      </c>
      <c r="BE203" s="13">
        <f>BD203*VLOOKUP('Données projet'!$B$11,Paramètres!$A$1:$I$89,3,0)*VLOOKUP('Données projet'!$B$11,Paramètres!$A$1:$I$89,5,0)</f>
        <v>3.8130565371830017E-13</v>
      </c>
      <c r="BF203" s="13">
        <f t="shared" si="167"/>
        <v>4.9019074112354236E-12</v>
      </c>
      <c r="BG203" s="20">
        <f t="shared" si="168"/>
        <v>9.2015960881277352E-12</v>
      </c>
      <c r="BH203" s="59">
        <f t="shared" si="194"/>
        <v>290.56523985296332</v>
      </c>
      <c r="BI203" s="59">
        <f ca="1">AVERAGE(OFFSET($BH$3,0,0,'Données projet'!$E$11+1,1))-AVERAGE(OFFSET($H$3,0,0,'Données projet'!$E$11+1,1))</f>
        <v>332.21938212432008</v>
      </c>
      <c r="BJ203" s="59">
        <f t="shared" si="206"/>
        <v>237.47732529948181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39.842706996662052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39.842706996662052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5.4092197387944907E-13</v>
      </c>
      <c r="CA203" s="13">
        <f t="shared" si="170"/>
        <v>6.6765148417791561E-12</v>
      </c>
      <c r="CB203" s="20">
        <f t="shared" si="171"/>
        <v>1.2570369120605403E-11</v>
      </c>
      <c r="CC203" s="59">
        <f t="shared" si="195"/>
        <v>290.56523985296667</v>
      </c>
      <c r="CD203" s="59">
        <f ca="1">AVERAGE(OFFSET($CC$3,0,0,'Données projet'!$E$12+1,1))-AVERAGE(OFFSET($H$3,0,0,'Données projet'!$E$12+1,1))</f>
        <v>439.09551305860475</v>
      </c>
      <c r="CE203" s="59">
        <f t="shared" si="207"/>
        <v>311.31528017256846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45.856700505592237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45.856700505592237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5.6843418860808015E-13</v>
      </c>
      <c r="CU203" s="17">
        <f>CT203*VLOOKUP('Données projet'!$B$13,Paramètres!$A$1:$I$89,3,0)*VLOOKUP('Données projet'!$B$13,Paramètres!$A$1:$I$89,5,0)</f>
        <v>5.4978954722173515E-13</v>
      </c>
      <c r="CV203" s="13">
        <f t="shared" si="173"/>
        <v>6.7731340873355904E-12</v>
      </c>
      <c r="CW203" s="20">
        <f t="shared" si="174"/>
        <v>1.2754091996854009E-11</v>
      </c>
      <c r="CX203" s="59">
        <f t="shared" si="196"/>
        <v>290.56523985296684</v>
      </c>
      <c r="CY203" s="59">
        <f ca="1">AVERAGE(OFFSET($CX$3,0,0,'Données projet'!$E$13+1,1))-AVERAGE(OFFSET($H$3,0,0,'Données projet'!$E$13+1,1))</f>
        <v>445.01146841309549</v>
      </c>
      <c r="CZ203" s="59">
        <f t="shared" si="208"/>
        <v>315.40159257508969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46.60844969420846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46.60844969420846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-1.1368683772161603E-13</v>
      </c>
      <c r="DP203" s="17">
        <f>DO203*VLOOKUP('Données projet'!$B$14,Paramètres!$A$1:$I$89,3,0)*VLOOKUP('Données projet'!$B$14,Paramètres!$A$1:$I$89,5,0)</f>
        <v>-6.3550942286383367E-14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349.00268383833668</v>
      </c>
      <c r="DU203" s="59">
        <f t="shared" si="209"/>
        <v>459.94854391583749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12.830542675406141</v>
      </c>
      <c r="EB203" s="21">
        <f>EXP(-LN(2)/25)*EB202+(1-EXP(-LN(2)/25))/(LN(2)/25)*Calculateur!DW203*Calculateur!DY203*VLOOKUP('Données projet'!$B$14,Paramètres!$A$1:$I$89,3,0)*0.475*44/12</f>
        <v>1.0339663702682229</v>
      </c>
      <c r="EC203" s="21">
        <f>EXP(-LN(2)/2)*EC202+(1-EXP(-LN(2)/2))/(LN(2)/2)*DW203*DZ203*VLOOKUP('Données projet'!$B$14,Paramètres!$A$1:$I$89,3,0)*0.475*44/12</f>
        <v>5.115166263166508E-21</v>
      </c>
      <c r="ED203" s="22">
        <f t="shared" si="178"/>
        <v>13.864509045674364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1.7053025658242404E-13</v>
      </c>
      <c r="EK203" s="17">
        <f>EJ203*VLOOKUP('Données projet'!$B$15,Paramètres!$A$1:$I$89,3,0)*VLOOKUP('Données projet'!$B$15,Paramètres!$A$1:$I$89,5,0)</f>
        <v>1.3301360013429075E-13</v>
      </c>
      <c r="EL203" s="13">
        <f t="shared" si="179"/>
        <v>1.9329766731057041E-12</v>
      </c>
      <c r="EM203" s="20">
        <f t="shared" si="180"/>
        <v>3.5982663925596575E-12</v>
      </c>
      <c r="EN203" s="59">
        <f t="shared" si="198"/>
        <v>290.56523985295769</v>
      </c>
      <c r="EO203" s="59">
        <f ca="1">AVERAGE(OFFSET($EN$3,0,0,'Données projet'!$E$15+1,1))-AVERAGE(OFFSET($H$3,0,0,'Données projet'!$E$15+1,1))</f>
        <v>308.82719216177946</v>
      </c>
      <c r="EP203" s="59">
        <f t="shared" si="210"/>
        <v>302.59481222418219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6.0602245620258461</v>
      </c>
      <c r="EW203" s="21">
        <f>EXP(-LN(2)/25)*EW202+(1-EXP(-LN(2)/25))/(LN(2)/25)*Calculateur!ER203*Calculateur!ET203*VLOOKUP('Données projet'!$B$15,Paramètres!$A$1:$I$89,3,0)*0.475*44/12</f>
        <v>1.8048783974311453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7.8651029594569914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1.1736311550444201</v>
      </c>
      <c r="BA205" s="82">
        <f>EXP(LN('Données projet'!B88)/'Données projet'!A88)</f>
        <v>1.1736311550444201</v>
      </c>
      <c r="BV205" s="82">
        <f>EXP(LN('Données projet'!B114)/'Données projet'!A114)</f>
        <v>1.1736311550444201</v>
      </c>
      <c r="CQ205" s="82">
        <f>EXP(LN('Données projet'!B140)/'Données projet'!A140)</f>
        <v>1.1736311550444201</v>
      </c>
      <c r="DL205" s="82">
        <f>EXP(LN('Données projet'!B166)/'Données projet'!A166)</f>
        <v>1.3356034260773062</v>
      </c>
      <c r="EG205" s="82">
        <f>EXP(LN('Données projet'!B192)/'Données projet'!A192)</f>
        <v>1.2788040393997409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35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9" t="s">
        <v>115</v>
      </c>
      <c r="P2" s="121">
        <v>0</v>
      </c>
    </row>
    <row r="3" spans="1:16" ht="15" thickBot="1" x14ac:dyDescent="0.4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9" t="s">
        <v>122</v>
      </c>
      <c r="P5" s="121">
        <v>0</v>
      </c>
    </row>
    <row r="6" spans="1:16" x14ac:dyDescent="0.35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130</v>
      </c>
      <c r="B9" s="123" t="s">
        <v>131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132</v>
      </c>
      <c r="B10" s="123" t="s">
        <v>133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9" t="s">
        <v>134</v>
      </c>
      <c r="P10" s="121">
        <v>0</v>
      </c>
    </row>
    <row r="11" spans="1:16" ht="15" thickBot="1" x14ac:dyDescent="0.4">
      <c r="A11" s="122" t="s">
        <v>135</v>
      </c>
      <c r="B11" s="123" t="s">
        <v>136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137</v>
      </c>
      <c r="B12" s="123" t="s">
        <v>138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139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140</v>
      </c>
      <c r="B13" s="123" t="s">
        <v>141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139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142</v>
      </c>
      <c r="B14" s="123" t="s">
        <v>143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139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144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139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145</v>
      </c>
      <c r="B16" s="123" t="s">
        <v>146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139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147</v>
      </c>
      <c r="B17" s="123" t="s">
        <v>148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139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149</v>
      </c>
      <c r="B18" s="123" t="s">
        <v>150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139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151</v>
      </c>
      <c r="B19" s="123" t="s">
        <v>152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139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113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157</v>
      </c>
      <c r="B21" s="123" t="s">
        <v>158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159</v>
      </c>
      <c r="B22" s="123" t="s">
        <v>160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161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162</v>
      </c>
      <c r="B24" s="123" t="s">
        <v>163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139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72</v>
      </c>
      <c r="B25" s="123" t="s">
        <v>164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139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139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177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113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113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113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113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113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113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113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113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113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113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113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113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113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113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113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113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113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113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113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113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113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113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113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113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139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112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113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113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139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139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269</v>
      </c>
      <c r="B84" s="123" t="s">
        <v>270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271</v>
      </c>
      <c r="B85" s="123" t="s">
        <v>272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273</v>
      </c>
      <c r="B86" s="123" t="s">
        <v>274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279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4">
      <c r="A89" s="133" t="s">
        <v>280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5">
      <c r="A93" s="122" t="s">
        <v>73</v>
      </c>
    </row>
    <row r="94" spans="1:14" x14ac:dyDescent="0.35">
      <c r="A94" s="122" t="s">
        <v>74</v>
      </c>
    </row>
    <row r="95" spans="1:14" x14ac:dyDescent="0.35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69" zoomScaleNormal="90" workbookViewId="0">
      <selection activeCell="M23" sqref="M23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281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282</v>
      </c>
      <c r="B5" s="139" t="s">
        <v>283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284</v>
      </c>
      <c r="F5" s="140" t="s">
        <v>285</v>
      </c>
      <c r="G5" s="140" t="s">
        <v>286</v>
      </c>
      <c r="H5" s="141" t="s">
        <v>287</v>
      </c>
      <c r="I5" s="142" t="s">
        <v>288</v>
      </c>
      <c r="J5" s="143" t="s">
        <v>289</v>
      </c>
      <c r="K5" s="144" t="s">
        <v>290</v>
      </c>
      <c r="L5" s="84" t="s">
        <v>291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2.7616000000000001</v>
      </c>
      <c r="C6" s="147">
        <f ca="1">IF(OR('Données projet'!B9="",'Données projet'!C9="",'Données projet'!C9=0%),0,Calculateur!S3)</f>
        <v>421.33534980160005</v>
      </c>
      <c r="D6" s="147">
        <f>IF(OR('Données projet'!B9="",'Données projet'!C9="",'Données projet'!C9=0%),0,Calculateur!T3)</f>
        <v>299.0473530693472</v>
      </c>
      <c r="E6" s="147">
        <f ca="1">MIN(C6,D6)</f>
        <v>299.0473530693472</v>
      </c>
      <c r="F6" s="147">
        <f ca="1">E6*B6</f>
        <v>825.84917023630919</v>
      </c>
      <c r="G6" s="147">
        <f ca="1">F6*(100%-'Données projet'!$C$24)*(100%-'Données projet'!$C$25)*(100%-'Données projet'!$C$26)*(100%-'Données projet'!$C$27)</f>
        <v>743.26425321267834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743.26425321267834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pubescent</v>
      </c>
      <c r="B7" s="154">
        <f>'Données projet'!D10</f>
        <v>0.30120000000000002</v>
      </c>
      <c r="C7" s="147">
        <f ca="1">IF(OR('Données projet'!B10="",'Données projet'!C10="",'Données projet'!C10=0%),0,Calculateur!AN3)</f>
        <v>462.74754756814662</v>
      </c>
      <c r="D7" s="147">
        <f>IF(OR('Données projet'!B10="",'Données projet'!C10="",'Données projet'!C10=0%),0,Calculateur!AO3)</f>
        <v>327.65191293226667</v>
      </c>
      <c r="E7" s="147">
        <f t="shared" ref="E7:E15" ca="1" si="0">MIN(C7,D7)</f>
        <v>327.65191293226667</v>
      </c>
      <c r="F7" s="147">
        <f t="shared" ref="F7:F15" ca="1" si="1">E7*B7</f>
        <v>98.688756175198733</v>
      </c>
      <c r="G7" s="147">
        <f ca="1">F7*(100%-'Données projet'!$C$24)*(100%-'Données projet'!$C$25)*(100%-'Données projet'!$C$26)*(100%-'Données projet'!$C$27)</f>
        <v>88.819880557678857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88.819880557678857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Tilleul</v>
      </c>
      <c r="B8" s="154">
        <f>'Données projet'!D11</f>
        <v>0.27400000000000002</v>
      </c>
      <c r="C8" s="147">
        <f ca="1">IF(OR('Données projet'!B11="",'Données projet'!C11="",'Données projet'!C11=0%),0,Calculateur!BI3)</f>
        <v>332.21938212432008</v>
      </c>
      <c r="D8" s="147">
        <f>IF(OR('Données projet'!B11="",'Données projet'!C11="",'Données projet'!C11=0%),0,Calculateur!BJ3)</f>
        <v>237.47732529948181</v>
      </c>
      <c r="E8" s="147">
        <f t="shared" ca="1" si="0"/>
        <v>237.47732529948181</v>
      </c>
      <c r="F8" s="147">
        <f t="shared" ca="1" si="1"/>
        <v>65.06878713205802</v>
      </c>
      <c r="G8" s="147">
        <f ca="1">F8*(100%-'Données projet'!$C$24)*(100%-'Données projet'!$C$25)*(100%-'Données projet'!$C$26)*(100%-'Données projet'!$C$27)</f>
        <v>58.561908418852219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58.561908418852219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Charme</v>
      </c>
      <c r="B9" s="154">
        <f>'Données projet'!D12</f>
        <v>0.27400000000000002</v>
      </c>
      <c r="C9" s="147">
        <f ca="1">IF(OR('Données projet'!B12="",'Données projet'!C12="",'Données projet'!C12=0%),0,Calculateur!CD3)</f>
        <v>439.09551305860475</v>
      </c>
      <c r="D9" s="147">
        <f>IF(OR('Données projet'!B12="",'Données projet'!C12="",'Données projet'!C12=0%),0,Calculateur!CE3)</f>
        <v>311.31528017256846</v>
      </c>
      <c r="E9" s="147">
        <f t="shared" ca="1" si="0"/>
        <v>311.31528017256846</v>
      </c>
      <c r="F9" s="147">
        <f t="shared" ca="1" si="1"/>
        <v>85.300386767283769</v>
      </c>
      <c r="G9" s="147">
        <f ca="1">F9*(100%-'Données projet'!$C$24)*(100%-'Données projet'!$C$25)*(100%-'Données projet'!$C$26)*(100%-'Données projet'!$C$27)</f>
        <v>76.770348090555387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76.770348090555387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Alisier torminal</v>
      </c>
      <c r="B10" s="154">
        <f>'Données projet'!D13</f>
        <v>0.21920000000000001</v>
      </c>
      <c r="C10" s="147">
        <f ca="1">IF(OR('Données projet'!B13="",'Données projet'!C13="",'Données projet'!C13=0%),0,Calculateur!CY3)</f>
        <v>445.01146841309549</v>
      </c>
      <c r="D10" s="147">
        <f>IF(OR('Données projet'!B13="",'Données projet'!C13="",'Données projet'!C13=0%),0,Calculateur!CZ3)</f>
        <v>315.40159257508969</v>
      </c>
      <c r="E10" s="147">
        <f t="shared" ca="1" si="0"/>
        <v>315.40159257508969</v>
      </c>
      <c r="F10" s="147">
        <f t="shared" ca="1" si="1"/>
        <v>69.136029092459665</v>
      </c>
      <c r="G10" s="147">
        <f ca="1">F10*(100%-'Données projet'!$C$24)*(100%-'Données projet'!$C$25)*(100%-'Données projet'!$C$26)*(100%-'Données projet'!$C$27)</f>
        <v>62.222426183213699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62.222426183213699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Douglas</v>
      </c>
      <c r="B11" s="154">
        <f>'Données projet'!D14</f>
        <v>0.1148</v>
      </c>
      <c r="C11" s="147">
        <f ca="1">IF(OR('Données projet'!B14="",'Données projet'!C14="",'Données projet'!C14=0%),0,Calculateur!DT3)</f>
        <v>349.00268383833668</v>
      </c>
      <c r="D11" s="147">
        <f>IF(OR('Données projet'!B14="",'Données projet'!C14="",'Données projet'!C14=0%),0,Calculateur!DU3)</f>
        <v>459.94854391583749</v>
      </c>
      <c r="E11" s="147">
        <f t="shared" ca="1" si="0"/>
        <v>349.00268383833668</v>
      </c>
      <c r="F11" s="147">
        <f t="shared" ca="1" si="1"/>
        <v>40.065508104641047</v>
      </c>
      <c r="G11" s="147">
        <f ca="1">F11*(100%-'Données projet'!$C$24)*(100%-'Données projet'!$C$25)*(100%-'Données projet'!$C$26)*(100%-'Données projet'!$C$27)</f>
        <v>36.058957294176942</v>
      </c>
      <c r="H11" s="155">
        <f>IF(OR('Données projet'!B14="",'Données projet'!C14="",'Données projet'!C14=0%),0,AVERAGE(Calculateur!$ED$3:$ED$33)*B11)</f>
        <v>1.4019831964424561</v>
      </c>
      <c r="I11" s="149">
        <f>H11*(100%-'Données projet'!$C$24)*(100%-'Données projet'!$C$25)*(100%-'Données projet'!$C$26)*(100%-'Données projet'!$C$27)</f>
        <v>1.2617848767982105</v>
      </c>
      <c r="J11" s="150">
        <f>IF(OR('Données projet'!B14="",'Données projet'!C14="",'Données projet'!C14=0%),0,SUM(Calculateur!$DW$3:$DW$33)*VLOOKUP('Données projet'!$B$14,Paramètres!$A$1:$I$89,9,0)*B11)</f>
        <v>8.7678058461538448</v>
      </c>
      <c r="K11" s="151">
        <f>J11*(100%-'Données projet'!$C$24)*(100%-'Données projet'!$C$25)*(100%-'Données projet'!$C$26)*(100%-'Données projet'!$C$27)</f>
        <v>7.8910252615384602</v>
      </c>
      <c r="L11" s="152">
        <f t="shared" ca="1" si="2"/>
        <v>45.211767432513611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Merisier</v>
      </c>
      <c r="B12" s="154">
        <f>'Données projet'!D15</f>
        <v>5.4800000000000001E-2</v>
      </c>
      <c r="C12" s="147">
        <f ca="1">IF(OR('Données projet'!B15="",'Données projet'!C15="",'Données projet'!C15=0%),0,Calculateur!EO3)</f>
        <v>308.82719216177946</v>
      </c>
      <c r="D12" s="147">
        <f>IF(OR('Données projet'!B15="",'Données projet'!C15="",'Données projet'!C15=0%),0,Calculateur!EP3)</f>
        <v>302.59481222418219</v>
      </c>
      <c r="E12" s="147">
        <f t="shared" ca="1" si="0"/>
        <v>302.59481222418219</v>
      </c>
      <c r="F12" s="147">
        <f t="shared" ca="1" si="1"/>
        <v>16.582195709885184</v>
      </c>
      <c r="G12" s="147">
        <f ca="1">F12*(100%-'Données projet'!$C$24)*(100%-'Données projet'!$C$25)*(100%-'Données projet'!$C$26)*(100%-'Données projet'!$C$27)</f>
        <v>14.923976138896666</v>
      </c>
      <c r="H12" s="155">
        <f>IF(OR('Données projet'!B15="",'Données projet'!C15="",'Données projet'!C15=0%),0,AVERAGE(Calculateur!$EY$3:$EY$33)*B12)</f>
        <v>0.12784288774787356</v>
      </c>
      <c r="I12" s="149">
        <f>H12*(100%-'Données projet'!$C$24)*(100%-'Données projet'!$C$25)*(100%-'Données projet'!$C$26)*(100%-'Données projet'!$C$27)</f>
        <v>0.11505859897308621</v>
      </c>
      <c r="J12" s="150">
        <f>IF(OR('Données projet'!B15="",'Données projet'!C15="",'Données projet'!C15=0%),0,SUM(Calculateur!$ER$3:$ER$33)*VLOOKUP('Données projet'!$B$15,Paramètres!$A$1:$I$89,9,0)*B12)</f>
        <v>0.75350000000000006</v>
      </c>
      <c r="K12" s="151">
        <f>J12*(100%-'Données projet'!$C$24)*(100%-'Données projet'!$C$25)*(100%-'Données projet'!$C$26)*(100%-'Données projet'!$C$27)</f>
        <v>0.67815000000000003</v>
      </c>
      <c r="L12" s="152">
        <f t="shared" ca="1" si="2"/>
        <v>15.717184737869752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1200.6908332178357</v>
      </c>
      <c r="G16" s="166">
        <f t="shared" ca="1" si="3"/>
        <v>1080.6217498960521</v>
      </c>
      <c r="H16" s="167">
        <f t="shared" si="3"/>
        <v>1.5298260841903297</v>
      </c>
      <c r="I16" s="167">
        <f t="shared" si="3"/>
        <v>1.3768434757712966</v>
      </c>
      <c r="J16" s="168">
        <f t="shared" si="3"/>
        <v>9.5213058461538456</v>
      </c>
      <c r="K16" s="168">
        <f t="shared" si="3"/>
        <v>8.5691752615384598</v>
      </c>
      <c r="L16" s="169">
        <f t="shared" ca="1" si="3"/>
        <v>1090.5677686333618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292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Douglas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60" zoomScaleNormal="7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293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294</v>
      </c>
      <c r="I4" s="266"/>
      <c r="K4" s="308" t="s">
        <v>295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300" t="s">
        <v>296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297</v>
      </c>
      <c r="C9" s="23"/>
      <c r="D9" s="23"/>
      <c r="E9" s="23"/>
      <c r="F9" s="230"/>
      <c r="G9" s="93" t="s">
        <v>298</v>
      </c>
      <c r="J9" s="200"/>
      <c r="K9" s="208"/>
      <c r="O9" s="23"/>
      <c r="P9" s="23"/>
      <c r="Q9" s="234"/>
      <c r="R9" s="23"/>
      <c r="S9" s="4"/>
      <c r="T9" s="36" t="s">
        <v>299</v>
      </c>
      <c r="U9" s="176" t="s">
        <v>300</v>
      </c>
      <c r="V9" s="36" t="s">
        <v>301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302</v>
      </c>
      <c r="C10" s="23"/>
      <c r="D10" s="23"/>
      <c r="E10" s="23"/>
      <c r="F10" s="230"/>
      <c r="G10" s="93" t="s">
        <v>303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1645.2338235710599</v>
      </c>
      <c r="U10" s="178">
        <f>'Données projet'!D9</f>
        <v>2.7616000000000001</v>
      </c>
      <c r="V10" s="177">
        <f>U10*T10</f>
        <v>4543.4777271738394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304</v>
      </c>
      <c r="B11" s="23"/>
      <c r="C11" s="23"/>
      <c r="D11" s="23"/>
      <c r="E11" s="23"/>
      <c r="F11" s="230"/>
      <c r="G11" s="93" t="s">
        <v>305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1547.5283043795848</v>
      </c>
      <c r="U11" s="178">
        <f>'Données projet'!D10</f>
        <v>0.30120000000000002</v>
      </c>
      <c r="V11" s="177">
        <f t="shared" ref="V11" si="0">U11*T11</f>
        <v>466.11552527913096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Tilleul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693.33858997708126</v>
      </c>
      <c r="U12" s="178">
        <f>'Données projet'!D11</f>
        <v>0.27400000000000002</v>
      </c>
      <c r="V12" s="177">
        <f t="shared" ref="V12:V19" si="1">U12*T12</f>
        <v>189.97477365372029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306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693.33858997708126</v>
      </c>
      <c r="U13" s="178">
        <f>'Données projet'!D12</f>
        <v>0.27400000000000002</v>
      </c>
      <c r="V13" s="177">
        <f t="shared" si="1"/>
        <v>189.97477365372029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77</v>
      </c>
      <c r="I14" s="36" t="s">
        <v>307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693.33858997708126</v>
      </c>
      <c r="U14" s="178">
        <f>'Données projet'!D13</f>
        <v>0.21920000000000001</v>
      </c>
      <c r="V14" s="177">
        <f t="shared" si="1"/>
        <v>151.97981892297622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308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Douglas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3566.4747113221033</v>
      </c>
      <c r="U15" s="178">
        <f>'Données projet'!D14</f>
        <v>0.1148</v>
      </c>
      <c r="V15" s="177">
        <f t="shared" si="1"/>
        <v>409.43129685977743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309</v>
      </c>
      <c r="C16" s="48" t="s">
        <v>310</v>
      </c>
      <c r="D16" s="36" t="s">
        <v>311</v>
      </c>
      <c r="E16" s="36" t="s">
        <v>312</v>
      </c>
      <c r="F16" s="230"/>
      <c r="G16" s="311"/>
      <c r="H16" s="190"/>
      <c r="I16" s="191"/>
      <c r="J16" s="202"/>
      <c r="K16" s="208"/>
      <c r="L16" s="308" t="s">
        <v>313</v>
      </c>
      <c r="M16" s="309"/>
      <c r="N16" s="2"/>
      <c r="O16" s="23"/>
      <c r="P16" s="23"/>
      <c r="Q16" s="234"/>
      <c r="R16" s="23"/>
      <c r="S16" s="36" t="str">
        <f>B200</f>
        <v>Merisier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1941.7256058489929</v>
      </c>
      <c r="U16" s="178">
        <f>'Données projet'!D15</f>
        <v>5.4800000000000001E-2</v>
      </c>
      <c r="V16" s="177">
        <f t="shared" si="1"/>
        <v>106.40656320052481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G17" s="311"/>
      <c r="J17" s="202"/>
      <c r="K17" s="208"/>
      <c r="L17" s="268" t="s">
        <v>314</v>
      </c>
      <c r="M17" s="27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G18" s="311"/>
      <c r="J18" s="202"/>
      <c r="K18" s="208"/>
      <c r="L18" s="268" t="s">
        <v>310</v>
      </c>
      <c r="M18" s="270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311"/>
      <c r="H19" s="212" t="s">
        <v>77</v>
      </c>
      <c r="I19" s="212" t="s">
        <v>315</v>
      </c>
      <c r="J19" s="93"/>
      <c r="K19" s="173"/>
      <c r="L19" s="308" t="s">
        <v>316</v>
      </c>
      <c r="M19" s="30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311"/>
      <c r="H20" s="190">
        <v>1</v>
      </c>
      <c r="I20" s="191">
        <v>13264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10" t="s">
        <v>317</v>
      </c>
      <c r="M23" s="310"/>
      <c r="N23" s="310"/>
      <c r="O23" s="23"/>
      <c r="P23" s="23"/>
      <c r="Q23" s="234"/>
      <c r="R23" s="23"/>
      <c r="S23" s="36" t="s">
        <v>318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-44713.931387285018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319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12695.508895680943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10</v>
      </c>
      <c r="D25" s="182">
        <f t="shared" si="2"/>
        <v>385.12820512820508</v>
      </c>
      <c r="E25" s="193">
        <v>150</v>
      </c>
      <c r="F25" s="233"/>
      <c r="H25" s="190"/>
      <c r="I25" s="191"/>
      <c r="K25" s="208"/>
      <c r="L25" s="130" t="s">
        <v>320</v>
      </c>
      <c r="M25" s="130"/>
      <c r="N25" s="130"/>
      <c r="O25" s="130"/>
      <c r="P25" s="192">
        <v>150</v>
      </c>
      <c r="Q25" s="234"/>
      <c r="R25" s="23"/>
      <c r="S25" s="186" t="s">
        <v>321</v>
      </c>
      <c r="T25" s="307">
        <f ca="1">T23-T24</f>
        <v>-57409.440282965959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94" t="s">
        <v>322</v>
      </c>
      <c r="M26" s="295"/>
      <c r="N26" s="295"/>
      <c r="O26" s="295"/>
      <c r="P26" s="296"/>
      <c r="Q26" s="234"/>
      <c r="R26" s="23"/>
      <c r="S26" s="186" t="s">
        <v>323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324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50</v>
      </c>
      <c r="D28" s="182">
        <f t="shared" si="2"/>
        <v>2086.2179487179487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100</v>
      </c>
      <c r="D30" s="182">
        <f t="shared" si="2"/>
        <v>4560.8974358974356</v>
      </c>
      <c r="E30" s="193">
        <v>150</v>
      </c>
      <c r="F30" s="233"/>
      <c r="G30" s="203"/>
      <c r="H30" s="190"/>
      <c r="I30" s="191"/>
      <c r="K30" s="183"/>
      <c r="L30" s="36" t="s">
        <v>325</v>
      </c>
      <c r="M30" s="184">
        <f ca="1">SUM(OFFSET($P$33,0,0,MIN('Données projet'!$E$9:$E$18)+1,1))</f>
        <v>3173.8772239202358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77</v>
      </c>
      <c r="P32" s="85" t="s">
        <v>311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150</v>
      </c>
      <c r="D33" s="182">
        <f t="shared" si="2"/>
        <v>7693.2692307692314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309</v>
      </c>
      <c r="C47" s="48" t="s">
        <v>310</v>
      </c>
      <c r="D47" s="36" t="s">
        <v>311</v>
      </c>
      <c r="E47" s="36" t="s">
        <v>312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35</v>
      </c>
      <c r="B55" s="181">
        <f>'Données projet'!D63</f>
        <v>60.602564102564102</v>
      </c>
      <c r="C55" s="191">
        <v>10</v>
      </c>
      <c r="D55" s="179">
        <f t="shared" ref="D55:D73" si="4">B55*C55</f>
        <v>606.02564102564099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41</v>
      </c>
      <c r="B56" s="181">
        <f>'Données projet'!D64</f>
        <v>38.512820512820511</v>
      </c>
      <c r="C56" s="191">
        <v>10</v>
      </c>
      <c r="D56" s="179">
        <f t="shared" si="4"/>
        <v>385.12820512820508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48</v>
      </c>
      <c r="B57" s="181">
        <f>'Données projet'!D65</f>
        <v>48.025641025641022</v>
      </c>
      <c r="C57" s="191">
        <v>50</v>
      </c>
      <c r="D57" s="179">
        <f t="shared" si="4"/>
        <v>2401.2820512820513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55</v>
      </c>
      <c r="B58" s="181">
        <f>'Données projet'!D66</f>
        <v>45.147435897435898</v>
      </c>
      <c r="C58" s="191">
        <v>50</v>
      </c>
      <c r="D58" s="179">
        <f t="shared" si="4"/>
        <v>2257.3717948717949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63</v>
      </c>
      <c r="B59" s="181">
        <f>'Données projet'!D67</f>
        <v>41.724358974358978</v>
      </c>
      <c r="C59" s="191">
        <v>50</v>
      </c>
      <c r="D59" s="179">
        <f t="shared" si="4"/>
        <v>2086.2179487179487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71</v>
      </c>
      <c r="B60" s="181">
        <f>'Données projet'!D68</f>
        <v>39.935897435897431</v>
      </c>
      <c r="C60" s="191">
        <v>100</v>
      </c>
      <c r="D60" s="179">
        <f t="shared" si="4"/>
        <v>3993.5897435897432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80</v>
      </c>
      <c r="B61" s="181">
        <f>'Données projet'!D69</f>
        <v>45.608974358974358</v>
      </c>
      <c r="C61" s="191">
        <v>100</v>
      </c>
      <c r="D61" s="179">
        <f t="shared" si="4"/>
        <v>4560.8974358974356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89</v>
      </c>
      <c r="B62" s="181">
        <f>'Données projet'!D70</f>
        <v>49.391025641025635</v>
      </c>
      <c r="C62" s="191">
        <v>150</v>
      </c>
      <c r="D62" s="179">
        <f t="shared" si="4"/>
        <v>7408.6538461538457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99</v>
      </c>
      <c r="B63" s="181">
        <f>'Données projet'!D71</f>
        <v>48.019230769230766</v>
      </c>
      <c r="C63" s="191">
        <v>150</v>
      </c>
      <c r="D63" s="179">
        <f t="shared" si="4"/>
        <v>7202.8846153846152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109</v>
      </c>
      <c r="B64" s="181">
        <f>'Données projet'!D72</f>
        <v>51.28846153846154</v>
      </c>
      <c r="C64" s="191">
        <v>150</v>
      </c>
      <c r="D64" s="179">
        <f t="shared" si="4"/>
        <v>7693.2692307692314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119</v>
      </c>
      <c r="B65" s="181">
        <f>'Données projet'!D73</f>
        <v>150.02564102564102</v>
      </c>
      <c r="C65" s="191">
        <v>200</v>
      </c>
      <c r="D65" s="179">
        <f t="shared" si="4"/>
        <v>30005.128205128203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123</v>
      </c>
      <c r="B66" s="181">
        <f>'Données projet'!D74</f>
        <v>77.17307692307692</v>
      </c>
      <c r="C66" s="191">
        <v>200</v>
      </c>
      <c r="D66" s="179">
        <f t="shared" si="4"/>
        <v>15434.615384615385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127</v>
      </c>
      <c r="B67" s="181">
        <f>'Données projet'!D75</f>
        <v>49.916666666666671</v>
      </c>
      <c r="C67" s="191">
        <v>200</v>
      </c>
      <c r="D67" s="179">
        <f t="shared" si="4"/>
        <v>9983.3333333333339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131</v>
      </c>
      <c r="B68" s="181">
        <f>'Données projet'!D76</f>
        <v>110.91025641025641</v>
      </c>
      <c r="C68" s="191">
        <v>200</v>
      </c>
      <c r="D68" s="179">
        <f t="shared" si="4"/>
        <v>22182.051282051281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Tilleul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309</v>
      </c>
      <c r="C78" s="48" t="s">
        <v>310</v>
      </c>
      <c r="D78" s="36" t="s">
        <v>311</v>
      </c>
      <c r="E78" s="36" t="s">
        <v>312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19.803497527908451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18.950715337711436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18.13465582556119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17.353737632115969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16.606447494847824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/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15.891337315643849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15.207021354683112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35</v>
      </c>
      <c r="B86" s="181">
        <f>'Données projet'!D89</f>
        <v>60.602564102564102</v>
      </c>
      <c r="C86" s="191">
        <v>10</v>
      </c>
      <c r="D86" s="179">
        <f t="shared" ref="D86:D104" si="6">B86*C86</f>
        <v>606.02564102564099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14.552173545151303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41</v>
      </c>
      <c r="B87" s="181">
        <f>'Données projet'!D90</f>
        <v>38.512820512820511</v>
      </c>
      <c r="C87" s="191">
        <v>10</v>
      </c>
      <c r="D87" s="179">
        <f t="shared" si="6"/>
        <v>385.12820512820508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13.925524923589769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48</v>
      </c>
      <c r="B88" s="181">
        <f>'Données projet'!D91</f>
        <v>48.025641025641022</v>
      </c>
      <c r="C88" s="191">
        <v>15</v>
      </c>
      <c r="D88" s="179">
        <f t="shared" si="6"/>
        <v>720.38461538461536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55</v>
      </c>
      <c r="B89" s="181">
        <f>'Données projet'!D92</f>
        <v>45.147435897435898</v>
      </c>
      <c r="C89" s="191">
        <v>15</v>
      </c>
      <c r="D89" s="179">
        <f t="shared" si="6"/>
        <v>677.21153846153845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63</v>
      </c>
      <c r="B90" s="181">
        <f>'Données projet'!D93</f>
        <v>41.724358974358978</v>
      </c>
      <c r="C90" s="191">
        <v>50</v>
      </c>
      <c r="D90" s="179">
        <f t="shared" si="6"/>
        <v>2086.2179487179487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71</v>
      </c>
      <c r="B91" s="181">
        <f>'Données projet'!D94</f>
        <v>39.935897435897431</v>
      </c>
      <c r="C91" s="191">
        <v>50</v>
      </c>
      <c r="D91" s="179">
        <f t="shared" si="6"/>
        <v>1996.7948717948716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80</v>
      </c>
      <c r="B92" s="181">
        <f>'Données projet'!D95</f>
        <v>45.608974358974358</v>
      </c>
      <c r="C92" s="191">
        <v>50</v>
      </c>
      <c r="D92" s="179">
        <f t="shared" si="6"/>
        <v>2280.4487179487178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89</v>
      </c>
      <c r="B93" s="181">
        <f>'Données projet'!D96</f>
        <v>49.391025641025635</v>
      </c>
      <c r="C93" s="191">
        <v>50</v>
      </c>
      <c r="D93" s="179">
        <f t="shared" si="6"/>
        <v>2469.5512820512818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99</v>
      </c>
      <c r="B94" s="181">
        <f>'Données projet'!D97</f>
        <v>48.019230769230766</v>
      </c>
      <c r="C94" s="191">
        <v>50</v>
      </c>
      <c r="D94" s="179">
        <f t="shared" si="6"/>
        <v>2400.9615384615381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109</v>
      </c>
      <c r="B95" s="181">
        <f>'Données projet'!D98</f>
        <v>51.28846153846154</v>
      </c>
      <c r="C95" s="191">
        <v>50</v>
      </c>
      <c r="D95" s="179">
        <f t="shared" si="6"/>
        <v>2564.4230769230771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119</v>
      </c>
      <c r="B96" s="181">
        <f>'Données projet'!D99</f>
        <v>150.02564102564102</v>
      </c>
      <c r="C96" s="191">
        <v>50</v>
      </c>
      <c r="D96" s="179">
        <f t="shared" si="6"/>
        <v>7501.2820512820508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123</v>
      </c>
      <c r="B97" s="181">
        <f>'Données projet'!D100</f>
        <v>77.17307692307692</v>
      </c>
      <c r="C97" s="191">
        <v>50</v>
      </c>
      <c r="D97" s="179">
        <f t="shared" si="6"/>
        <v>3858.6538461538462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127</v>
      </c>
      <c r="B98" s="181">
        <f>'Données projet'!D101</f>
        <v>49.916666666666671</v>
      </c>
      <c r="C98" s="191">
        <v>50</v>
      </c>
      <c r="D98" s="179">
        <f t="shared" si="6"/>
        <v>2495.8333333333335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131</v>
      </c>
      <c r="B99" s="181">
        <f>'Données projet'!D102</f>
        <v>110.91025641025641</v>
      </c>
      <c r="C99" s="191">
        <v>50</v>
      </c>
      <c r="D99" s="179">
        <f t="shared" si="6"/>
        <v>5545.5128205128203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309</v>
      </c>
      <c r="C109" s="48" t="s">
        <v>310</v>
      </c>
      <c r="D109" s="36" t="s">
        <v>311</v>
      </c>
      <c r="E109" s="36" t="s">
        <v>312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35</v>
      </c>
      <c r="B117" s="181">
        <f>'Données projet'!D115</f>
        <v>60.602564102564102</v>
      </c>
      <c r="C117" s="191">
        <v>10</v>
      </c>
      <c r="D117" s="179">
        <f t="shared" ref="D117:D135" si="8">B117*C117</f>
        <v>606.02564102564099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41</v>
      </c>
      <c r="B118" s="181">
        <f>'Données projet'!D116</f>
        <v>38.512820512820511</v>
      </c>
      <c r="C118" s="191">
        <v>10</v>
      </c>
      <c r="D118" s="179">
        <f t="shared" si="8"/>
        <v>385.12820512820508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48</v>
      </c>
      <c r="B119" s="181">
        <f>'Données projet'!D117</f>
        <v>48.025641025641022</v>
      </c>
      <c r="C119" s="191">
        <v>15</v>
      </c>
      <c r="D119" s="179">
        <f t="shared" si="8"/>
        <v>720.38461538461536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55</v>
      </c>
      <c r="B120" s="181">
        <f>'Données projet'!D118</f>
        <v>45.147435897435898</v>
      </c>
      <c r="C120" s="191">
        <v>15</v>
      </c>
      <c r="D120" s="179">
        <f t="shared" si="8"/>
        <v>677.21153846153845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63</v>
      </c>
      <c r="B121" s="181">
        <f>'Données projet'!D119</f>
        <v>41.724358974358978</v>
      </c>
      <c r="C121" s="191">
        <v>50</v>
      </c>
      <c r="D121" s="179">
        <f t="shared" si="8"/>
        <v>2086.2179487179487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71</v>
      </c>
      <c r="B122" s="181">
        <f>'Données projet'!D120</f>
        <v>39.935897435897431</v>
      </c>
      <c r="C122" s="191">
        <v>50</v>
      </c>
      <c r="D122" s="179">
        <f t="shared" si="8"/>
        <v>1996.7948717948716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80</v>
      </c>
      <c r="B123" s="181">
        <f>'Données projet'!D121</f>
        <v>45.608974358974358</v>
      </c>
      <c r="C123" s="191">
        <v>50</v>
      </c>
      <c r="D123" s="179">
        <f t="shared" si="8"/>
        <v>2280.4487179487178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89</v>
      </c>
      <c r="B124" s="181">
        <f>'Données projet'!D122</f>
        <v>49.391025641025635</v>
      </c>
      <c r="C124" s="191">
        <v>50</v>
      </c>
      <c r="D124" s="179">
        <f t="shared" si="8"/>
        <v>2469.5512820512818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99</v>
      </c>
      <c r="B125" s="181">
        <f>'Données projet'!D123</f>
        <v>48.019230769230766</v>
      </c>
      <c r="C125" s="191">
        <v>50</v>
      </c>
      <c r="D125" s="179">
        <f t="shared" si="8"/>
        <v>2400.9615384615381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109</v>
      </c>
      <c r="B126" s="181">
        <f>'Données projet'!D124</f>
        <v>51.28846153846154</v>
      </c>
      <c r="C126" s="191">
        <v>50</v>
      </c>
      <c r="D126" s="179">
        <f t="shared" si="8"/>
        <v>2564.4230769230771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119</v>
      </c>
      <c r="B127" s="181">
        <f>'Données projet'!D125</f>
        <v>150.02564102564102</v>
      </c>
      <c r="C127" s="191">
        <v>50</v>
      </c>
      <c r="D127" s="179">
        <f t="shared" si="8"/>
        <v>7501.2820512820508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123</v>
      </c>
      <c r="B128" s="181">
        <f>'Données projet'!D126</f>
        <v>77.17307692307692</v>
      </c>
      <c r="C128" s="191">
        <v>50</v>
      </c>
      <c r="D128" s="179">
        <f t="shared" si="8"/>
        <v>3858.6538461538462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127</v>
      </c>
      <c r="B129" s="181">
        <f>'Données projet'!D127</f>
        <v>49.916666666666671</v>
      </c>
      <c r="C129" s="191">
        <v>50</v>
      </c>
      <c r="D129" s="179">
        <f t="shared" si="8"/>
        <v>2495.8333333333335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131</v>
      </c>
      <c r="B130" s="181">
        <f>'Données projet'!D128</f>
        <v>110.91025641025641</v>
      </c>
      <c r="C130" s="191">
        <v>50</v>
      </c>
      <c r="D130" s="179">
        <f t="shared" si="8"/>
        <v>5545.5128205128203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309</v>
      </c>
      <c r="C140" s="48" t="s">
        <v>310</v>
      </c>
      <c r="D140" s="36" t="s">
        <v>311</v>
      </c>
      <c r="E140" s="36" t="s">
        <v>312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35</v>
      </c>
      <c r="B148" s="175">
        <f>'Données projet'!D141</f>
        <v>60.602564102564102</v>
      </c>
      <c r="C148" s="191">
        <v>10</v>
      </c>
      <c r="D148" s="182">
        <f>B148*C148</f>
        <v>606.02564102564099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41</v>
      </c>
      <c r="B149" s="175">
        <f>'Données projet'!D142</f>
        <v>38.512820512820511</v>
      </c>
      <c r="C149" s="191">
        <v>10</v>
      </c>
      <c r="D149" s="182">
        <f>B149*C149</f>
        <v>385.12820512820508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48</v>
      </c>
      <c r="B150" s="175">
        <f>'Données projet'!D143</f>
        <v>48.025641025641022</v>
      </c>
      <c r="C150" s="191">
        <v>15</v>
      </c>
      <c r="D150" s="182">
        <f t="shared" ref="D150:D166" si="10">B150*C150</f>
        <v>720.38461538461536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55</v>
      </c>
      <c r="B151" s="175">
        <f>'Données projet'!D144</f>
        <v>45.147435897435898</v>
      </c>
      <c r="C151" s="191">
        <v>15</v>
      </c>
      <c r="D151" s="182">
        <f t="shared" si="10"/>
        <v>677.21153846153845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63</v>
      </c>
      <c r="B152" s="175">
        <f>'Données projet'!D145</f>
        <v>41.724358974358978</v>
      </c>
      <c r="C152" s="191">
        <v>50</v>
      </c>
      <c r="D152" s="182">
        <f t="shared" si="10"/>
        <v>2086.2179487179487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71</v>
      </c>
      <c r="B153" s="175">
        <f>'Données projet'!D146</f>
        <v>39.935897435897431</v>
      </c>
      <c r="C153" s="191">
        <v>50</v>
      </c>
      <c r="D153" s="182">
        <f t="shared" si="10"/>
        <v>1996.7948717948716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80</v>
      </c>
      <c r="B154" s="175">
        <f>'Données projet'!D147</f>
        <v>45.608974358974358</v>
      </c>
      <c r="C154" s="191">
        <v>50</v>
      </c>
      <c r="D154" s="182">
        <f t="shared" si="10"/>
        <v>2280.4487179487178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89</v>
      </c>
      <c r="B155" s="175">
        <f>'Données projet'!D148</f>
        <v>49.391025641025635</v>
      </c>
      <c r="C155" s="191">
        <v>50</v>
      </c>
      <c r="D155" s="182">
        <f t="shared" si="10"/>
        <v>2469.5512820512818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99</v>
      </c>
      <c r="B156" s="175">
        <f>'Données projet'!D149</f>
        <v>48.019230769230766</v>
      </c>
      <c r="C156" s="191">
        <v>50</v>
      </c>
      <c r="D156" s="182">
        <f t="shared" si="10"/>
        <v>2400.9615384615381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109</v>
      </c>
      <c r="B157" s="175">
        <f>'Données projet'!D150</f>
        <v>51.28846153846154</v>
      </c>
      <c r="C157" s="191">
        <v>50</v>
      </c>
      <c r="D157" s="182">
        <f t="shared" si="10"/>
        <v>2564.4230769230771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119</v>
      </c>
      <c r="B158" s="175">
        <f>'Données projet'!D151</f>
        <v>150.02564102564102</v>
      </c>
      <c r="C158" s="191">
        <v>50</v>
      </c>
      <c r="D158" s="182">
        <f t="shared" si="10"/>
        <v>7501.2820512820508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123</v>
      </c>
      <c r="B159" s="175">
        <f>'Données projet'!D152</f>
        <v>77.17307692307692</v>
      </c>
      <c r="C159" s="191">
        <v>50</v>
      </c>
      <c r="D159" s="182">
        <f t="shared" si="10"/>
        <v>3858.6538461538462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127</v>
      </c>
      <c r="B160" s="175">
        <f>'Données projet'!D153</f>
        <v>49.916666666666671</v>
      </c>
      <c r="C160" s="191">
        <v>50</v>
      </c>
      <c r="D160" s="182">
        <f t="shared" si="10"/>
        <v>2495.8333333333335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131</v>
      </c>
      <c r="B161" s="175">
        <f>'Données projet'!D154</f>
        <v>110.91025641025641</v>
      </c>
      <c r="C161" s="191">
        <v>50</v>
      </c>
      <c r="D161" s="182">
        <f t="shared" si="10"/>
        <v>5545.5128205128203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>Douglas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309</v>
      </c>
      <c r="C171" s="48" t="s">
        <v>310</v>
      </c>
      <c r="D171" s="36" t="s">
        <v>311</v>
      </c>
      <c r="E171" s="36" t="s">
        <v>312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18</v>
      </c>
      <c r="B178" s="181">
        <f>'Données projet'!D166</f>
        <v>69.284615384615378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24</v>
      </c>
      <c r="B179" s="181">
        <f>'Données projet'!D167</f>
        <v>42.661538461538463</v>
      </c>
      <c r="C179" s="193">
        <v>10</v>
      </c>
      <c r="D179" s="179">
        <f t="shared" ref="D179:D197" si="11">B179*C179</f>
        <v>426.61538461538464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30</v>
      </c>
      <c r="B180" s="181">
        <f>'Données projet'!D168</f>
        <v>65.669230769230765</v>
      </c>
      <c r="C180" s="193">
        <v>10</v>
      </c>
      <c r="D180" s="179">
        <f t="shared" si="11"/>
        <v>656.69230769230762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36</v>
      </c>
      <c r="B181" s="181">
        <f>'Données projet'!D169</f>
        <v>69.3</v>
      </c>
      <c r="C181" s="193">
        <v>18</v>
      </c>
      <c r="D181" s="179">
        <f t="shared" si="11"/>
        <v>1247.3999999999999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42</v>
      </c>
      <c r="B182" s="181">
        <f>'Données projet'!D170</f>
        <v>73.392307692307682</v>
      </c>
      <c r="C182" s="193">
        <v>25</v>
      </c>
      <c r="D182" s="179">
        <f t="shared" si="11"/>
        <v>1834.8076923076922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48</v>
      </c>
      <c r="B183" s="181">
        <f>'Données projet'!D171</f>
        <v>81.330769230769235</v>
      </c>
      <c r="C183" s="193">
        <v>25</v>
      </c>
      <c r="D183" s="179">
        <f t="shared" si="11"/>
        <v>2033.2692307692309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54</v>
      </c>
      <c r="B184" s="181">
        <f>'Données projet'!D172</f>
        <v>566.79999999999995</v>
      </c>
      <c r="C184" s="193">
        <v>50</v>
      </c>
      <c r="D184" s="179">
        <f t="shared" si="11"/>
        <v>28339.999999999996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>Merisier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309</v>
      </c>
      <c r="C202" s="48" t="s">
        <v>310</v>
      </c>
      <c r="D202" s="36" t="s">
        <v>311</v>
      </c>
      <c r="E202" s="36" t="s">
        <v>312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15</v>
      </c>
      <c r="B209" s="181">
        <f>'Données projet'!D192</f>
        <v>3</v>
      </c>
      <c r="C209" s="193">
        <v>10</v>
      </c>
      <c r="D209" s="179">
        <f>B209*C209</f>
        <v>30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20</v>
      </c>
      <c r="B210" s="181">
        <f>'Données projet'!D193</f>
        <v>25</v>
      </c>
      <c r="C210" s="193">
        <v>10</v>
      </c>
      <c r="D210" s="179">
        <f t="shared" ref="D210:D228" si="12">B210*C210</f>
        <v>250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25</v>
      </c>
      <c r="B211" s="181">
        <f>'Données projet'!D194</f>
        <v>27</v>
      </c>
      <c r="C211" s="193">
        <v>15</v>
      </c>
      <c r="D211" s="179">
        <f t="shared" si="12"/>
        <v>405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31</v>
      </c>
      <c r="B212" s="181">
        <f>'Données projet'!D195</f>
        <v>35</v>
      </c>
      <c r="C212" s="193">
        <v>15</v>
      </c>
      <c r="D212" s="179">
        <f t="shared" si="12"/>
        <v>525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37</v>
      </c>
      <c r="B213" s="181">
        <f>'Données projet'!D196</f>
        <v>36</v>
      </c>
      <c r="C213" s="193">
        <v>50</v>
      </c>
      <c r="D213" s="179">
        <f t="shared" si="12"/>
        <v>1800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44</v>
      </c>
      <c r="B214" s="181">
        <f>'Données projet'!D197</f>
        <v>43</v>
      </c>
      <c r="C214" s="193">
        <v>50</v>
      </c>
      <c r="D214" s="179">
        <f t="shared" si="12"/>
        <v>2150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52</v>
      </c>
      <c r="B215" s="181">
        <f>'Données projet'!D198</f>
        <v>49</v>
      </c>
      <c r="C215" s="193">
        <v>50</v>
      </c>
      <c r="D215" s="179">
        <f t="shared" si="12"/>
        <v>2450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60</v>
      </c>
      <c r="B216" s="181">
        <f>'Données projet'!D199</f>
        <v>47</v>
      </c>
      <c r="C216" s="193">
        <v>50</v>
      </c>
      <c r="D216" s="179">
        <f t="shared" si="12"/>
        <v>2350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69</v>
      </c>
      <c r="B217" s="181">
        <f>'Données projet'!D200</f>
        <v>328</v>
      </c>
      <c r="C217" s="193">
        <v>50</v>
      </c>
      <c r="D217" s="179">
        <f t="shared" si="12"/>
        <v>16400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309</v>
      </c>
      <c r="C233" s="48" t="s">
        <v>310</v>
      </c>
      <c r="D233" s="36" t="s">
        <v>311</v>
      </c>
      <c r="E233" s="36" t="s">
        <v>312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309</v>
      </c>
      <c r="C264" s="48" t="s">
        <v>310</v>
      </c>
      <c r="D264" s="36" t="s">
        <v>311</v>
      </c>
      <c r="E264" s="36" t="s">
        <v>312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309</v>
      </c>
      <c r="C295" s="48" t="s">
        <v>310</v>
      </c>
      <c r="D295" s="36" t="s">
        <v>311</v>
      </c>
      <c r="E295" s="36" t="s">
        <v>312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7CF08-B088-4DC8-88F0-46CD315BBB7D}"/>
</file>

<file path=customXml/itemProps2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Agathe DENOYER</cp:lastModifiedBy>
  <cp:revision/>
  <dcterms:created xsi:type="dcterms:W3CDTF">2021-02-01T08:22:39Z</dcterms:created>
  <dcterms:modified xsi:type="dcterms:W3CDTF">2025-09-09T10:32:31Z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