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6_Cie des Landes\2024 LUE Ychoux R2 - 21 550 003\"/>
    </mc:Choice>
  </mc:AlternateContent>
  <xr:revisionPtr revIDLastSave="0" documentId="13_ncr:1_{CA978DDE-C8A9-4FE9-9E11-EA9DA7A6D0F5}" xr6:coauthVersionLast="47" xr6:coauthVersionMax="47" xr10:uidLastSave="{00000000-0000-0000-0000-000000000000}"/>
  <bookViews>
    <workbookView xWindow="-108" yWindow="-108" windowWidth="23256" windowHeight="12576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2" i="1" l="1"/>
  <c r="B71" i="1"/>
  <c r="B70" i="1"/>
  <c r="B69" i="1"/>
  <c r="B68" i="1"/>
  <c r="B67" i="1"/>
  <c r="B66" i="1"/>
  <c r="B65" i="1"/>
  <c r="B64" i="1"/>
  <c r="B63" i="1"/>
  <c r="B62" i="1"/>
  <c r="D103" i="1"/>
  <c r="B103" i="1"/>
  <c r="D102" i="1"/>
  <c r="B102" i="1"/>
  <c r="D101" i="1"/>
  <c r="B101" i="1"/>
  <c r="D100" i="1"/>
  <c r="B100" i="1"/>
  <c r="D99" i="1"/>
  <c r="B99" i="1"/>
  <c r="D98" i="1"/>
  <c r="B98" i="1"/>
  <c r="D97" i="1"/>
  <c r="B97" i="1"/>
  <c r="D96" i="1"/>
  <c r="B96" i="1"/>
  <c r="D95" i="1"/>
  <c r="B95" i="1"/>
  <c r="D94" i="1"/>
  <c r="B94" i="1"/>
  <c r="D93" i="1"/>
  <c r="B93" i="1"/>
  <c r="D92" i="1"/>
  <c r="B92" i="1"/>
  <c r="D91" i="1"/>
  <c r="B91" i="1"/>
  <c r="D90" i="1"/>
  <c r="B90" i="1"/>
  <c r="D89" i="1"/>
  <c r="B89" i="1"/>
  <c r="B88" i="1"/>
  <c r="H21" i="6" l="1"/>
  <c r="H22" i="6" s="1"/>
  <c r="H23" i="6" s="1"/>
  <c r="H24" i="6" s="1"/>
  <c r="H25" i="6" s="1"/>
  <c r="H26" i="6" s="1"/>
  <c r="H27" i="6" s="1"/>
  <c r="H28" i="6" s="1"/>
  <c r="H29" i="6" s="1"/>
  <c r="H30" i="6" s="1"/>
  <c r="H31" i="6" s="1"/>
  <c r="H32" i="6" s="1"/>
  <c r="H33" i="6" s="1"/>
  <c r="H34" i="6" s="1"/>
  <c r="H35" i="6" s="1"/>
  <c r="H36" i="6" s="1"/>
  <c r="H37" i="6" s="1"/>
  <c r="H38" i="6" s="1"/>
  <c r="H39" i="6" s="1"/>
  <c r="H40" i="6" s="1"/>
  <c r="H41" i="6" s="1"/>
  <c r="H42" i="6" s="1"/>
  <c r="H43" i="6" s="1"/>
  <c r="H44" i="6" s="1"/>
  <c r="H45" i="6" s="1"/>
  <c r="H46" i="6" s="1"/>
  <c r="H47" i="6" s="1"/>
  <c r="H48" i="6" s="1"/>
  <c r="H49" i="6" s="1"/>
  <c r="H50" i="6" s="1"/>
  <c r="H51" i="6" s="1"/>
  <c r="H52" i="6" s="1"/>
  <c r="H53" i="6" s="1"/>
  <c r="H54" i="6" s="1"/>
  <c r="H55" i="6" s="1"/>
  <c r="H56" i="6" s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GL4" i="2"/>
  <c r="FQ4" i="2"/>
  <c r="FR4" i="2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FS20" i="2"/>
  <c r="EC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EA22" i="2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X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A38" i="2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C78" i="2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EV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C85" i="2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W124" i="2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B130" i="2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S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S146" i="2"/>
  <c r="EA146" i="2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C150" i="2"/>
  <c r="EV150" i="2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EB154" i="2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ED154" i="2"/>
  <c r="EW155" i="2"/>
  <c r="DI154" i="2"/>
  <c r="EY154" i="2"/>
  <c r="HG155" i="2"/>
  <c r="EA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HG156" i="2" l="1"/>
  <c r="EY155" i="2"/>
  <c r="ED155" i="2"/>
  <c r="DH156" i="2"/>
  <c r="HH156" i="2"/>
  <c r="FS156" i="2"/>
  <c r="EX156" i="2"/>
  <c r="E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H157" i="2" l="1"/>
  <c r="HG157" i="2"/>
  <c r="EX157" i="2"/>
  <c r="EC157" i="2"/>
  <c r="EA157" i="2"/>
  <c r="CN156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H158" i="2" l="1"/>
  <c r="EC158" i="2"/>
  <c r="HG158" i="2"/>
  <c r="ED157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EC159" i="2"/>
  <c r="HI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I160" i="2" l="1"/>
  <c r="ED159" i="2"/>
  <c r="HG160" i="2"/>
  <c r="EC160" i="2"/>
  <c r="FS160" i="2"/>
  <c r="EY159" i="2"/>
  <c r="D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HH161" i="2"/>
  <c r="ED160" i="2"/>
  <c r="EA161" i="2"/>
  <c r="AB161" i="2"/>
  <c r="EB161" i="2"/>
  <c r="EX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DI161" i="2"/>
  <c r="EY161" i="2"/>
  <c r="EW162" i="2"/>
  <c r="EC162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HH163" i="2"/>
  <c r="HG163" i="2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HG164" i="2" l="1"/>
  <c r="HH164" i="2"/>
  <c r="FS164" i="2"/>
  <c r="EY163" i="2"/>
  <c r="ED163" i="2"/>
  <c r="DI163" i="2"/>
  <c r="DH164" i="2"/>
  <c r="EA164" i="2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A165" i="2"/>
  <c r="HH165" i="2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ED165" i="2"/>
  <c r="CN165" i="2"/>
  <c r="FS166" i="2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EC167" i="2"/>
  <c r="EA167" i="2"/>
  <c r="FR167" i="2"/>
  <c r="EX167" i="2"/>
  <c r="EY166" i="2"/>
  <c r="DG167" i="2"/>
  <c r="EB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C168" i="2"/>
  <c r="DG168" i="2"/>
  <c r="EW168" i="2"/>
  <c r="EB168" i="2"/>
  <c r="DI167" i="2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Y168" i="2"/>
  <c r="EX169" i="2"/>
  <c r="EA169" i="2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D171" i="2"/>
  <c r="EA172" i="2"/>
  <c r="HI172" i="2"/>
  <c r="EY171" i="2"/>
  <c r="EV172" i="2"/>
  <c r="EW172" i="2"/>
  <c r="HG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D172" i="2"/>
  <c r="HJ172" i="2"/>
  <c r="EX173" i="2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HI175" i="2" l="1"/>
  <c r="ED174" i="2"/>
  <c r="EA175" i="2"/>
  <c r="EB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Q177" i="2"/>
  <c r="FS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D177" i="2"/>
  <c r="EW178" i="2"/>
  <c r="EA178" i="2"/>
  <c r="EB178" i="2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EA179" i="2"/>
  <c r="ED178" i="2"/>
  <c r="DF179" i="2"/>
  <c r="EV179" i="2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Y179" i="2"/>
  <c r="HG180" i="2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A183" i="2"/>
  <c r="ED182" i="2"/>
  <c r="EY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D184" i="2"/>
  <c r="EW185" i="2"/>
  <c r="EB185" i="2"/>
  <c r="EA185" i="2"/>
  <c r="EV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EW186" i="2"/>
  <c r="ED185" i="2"/>
  <c r="EB186" i="2"/>
  <c r="HH186" i="2"/>
  <c r="FR186" i="2"/>
  <c r="EA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H188" i="2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HH189" i="2" l="1"/>
  <c r="EB189" i="2"/>
  <c r="EY188" i="2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HG190" i="2"/>
  <c r="EV190" i="2"/>
  <c r="EY189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I191" i="2"/>
  <c r="ED190" i="2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I192" i="2" l="1"/>
  <c r="HG192" i="2"/>
  <c r="EY191" i="2"/>
  <c r="EW192" i="2"/>
  <c r="EV192" i="2"/>
  <c r="EC192" i="2"/>
  <c r="EB192" i="2"/>
  <c r="EA192" i="2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FQ193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CN193" i="2"/>
  <c r="HG194" i="2"/>
  <c r="ED193" i="2"/>
  <c r="EA194" i="2"/>
  <c r="FQ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AA195" i="2"/>
  <c r="ED194" i="2"/>
  <c r="EB195" i="2"/>
  <c r="FQ195" i="2"/>
  <c r="EX195" i="2"/>
  <c r="EY194" i="2"/>
  <c r="DH195" i="2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Y195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A197" i="2"/>
  <c r="EY196" i="2"/>
  <c r="FS197" i="2"/>
  <c r="HH197" i="2"/>
  <c r="HG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FS199" i="2"/>
  <c r="EA199" i="2"/>
  <c r="EB199" i="2"/>
  <c r="EY198" i="2"/>
  <c r="EW199" i="2"/>
  <c r="HH199" i="2"/>
  <c r="HG199" i="2"/>
  <c r="HJ199" i="2" s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G201" i="2" l="1"/>
  <c r="HH201" i="2"/>
  <c r="ED200" i="2"/>
  <c r="EA201" i="2"/>
  <c r="DI200" i="2"/>
  <c r="FS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ED201" i="2"/>
  <c r="EY201" i="2"/>
  <c r="HH202" i="2"/>
  <c r="HG202" i="2"/>
  <c r="FR202" i="2"/>
  <c r="EW202" i="2"/>
  <c r="EX202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140" i="2" a="1"/>
  <c r="FY140" i="2" s="1"/>
  <c r="FY133" i="2" a="1"/>
  <c r="FY133" i="2" s="1"/>
  <c r="FY73" i="2" a="1"/>
  <c r="FY73" i="2" s="1"/>
  <c r="FY116" i="2" a="1"/>
  <c r="FY116" i="2" s="1"/>
  <c r="FY188" i="2" a="1"/>
  <c r="FY188" i="2" s="1"/>
  <c r="FY126" i="2" a="1"/>
  <c r="FY126" i="2" s="1"/>
  <c r="FY178" i="2" a="1"/>
  <c r="FY178" i="2" s="1"/>
  <c r="FY124" i="2" a="1"/>
  <c r="FY124" i="2" s="1"/>
  <c r="FY24" i="2" a="1"/>
  <c r="FY24" i="2" s="1"/>
  <c r="FY164" i="2" a="1"/>
  <c r="FY164" i="2" s="1"/>
  <c r="FD59" i="2" a="1"/>
  <c r="FD59" i="2" s="1"/>
  <c r="BC58" i="2" a="1"/>
  <c r="BC58" i="2" s="1"/>
  <c r="DN137" i="2" a="1"/>
  <c r="DN137" i="2" s="1"/>
  <c r="DN153" i="2" a="1"/>
  <c r="DN153" i="2" s="1"/>
  <c r="DN115" i="2" a="1"/>
  <c r="DN115" i="2" s="1"/>
  <c r="DN150" i="2" a="1"/>
  <c r="DN150" i="2" s="1"/>
  <c r="DN123" i="2" a="1"/>
  <c r="DN123" i="2" s="1"/>
  <c r="FY58" i="2" a="1"/>
  <c r="FY58" i="2" s="1"/>
  <c r="FY196" i="2" a="1"/>
  <c r="FY196" i="2" s="1"/>
  <c r="FY42" i="2" a="1"/>
  <c r="FY42" i="2" s="1"/>
  <c r="FY30" i="2" a="1"/>
  <c r="FY30" i="2" s="1"/>
  <c r="FY80" i="2" a="1"/>
  <c r="FY80" i="2" s="1"/>
  <c r="FD188" i="2" a="1"/>
  <c r="FD188" i="2" s="1"/>
  <c r="FD44" i="2" a="1"/>
  <c r="FD44" i="2" s="1"/>
  <c r="FD48" i="2" a="1"/>
  <c r="FD48" i="2" s="1"/>
  <c r="FD14" i="2" a="1"/>
  <c r="FD14" i="2" s="1"/>
  <c r="FD167" i="2" a="1"/>
  <c r="FD167" i="2" s="1"/>
  <c r="FD107" i="2" a="1"/>
  <c r="FD107" i="2" s="1"/>
  <c r="FD159" i="2" a="1"/>
  <c r="FD159" i="2" s="1"/>
  <c r="FD137" i="2" a="1"/>
  <c r="FD137" i="2" s="1"/>
  <c r="DN63" i="2" a="1"/>
  <c r="DN63" i="2" s="1"/>
  <c r="EI165" i="2" a="1"/>
  <c r="EI165" i="2" s="1"/>
  <c r="DN168" i="2" a="1"/>
  <c r="DN168" i="2" s="1"/>
  <c r="DN164" i="2" a="1"/>
  <c r="DN164" i="2" s="1"/>
  <c r="DN49" i="2" a="1"/>
  <c r="DN49" i="2" s="1"/>
  <c r="DN162" i="2" a="1"/>
  <c r="DN162" i="2" s="1"/>
  <c r="DN70" i="2" a="1"/>
  <c r="DN70" i="2" s="1"/>
  <c r="DN65" i="2" a="1"/>
  <c r="DN65" i="2" s="1"/>
  <c r="DN133" i="2" a="1"/>
  <c r="DN133" i="2" s="1"/>
  <c r="DN6" i="2" a="1"/>
  <c r="DN6" i="2" s="1"/>
  <c r="DO6" i="2" s="1"/>
  <c r="DN132" i="2" a="1"/>
  <c r="DN132" i="2" s="1"/>
  <c r="HJ202" i="2"/>
  <c r="AX200" i="2"/>
  <c r="FY143" i="2" l="1" a="1"/>
  <c r="FY143" i="2" s="1"/>
  <c r="FY110" i="2" a="1"/>
  <c r="FY110" i="2" s="1"/>
  <c r="FY153" i="2" a="1"/>
  <c r="FY153" i="2" s="1"/>
  <c r="FY71" i="2" a="1"/>
  <c r="FY71" i="2" s="1"/>
  <c r="FD144" i="2" a="1"/>
  <c r="FD144" i="2" s="1"/>
  <c r="FY111" i="2" a="1"/>
  <c r="FY111" i="2" s="1"/>
  <c r="FY32" i="2" a="1"/>
  <c r="FY32" i="2" s="1"/>
  <c r="BC185" i="2" a="1"/>
  <c r="BC185" i="2" s="1"/>
  <c r="FY90" i="2" a="1"/>
  <c r="FY90" i="2" s="1"/>
  <c r="BC143" i="2" a="1"/>
  <c r="BC143" i="2" s="1"/>
  <c r="FY57" i="2" a="1"/>
  <c r="FY57" i="2" s="1"/>
  <c r="BC31" i="2" a="1"/>
  <c r="BC31" i="2" s="1"/>
  <c r="BC34" i="2" a="1"/>
  <c r="BC34" i="2" s="1"/>
  <c r="FY149" i="2" a="1"/>
  <c r="FY149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D82" i="2" a="1"/>
  <c r="FD82" i="2" s="1"/>
  <c r="FD187" i="2" a="1"/>
  <c r="FD187" i="2" s="1"/>
  <c r="FD60" i="2" a="1"/>
  <c r="FD60" i="2" s="1"/>
  <c r="FY82" i="2" a="1"/>
  <c r="FY82" i="2" s="1"/>
  <c r="FD21" i="2" a="1"/>
  <c r="FD21" i="2" s="1"/>
  <c r="FY169" i="2" a="1"/>
  <c r="FY169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FD131" i="2" a="1"/>
  <c r="FD131" i="2" s="1"/>
  <c r="FD194" i="2" a="1"/>
  <c r="FD194" i="2" s="1"/>
  <c r="FD43" i="2" a="1"/>
  <c r="FD43" i="2" s="1"/>
  <c r="FY121" i="2" a="1"/>
  <c r="FY121" i="2" s="1"/>
  <c r="FY182" i="2" a="1"/>
  <c r="FY182" i="2" s="1"/>
  <c r="FY172" i="2" a="1"/>
  <c r="FY172" i="2" s="1"/>
  <c r="FY62" i="2" a="1"/>
  <c r="FY62" i="2" s="1"/>
  <c r="FY78" i="2" a="1"/>
  <c r="FY78" i="2" s="1"/>
  <c r="FY186" i="2" a="1"/>
  <c r="FY186" i="2" s="1"/>
  <c r="FY69" i="2" a="1"/>
  <c r="FY69" i="2" s="1"/>
  <c r="FY35" i="2" a="1"/>
  <c r="FY35" i="2" s="1"/>
  <c r="FY79" i="2" a="1"/>
  <c r="FY79" i="2" s="1"/>
  <c r="BC84" i="2" a="1"/>
  <c r="BC84" i="2" s="1"/>
  <c r="FD19" i="2" a="1"/>
  <c r="FD19" i="2" s="1"/>
  <c r="FD64" i="2" a="1"/>
  <c r="FD64" i="2" s="1"/>
  <c r="FY167" i="2" a="1"/>
  <c r="FY167" i="2" s="1"/>
  <c r="FY115" i="2" a="1"/>
  <c r="FY115" i="2" s="1"/>
  <c r="BC47" i="2" a="1"/>
  <c r="BC47" i="2" s="1"/>
  <c r="FY104" i="2" a="1"/>
  <c r="FY104" i="2" s="1"/>
  <c r="FY190" i="2" a="1"/>
  <c r="FY190" i="2" s="1"/>
  <c r="FY174" i="2" a="1"/>
  <c r="FY174" i="2" s="1"/>
  <c r="FY173" i="2" a="1"/>
  <c r="FY173" i="2" s="1"/>
  <c r="FY66" i="2" a="1"/>
  <c r="FY66" i="2" s="1"/>
  <c r="FY165" i="2" a="1"/>
  <c r="FY165" i="2" s="1"/>
  <c r="FY47" i="2" a="1"/>
  <c r="FY47" i="2" s="1"/>
  <c r="FD160" i="2" a="1"/>
  <c r="FD160" i="2" s="1"/>
  <c r="FD189" i="2" a="1"/>
  <c r="FD189" i="2" s="1"/>
  <c r="FY142" i="2" a="1"/>
  <c r="FY142" i="2" s="1"/>
  <c r="FY86" i="2" a="1"/>
  <c r="FY86" i="2" s="1"/>
  <c r="BC68" i="2" a="1"/>
  <c r="BC68" i="2" s="1"/>
  <c r="FY34" i="2" a="1"/>
  <c r="FY34" i="2" s="1"/>
  <c r="FY72" i="2" a="1"/>
  <c r="FY72" i="2" s="1"/>
  <c r="FY99" i="2" a="1"/>
  <c r="FY99" i="2" s="1"/>
  <c r="FY159" i="2" a="1"/>
  <c r="FY159" i="2" s="1"/>
  <c r="FY120" i="2" a="1"/>
  <c r="FY120" i="2" s="1"/>
  <c r="FY146" i="2" a="1"/>
  <c r="FY146" i="2" s="1"/>
  <c r="GT174" i="2" a="1"/>
  <c r="GT174" i="2" s="1"/>
  <c r="GT190" i="2" a="1"/>
  <c r="GT190" i="2" s="1"/>
  <c r="GT198" i="2" a="1"/>
  <c r="GT198" i="2" s="1"/>
  <c r="GT21" i="2" a="1"/>
  <c r="GT21" i="2" s="1"/>
  <c r="GT121" i="2" a="1"/>
  <c r="GT121" i="2" s="1"/>
  <c r="GT122" i="2" a="1"/>
  <c r="GT122" i="2" s="1"/>
  <c r="GT191" i="2" a="1"/>
  <c r="GT191" i="2" s="1"/>
  <c r="GT12" i="2" a="1"/>
  <c r="GT12" i="2" s="1"/>
  <c r="GT11" i="2" a="1"/>
  <c r="GT11" i="2" s="1"/>
  <c r="GT51" i="2" a="1"/>
  <c r="GT51" i="2" s="1"/>
  <c r="GT38" i="2" a="1"/>
  <c r="GT38" i="2" s="1"/>
  <c r="GT102" i="2" a="1"/>
  <c r="GT102" i="2" s="1"/>
  <c r="GT68" i="2" a="1"/>
  <c r="GT68" i="2" s="1"/>
  <c r="GT147" i="2" a="1"/>
  <c r="GT147" i="2" s="1"/>
  <c r="GT181" i="2" a="1"/>
  <c r="GT181" i="2" s="1"/>
  <c r="GT126" i="2" a="1"/>
  <c r="GT126" i="2" s="1"/>
  <c r="GT15" i="2" a="1"/>
  <c r="GT15" i="2" s="1"/>
  <c r="GT74" i="2" a="1"/>
  <c r="GT74" i="2" s="1"/>
  <c r="GT152" i="2" a="1"/>
  <c r="GT152" i="2" s="1"/>
  <c r="GT184" i="2" a="1"/>
  <c r="GT184" i="2" s="1"/>
  <c r="GT138" i="2" a="1"/>
  <c r="GT138" i="2" s="1"/>
  <c r="GT178" i="2" a="1"/>
  <c r="GT178" i="2" s="1"/>
  <c r="GT33" i="2" a="1"/>
  <c r="GT33" i="2" s="1"/>
  <c r="GT115" i="2" a="1"/>
  <c r="GT115" i="2" s="1"/>
  <c r="GT107" i="2" a="1"/>
  <c r="GT107" i="2" s="1"/>
  <c r="GT189" i="2" a="1"/>
  <c r="GT189" i="2" s="1"/>
  <c r="GT133" i="2" a="1"/>
  <c r="GT133" i="2" s="1"/>
  <c r="FY50" i="2" a="1"/>
  <c r="FY50" i="2" s="1"/>
  <c r="CS134" i="2" a="1"/>
  <c r="CS134" i="2" s="1"/>
  <c r="FY109" i="2" a="1"/>
  <c r="FY109" i="2" s="1"/>
  <c r="BX107" i="2" a="1"/>
  <c r="BX107" i="2" s="1"/>
  <c r="AH199" i="2" a="1"/>
  <c r="AH199" i="2" s="1"/>
  <c r="EI153" i="2" a="1"/>
  <c r="EI153" i="2" s="1"/>
  <c r="CS38" i="2" a="1"/>
  <c r="CS38" i="2" s="1"/>
  <c r="CS161" i="2" a="1"/>
  <c r="CS161" i="2" s="1"/>
  <c r="CS24" i="2" a="1"/>
  <c r="CS24" i="2" s="1"/>
  <c r="CS120" i="2" a="1"/>
  <c r="CS120" i="2" s="1"/>
  <c r="CS56" i="2" a="1"/>
  <c r="CS56" i="2" s="1"/>
  <c r="CS72" i="2" a="1"/>
  <c r="CS72" i="2" s="1"/>
  <c r="CS185" i="2" a="1"/>
  <c r="CS185" i="2" s="1"/>
  <c r="AH19" i="2" a="1"/>
  <c r="AH19" i="2" s="1"/>
  <c r="AH92" i="2" a="1"/>
  <c r="AH92" i="2" s="1"/>
  <c r="AH166" i="2" a="1"/>
  <c r="AH166" i="2" s="1"/>
  <c r="AH151" i="2" a="1"/>
  <c r="AH151" i="2" s="1"/>
  <c r="AH163" i="2" a="1"/>
  <c r="AH163" i="2" s="1"/>
  <c r="AH90" i="2" a="1"/>
  <c r="AH90" i="2" s="1"/>
  <c r="AH62" i="2" a="1"/>
  <c r="AH62" i="2" s="1"/>
  <c r="BC32" i="2" a="1"/>
  <c r="BC32" i="2" s="1"/>
  <c r="BC192" i="2" a="1"/>
  <c r="BC192" i="2" s="1"/>
  <c r="BC18" i="2" a="1"/>
  <c r="BC18" i="2" s="1"/>
  <c r="BC38" i="2" a="1"/>
  <c r="BC38" i="2" s="1"/>
  <c r="BC83" i="2" a="1"/>
  <c r="BC83" i="2" s="1"/>
  <c r="BC114" i="2" a="1"/>
  <c r="BC114" i="2" s="1"/>
  <c r="BC164" i="2" a="1"/>
  <c r="BC164" i="2" s="1"/>
  <c r="BC55" i="2" a="1"/>
  <c r="BC55" i="2" s="1"/>
  <c r="BC130" i="2" a="1"/>
  <c r="BC130" i="2" s="1"/>
  <c r="BC151" i="2" a="1"/>
  <c r="BC151" i="2" s="1"/>
  <c r="BC126" i="2" a="1"/>
  <c r="BC126" i="2" s="1"/>
  <c r="BC117" i="2" a="1"/>
  <c r="BC117" i="2" s="1"/>
  <c r="BC181" i="2" a="1"/>
  <c r="BC181" i="2" s="1"/>
  <c r="BC65" i="2" a="1"/>
  <c r="BC65" i="2" s="1"/>
  <c r="BC7" i="2" a="1"/>
  <c r="BC7" i="2" s="1"/>
  <c r="BC82" i="2" a="1"/>
  <c r="BC82" i="2" s="1"/>
  <c r="EI139" i="2" a="1"/>
  <c r="EI139" i="2" s="1"/>
  <c r="EI67" i="2" a="1"/>
  <c r="EI67" i="2" s="1"/>
  <c r="EI166" i="2" a="1"/>
  <c r="EI166" i="2" s="1"/>
  <c r="EI57" i="2" a="1"/>
  <c r="EI57" i="2" s="1"/>
  <c r="EI178" i="2" a="1"/>
  <c r="EI178" i="2" s="1"/>
  <c r="EI198" i="2" a="1"/>
  <c r="EI198" i="2" s="1"/>
  <c r="EI170" i="2" a="1"/>
  <c r="EI170" i="2" s="1"/>
  <c r="EI16" i="2" a="1"/>
  <c r="EI16" i="2" s="1"/>
  <c r="EI36" i="2" a="1"/>
  <c r="EI36" i="2" s="1"/>
  <c r="EI145" i="2" a="1"/>
  <c r="EI145" i="2" s="1"/>
  <c r="EI113" i="2" a="1"/>
  <c r="EI113" i="2" s="1"/>
  <c r="EI87" i="2" a="1"/>
  <c r="EI87" i="2" s="1"/>
  <c r="EI195" i="2" a="1"/>
  <c r="EI195" i="2" s="1"/>
  <c r="EI162" i="2" a="1"/>
  <c r="EI162" i="2" s="1"/>
  <c r="EI142" i="2" a="1"/>
  <c r="EI142" i="2" s="1"/>
  <c r="EI128" i="2" a="1"/>
  <c r="EI128" i="2" s="1"/>
  <c r="EI109" i="2" a="1"/>
  <c r="EI109" i="2" s="1"/>
  <c r="EI150" i="2" a="1"/>
  <c r="EI150" i="2" s="1"/>
  <c r="EI37" i="2" a="1"/>
  <c r="EI37" i="2" s="1"/>
  <c r="EI20" i="2" a="1"/>
  <c r="EI20" i="2" s="1"/>
  <c r="EI38" i="2" a="1"/>
  <c r="EI38" i="2" s="1"/>
  <c r="EI29" i="2" a="1"/>
  <c r="EI29" i="2" s="1"/>
  <c r="EI71" i="2" a="1"/>
  <c r="EI71" i="2" s="1"/>
  <c r="EI35" i="2" a="1"/>
  <c r="EI35" i="2" s="1"/>
  <c r="EI34" i="2" a="1"/>
  <c r="EI34" i="2" s="1"/>
  <c r="EI106" i="2" a="1"/>
  <c r="EI106" i="2" s="1"/>
  <c r="DN170" i="2" a="1"/>
  <c r="DN170" i="2" s="1"/>
  <c r="DN30" i="2" a="1"/>
  <c r="DN30" i="2" s="1"/>
  <c r="DN55" i="2" a="1"/>
  <c r="DN55" i="2" s="1"/>
  <c r="DN135" i="2" a="1"/>
  <c r="DN135" i="2" s="1"/>
  <c r="DN192" i="2" a="1"/>
  <c r="DN192" i="2" s="1"/>
  <c r="DN129" i="2" a="1"/>
  <c r="DN129" i="2" s="1"/>
  <c r="DN187" i="2" a="1"/>
  <c r="DN187" i="2" s="1"/>
  <c r="DN46" i="2" a="1"/>
  <c r="DN46" i="2" s="1"/>
  <c r="DN110" i="2" a="1"/>
  <c r="DN110" i="2" s="1"/>
  <c r="DN38" i="2" a="1"/>
  <c r="DN38" i="2" s="1"/>
  <c r="DN66" i="2" a="1"/>
  <c r="DN66" i="2" s="1"/>
  <c r="DN113" i="2" a="1"/>
  <c r="DN113" i="2" s="1"/>
  <c r="DN31" i="2" a="1"/>
  <c r="DN31" i="2" s="1"/>
  <c r="DN114" i="2" a="1"/>
  <c r="DN114" i="2" s="1"/>
  <c r="DN188" i="2" a="1"/>
  <c r="DN188" i="2" s="1"/>
  <c r="DN184" i="2" a="1"/>
  <c r="DN184" i="2" s="1"/>
  <c r="DN167" i="2" a="1"/>
  <c r="DN167" i="2" s="1"/>
  <c r="DN80" i="2" a="1"/>
  <c r="DN80" i="2" s="1"/>
  <c r="DN103" i="2" a="1"/>
  <c r="DN103" i="2" s="1"/>
  <c r="DN86" i="2" a="1"/>
  <c r="DN86" i="2" s="1"/>
  <c r="DN152" i="2" a="1"/>
  <c r="DN152" i="2" s="1"/>
  <c r="DN176" i="2" a="1"/>
  <c r="DN176" i="2" s="1"/>
  <c r="DN45" i="2" a="1"/>
  <c r="DN45" i="2" s="1"/>
  <c r="DN190" i="2" a="1"/>
  <c r="DN190" i="2" s="1"/>
  <c r="DN16" i="2" a="1"/>
  <c r="DN16" i="2" s="1"/>
  <c r="DN177" i="2" a="1"/>
  <c r="DN177" i="2" s="1"/>
  <c r="DN29" i="2" a="1"/>
  <c r="DN29" i="2" s="1"/>
  <c r="DN41" i="2" a="1"/>
  <c r="DN41" i="2" s="1"/>
  <c r="EY202" i="2"/>
  <c r="DN43" i="2" a="1"/>
  <c r="DN43" i="2" s="1"/>
  <c r="DN50" i="2" a="1"/>
  <c r="DN50" i="2" s="1"/>
  <c r="DN186" i="2" a="1"/>
  <c r="DN186" i="2" s="1"/>
  <c r="DN25" i="2" a="1"/>
  <c r="DN25" i="2" s="1"/>
  <c r="DN124" i="2" a="1"/>
  <c r="DN124" i="2" s="1"/>
  <c r="DN155" i="2" a="1"/>
  <c r="DN155" i="2" s="1"/>
  <c r="DN56" i="2" a="1"/>
  <c r="DN56" i="2" s="1"/>
  <c r="CS137" i="2" a="1"/>
  <c r="CS137" i="2" s="1"/>
  <c r="CS129" i="2" a="1"/>
  <c r="CS129" i="2" s="1"/>
  <c r="CS52" i="2" a="1"/>
  <c r="CS52" i="2" s="1"/>
  <c r="CS114" i="2" a="1"/>
  <c r="CS114" i="2" s="1"/>
  <c r="CS116" i="2" a="1"/>
  <c r="CS116" i="2" s="1"/>
  <c r="CS66" i="2" a="1"/>
  <c r="CS66" i="2" s="1"/>
  <c r="CS105" i="2" a="1"/>
  <c r="CS105" i="2" s="1"/>
  <c r="CS77" i="2" a="1"/>
  <c r="CS77" i="2" s="1"/>
  <c r="HH203" i="2"/>
  <c r="HG203" i="2"/>
  <c r="FR203" i="2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DI203" i="2"/>
  <c r="ED203" i="2"/>
  <c r="EY203" i="2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D60" i="2" l="1"/>
  <c r="CD70" i="2"/>
  <c r="CD151" i="2"/>
  <c r="CD37" i="2"/>
  <c r="CD31" i="2"/>
  <c r="CD103" i="2"/>
  <c r="CD101" i="2"/>
  <c r="CD147" i="2"/>
  <c r="CD117" i="2"/>
  <c r="CD92" i="2"/>
  <c r="CD125" i="2"/>
  <c r="CD160" i="2"/>
  <c r="CD202" i="2"/>
  <c r="CD119" i="2"/>
  <c r="CD13" i="2"/>
  <c r="CD199" i="2"/>
  <c r="CD44" i="2"/>
  <c r="CD52" i="2"/>
  <c r="CD65" i="2"/>
  <c r="CD180" i="2"/>
  <c r="CD38" i="2"/>
  <c r="CD114" i="2"/>
  <c r="CD118" i="2"/>
  <c r="CD167" i="2"/>
  <c r="CD40" i="2"/>
  <c r="CD82" i="2"/>
  <c r="CD109" i="2"/>
  <c r="CD14" i="2"/>
  <c r="CD27" i="2"/>
  <c r="CD59" i="2"/>
  <c r="CD71" i="2"/>
  <c r="CD154" i="2"/>
  <c r="CD75" i="2"/>
  <c r="CD139" i="2"/>
  <c r="CD143" i="2"/>
  <c r="CD128" i="2"/>
  <c r="CD84" i="2"/>
  <c r="CD126" i="2"/>
  <c r="CD134" i="2"/>
  <c r="CD158" i="2"/>
  <c r="CD80" i="2"/>
  <c r="CD178" i="2"/>
  <c r="CD58" i="2"/>
  <c r="CD138" i="2"/>
  <c r="CD5" i="2"/>
  <c r="CD11" i="2"/>
  <c r="CD168" i="2"/>
  <c r="CD149" i="2"/>
  <c r="CD23" i="2"/>
  <c r="CD196" i="2"/>
  <c r="CD171" i="2"/>
  <c r="CD63" i="2"/>
  <c r="CD123" i="2"/>
  <c r="CD28" i="2"/>
  <c r="CD170" i="2"/>
  <c r="CD53" i="2"/>
  <c r="CD187" i="2"/>
  <c r="CD88" i="2"/>
  <c r="CD194" i="2"/>
  <c r="CD33" i="2"/>
  <c r="CD17" i="2"/>
  <c r="CD4" i="2"/>
  <c r="CD165" i="2"/>
  <c r="CD96" i="2"/>
  <c r="CD115" i="2"/>
  <c r="CD136" i="2"/>
  <c r="CD184" i="2"/>
  <c r="CD133" i="2"/>
  <c r="CD21" i="2"/>
  <c r="CD155" i="2"/>
  <c r="CD164" i="2"/>
  <c r="CD121" i="2"/>
  <c r="CD108" i="2"/>
  <c r="CD129" i="2"/>
  <c r="CD162" i="2"/>
  <c r="CD25" i="2"/>
  <c r="CD181" i="2"/>
  <c r="CD105" i="2"/>
  <c r="CD197" i="2"/>
  <c r="CD169" i="2"/>
  <c r="CD29" i="2"/>
  <c r="CD191" i="2"/>
  <c r="CD99" i="2"/>
  <c r="CD72" i="2"/>
  <c r="CD102" i="2"/>
  <c r="CD135" i="2"/>
  <c r="CD61" i="2"/>
  <c r="CD98" i="2"/>
  <c r="CD39" i="2"/>
  <c r="CD56" i="2"/>
  <c r="CD176" i="2"/>
  <c r="CD146" i="2"/>
  <c r="CD7" i="2"/>
  <c r="CD190" i="2"/>
  <c r="CD174" i="2"/>
  <c r="CD87" i="2"/>
  <c r="CD172" i="2"/>
  <c r="CD32" i="2"/>
  <c r="CD188" i="2"/>
  <c r="CD47" i="2"/>
  <c r="CD111" i="2"/>
  <c r="CD16" i="2"/>
  <c r="CD107" i="2"/>
  <c r="CD91" i="2"/>
  <c r="CD140" i="2"/>
  <c r="CD145" i="2"/>
  <c r="CD46" i="2"/>
  <c r="CD20" i="2"/>
  <c r="CD159" i="2"/>
  <c r="CD62" i="2"/>
  <c r="CD130" i="2"/>
  <c r="CD41" i="2"/>
  <c r="CD77" i="2"/>
  <c r="CD116" i="2"/>
  <c r="CD177" i="2"/>
  <c r="CD18" i="2"/>
  <c r="CD144" i="2"/>
  <c r="CD195" i="2"/>
  <c r="CD50" i="2"/>
  <c r="CD106" i="2"/>
  <c r="CD12" i="2"/>
  <c r="CD141" i="2"/>
  <c r="CD148" i="2"/>
  <c r="CD94" i="2"/>
  <c r="CD19" i="2"/>
  <c r="CD89" i="2"/>
  <c r="CD81" i="2"/>
  <c r="CD150" i="2"/>
  <c r="CD153" i="2"/>
  <c r="CD173" i="2"/>
  <c r="CD120" i="2"/>
  <c r="CD85" i="2"/>
  <c r="CD49" i="2"/>
  <c r="CD113" i="2"/>
  <c r="CD175" i="2"/>
  <c r="CD193" i="2"/>
  <c r="CD74" i="2"/>
  <c r="CD55" i="2"/>
  <c r="CD35" i="2"/>
  <c r="CD64" i="2"/>
  <c r="CD203" i="2"/>
  <c r="CD10" i="2"/>
  <c r="CD201" i="2"/>
  <c r="CD22" i="2"/>
  <c r="CD90" i="2"/>
  <c r="CD66" i="2"/>
  <c r="CD26" i="2"/>
  <c r="CD36" i="2"/>
  <c r="CD97" i="2"/>
  <c r="CD192" i="2"/>
  <c r="CD78" i="2"/>
  <c r="CD79" i="2"/>
  <c r="CD43" i="2"/>
  <c r="CD67" i="2"/>
  <c r="CD95" i="2"/>
  <c r="CD200" i="2"/>
  <c r="CD124" i="2"/>
  <c r="CD86" i="2"/>
  <c r="CD132" i="2"/>
  <c r="CD24" i="2"/>
  <c r="CD183" i="2"/>
  <c r="CD15" i="2"/>
  <c r="CD48" i="2"/>
  <c r="CD69" i="2"/>
  <c r="CD179" i="2"/>
  <c r="CD54" i="2"/>
  <c r="CD166" i="2"/>
  <c r="CD76" i="2"/>
  <c r="CD152" i="2"/>
  <c r="CD73" i="2"/>
  <c r="CD157" i="2"/>
  <c r="CD83" i="2"/>
  <c r="CD57" i="2"/>
  <c r="CD122" i="2"/>
  <c r="CD182" i="2"/>
  <c r="CD161" i="2"/>
  <c r="CD42" i="2"/>
  <c r="CD189" i="2"/>
  <c r="CD163" i="2"/>
  <c r="CD9" i="2"/>
  <c r="CD137" i="2"/>
  <c r="CD185" i="2"/>
  <c r="CD3" i="2"/>
  <c r="C9" i="4" s="1"/>
  <c r="E9" i="4" s="1"/>
  <c r="F9" i="4" s="1"/>
  <c r="G9" i="4" s="1"/>
  <c r="L9" i="4" s="1"/>
  <c r="CD93" i="2"/>
  <c r="CD112" i="2"/>
  <c r="CD45" i="2"/>
  <c r="CD100" i="2"/>
  <c r="CD68" i="2"/>
  <c r="CD51" i="2"/>
  <c r="CD110" i="2"/>
  <c r="CD104" i="2"/>
  <c r="CD8" i="2"/>
  <c r="CD142" i="2"/>
  <c r="CD156" i="2"/>
  <c r="CD186" i="2"/>
  <c r="CD131" i="2"/>
  <c r="CD198" i="2"/>
  <c r="CD34" i="2"/>
  <c r="CD127" i="2"/>
  <c r="CD30" i="2"/>
  <c r="CD6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DT186" i="2" l="1"/>
  <c r="DT131" i="2"/>
  <c r="DT27" i="2"/>
  <c r="DT158" i="2"/>
  <c r="DT105" i="2"/>
  <c r="DT178" i="2"/>
  <c r="DT87" i="2"/>
  <c r="DT13" i="2"/>
  <c r="DT116" i="2"/>
  <c r="DT132" i="2"/>
  <c r="DT42" i="2"/>
  <c r="DT195" i="2"/>
  <c r="DT167" i="2"/>
  <c r="DT90" i="2"/>
  <c r="DT168" i="2"/>
  <c r="DT35" i="2"/>
  <c r="DT43" i="2"/>
  <c r="DT100" i="2"/>
  <c r="DT177" i="2"/>
  <c r="DT5" i="2"/>
  <c r="DT108" i="2"/>
  <c r="DT85" i="2"/>
  <c r="DT4" i="2"/>
  <c r="DT55" i="2"/>
  <c r="DT135" i="2"/>
  <c r="DT96" i="2"/>
  <c r="DT33" i="2"/>
  <c r="DT83" i="2"/>
  <c r="DT140" i="2"/>
  <c r="DT162" i="2"/>
  <c r="DT154" i="2"/>
  <c r="DT138" i="2"/>
  <c r="DT20" i="2"/>
  <c r="DT189" i="2"/>
  <c r="DT30" i="2"/>
  <c r="DT176" i="2"/>
  <c r="DT120" i="2"/>
  <c r="DT175" i="2"/>
  <c r="DT61" i="2"/>
  <c r="DT99" i="2"/>
  <c r="DT155" i="2"/>
  <c r="DT3" i="2"/>
  <c r="C11" i="4" s="1"/>
  <c r="E11" i="4" s="1"/>
  <c r="F11" i="4" s="1"/>
  <c r="G11" i="4" s="1"/>
  <c r="L11" i="4" s="1"/>
  <c r="DT201" i="2"/>
  <c r="DT25" i="2"/>
  <c r="DT80" i="2"/>
  <c r="DT89" i="2"/>
  <c r="DT160" i="2"/>
  <c r="DT119" i="2"/>
  <c r="DT180" i="2"/>
  <c r="DT134" i="2"/>
  <c r="DT44" i="2"/>
  <c r="DT18" i="2"/>
  <c r="DT11" i="2"/>
  <c r="DT146" i="2"/>
  <c r="DT130" i="2"/>
  <c r="DT122" i="2"/>
  <c r="DT174" i="2"/>
  <c r="DT64" i="2"/>
  <c r="DT39" i="2"/>
  <c r="DT129" i="2"/>
  <c r="DT73" i="2"/>
  <c r="DT40" i="2"/>
  <c r="DT32" i="2"/>
  <c r="DT79" i="2"/>
  <c r="DT202" i="2"/>
  <c r="DT157" i="2"/>
  <c r="DT117" i="2"/>
  <c r="DT147" i="2"/>
  <c r="DT45" i="2"/>
  <c r="DT98" i="2"/>
  <c r="DT51" i="2"/>
  <c r="DT62" i="2"/>
  <c r="DT74" i="2"/>
  <c r="DT82" i="2"/>
  <c r="DT88" i="2"/>
  <c r="DT187" i="2"/>
  <c r="DT19" i="2"/>
  <c r="DT103" i="2"/>
  <c r="DT142" i="2"/>
  <c r="DT107" i="2"/>
  <c r="DT203" i="2"/>
  <c r="DT111" i="2"/>
  <c r="DT124" i="2"/>
  <c r="DT54" i="2"/>
  <c r="DT148" i="2"/>
  <c r="DT95" i="2"/>
  <c r="DT91" i="2"/>
  <c r="DT133" i="2"/>
  <c r="DT137" i="2"/>
  <c r="DT128" i="2"/>
  <c r="DT78" i="2"/>
  <c r="DT34" i="2"/>
  <c r="DT71" i="2"/>
  <c r="DT28" i="2"/>
  <c r="DT29" i="2"/>
  <c r="DT118" i="2"/>
  <c r="DT151" i="2"/>
  <c r="DT31" i="2"/>
  <c r="DT8" i="2"/>
  <c r="DT161" i="2"/>
  <c r="DT9" i="2"/>
  <c r="DT56" i="2"/>
  <c r="DT141" i="2"/>
  <c r="DT173" i="2"/>
  <c r="DT109" i="2"/>
  <c r="DT200" i="2"/>
  <c r="DT67" i="2"/>
  <c r="DT24" i="2"/>
  <c r="DT21" i="2"/>
  <c r="DT76" i="2"/>
  <c r="DT190" i="2"/>
  <c r="DT70" i="2"/>
  <c r="DT166" i="2"/>
  <c r="DT86" i="2"/>
  <c r="DT197" i="2"/>
  <c r="DT164" i="2"/>
  <c r="DT182" i="2"/>
  <c r="DT152" i="2"/>
  <c r="DT159" i="2"/>
  <c r="DT94" i="2"/>
  <c r="DT14" i="2"/>
  <c r="DT113" i="2"/>
  <c r="DT144" i="2"/>
  <c r="DT52" i="2"/>
  <c r="DT16" i="2"/>
  <c r="DT153" i="2"/>
  <c r="DT193" i="2"/>
  <c r="DT6" i="2"/>
  <c r="DT60" i="2"/>
  <c r="DT145" i="2"/>
  <c r="DT36" i="2"/>
  <c r="DT101" i="2"/>
  <c r="DT191" i="2"/>
  <c r="DT139" i="2"/>
  <c r="DT53" i="2"/>
  <c r="DT23" i="2"/>
  <c r="DT192" i="2"/>
  <c r="DT46" i="2"/>
  <c r="DT163" i="2"/>
  <c r="DT115" i="2"/>
  <c r="DT97" i="2"/>
  <c r="DT179" i="2"/>
  <c r="DT22" i="2"/>
  <c r="DT121" i="2"/>
  <c r="DT69" i="2"/>
  <c r="DT10" i="2"/>
  <c r="DT92" i="2"/>
  <c r="DT149" i="2"/>
  <c r="DT156" i="2"/>
  <c r="DT58" i="2"/>
  <c r="DT127" i="2"/>
  <c r="DT17" i="2"/>
  <c r="DT183" i="2"/>
  <c r="DT47" i="2"/>
  <c r="DT181" i="2"/>
  <c r="DT50" i="2"/>
  <c r="DT125" i="2"/>
  <c r="DT63" i="2"/>
  <c r="DT66" i="2"/>
  <c r="DT38" i="2"/>
  <c r="DT198" i="2"/>
  <c r="DT126" i="2"/>
  <c r="DT68" i="2"/>
  <c r="DT184" i="2"/>
  <c r="DT26" i="2"/>
  <c r="DT15" i="2"/>
  <c r="DT65" i="2"/>
  <c r="DT199" i="2"/>
  <c r="DT106" i="2"/>
  <c r="DT136" i="2"/>
  <c r="DT123" i="2"/>
  <c r="DT150" i="2"/>
  <c r="DT37" i="2"/>
  <c r="DT41" i="2"/>
  <c r="DT170" i="2"/>
  <c r="DT49" i="2"/>
  <c r="DT72" i="2"/>
  <c r="DT48" i="2"/>
  <c r="DT104" i="2"/>
  <c r="DT93" i="2"/>
  <c r="DT188" i="2"/>
  <c r="DT7" i="2"/>
  <c r="DT84" i="2"/>
  <c r="DT196" i="2"/>
  <c r="DT81" i="2"/>
  <c r="DT77" i="2"/>
  <c r="DT110" i="2"/>
  <c r="DT185" i="2"/>
  <c r="DT169" i="2"/>
  <c r="DT12" i="2"/>
  <c r="DT75" i="2"/>
  <c r="DT59" i="2"/>
  <c r="DT165" i="2"/>
  <c r="DT57" i="2"/>
  <c r="DT102" i="2"/>
  <c r="DT114" i="2"/>
  <c r="DT172" i="2"/>
  <c r="DT143" i="2"/>
  <c r="DT112" i="2"/>
  <c r="DT194" i="2"/>
  <c r="DT171" i="2"/>
  <c r="CY24" i="2"/>
  <c r="CY23" i="2"/>
  <c r="CY197" i="2"/>
  <c r="CY146" i="2"/>
  <c r="CY31" i="2"/>
  <c r="CY155" i="2"/>
  <c r="CY112" i="2"/>
  <c r="CY103" i="2"/>
  <c r="CY116" i="2"/>
  <c r="CY185" i="2"/>
  <c r="CY80" i="2"/>
  <c r="CY88" i="2"/>
  <c r="CY162" i="2"/>
  <c r="CY137" i="2"/>
  <c r="CY181" i="2"/>
  <c r="CY201" i="2"/>
  <c r="CY131" i="2"/>
  <c r="CY170" i="2"/>
  <c r="CY66" i="2"/>
  <c r="CY3" i="2"/>
  <c r="C10" i="4" s="1"/>
  <c r="E10" i="4" s="1"/>
  <c r="F10" i="4" s="1"/>
  <c r="G10" i="4" s="1"/>
  <c r="L10" i="4" s="1"/>
  <c r="CY6" i="2"/>
  <c r="CY120" i="2"/>
  <c r="CY77" i="2"/>
  <c r="CY105" i="2"/>
  <c r="CY71" i="2"/>
  <c r="CY171" i="2"/>
  <c r="CY101" i="2"/>
  <c r="CY163" i="2"/>
  <c r="CY44" i="2"/>
  <c r="CY65" i="2"/>
  <c r="CY173" i="2"/>
  <c r="CY90" i="2"/>
  <c r="CY122" i="2"/>
  <c r="CY72" i="2"/>
  <c r="CY195" i="2"/>
  <c r="CY107" i="2"/>
  <c r="CY160" i="2"/>
  <c r="CY200" i="2"/>
  <c r="CY186" i="2"/>
  <c r="CY198" i="2"/>
  <c r="CY84" i="2"/>
  <c r="CY152" i="2"/>
  <c r="CY169" i="2"/>
  <c r="CY46" i="2"/>
  <c r="CY33" i="2"/>
  <c r="CY54" i="2"/>
  <c r="CY47" i="2"/>
  <c r="CY74" i="2"/>
  <c r="CY172" i="2"/>
  <c r="CY123" i="2"/>
  <c r="CY12" i="2"/>
  <c r="CY48" i="2"/>
  <c r="CY79" i="2"/>
  <c r="CY70" i="2"/>
  <c r="CY83" i="2"/>
  <c r="CY91" i="2"/>
  <c r="CY32" i="2"/>
  <c r="CY188" i="2"/>
  <c r="CY168" i="2"/>
  <c r="CY165" i="2"/>
  <c r="CY94" i="2"/>
  <c r="CY128" i="2"/>
  <c r="CY154" i="2"/>
  <c r="CY136" i="2"/>
  <c r="CY142" i="2"/>
  <c r="CY192" i="2"/>
  <c r="CY75" i="2"/>
  <c r="CY127" i="2"/>
  <c r="CY68" i="2"/>
  <c r="CY194" i="2"/>
  <c r="CY167" i="2"/>
  <c r="CY174" i="2"/>
  <c r="CY42" i="2"/>
  <c r="CY141" i="2"/>
  <c r="CY175" i="2"/>
  <c r="CY50" i="2"/>
  <c r="CY117" i="2"/>
  <c r="CY143" i="2"/>
  <c r="CY58" i="2"/>
  <c r="CY57" i="2"/>
  <c r="CY196" i="2"/>
  <c r="CY99" i="2"/>
  <c r="CY121" i="2"/>
  <c r="CY182" i="2"/>
  <c r="CY86" i="2"/>
  <c r="CY27" i="2"/>
  <c r="CY56" i="2"/>
  <c r="CY161" i="2"/>
  <c r="CY60" i="2"/>
  <c r="CY104" i="2"/>
  <c r="CY157" i="2"/>
  <c r="CY36" i="2"/>
  <c r="CY89" i="2"/>
  <c r="CY193" i="2"/>
  <c r="CY22" i="2"/>
  <c r="CY82" i="2"/>
  <c r="CY52" i="2"/>
  <c r="CY11" i="2"/>
  <c r="CY113" i="2"/>
  <c r="CY19" i="2"/>
  <c r="CY147" i="2"/>
  <c r="CY202" i="2"/>
  <c r="CY97" i="2"/>
  <c r="CY124" i="2"/>
  <c r="CY37" i="2"/>
  <c r="CY178" i="2"/>
  <c r="CY10" i="2"/>
  <c r="CY76" i="2"/>
  <c r="CY108" i="2"/>
  <c r="CY55" i="2"/>
  <c r="CY73" i="2"/>
  <c r="CY134" i="2"/>
  <c r="CY145" i="2"/>
  <c r="CY20" i="2"/>
  <c r="CY150" i="2"/>
  <c r="CY98" i="2"/>
  <c r="CY64" i="2"/>
  <c r="CY183" i="2"/>
  <c r="CY180" i="2"/>
  <c r="CY138" i="2"/>
  <c r="CY35" i="2"/>
  <c r="CY203" i="2"/>
  <c r="CY159" i="2"/>
  <c r="CY81" i="2"/>
  <c r="CY13" i="2"/>
  <c r="CY85" i="2"/>
  <c r="CY190" i="2"/>
  <c r="CY129" i="2"/>
  <c r="CY53" i="2"/>
  <c r="CY132" i="2"/>
  <c r="CY156" i="2"/>
  <c r="CY59" i="2"/>
  <c r="CY199" i="2"/>
  <c r="CY9" i="2"/>
  <c r="CY111" i="2"/>
  <c r="CY130" i="2"/>
  <c r="CY191" i="2"/>
  <c r="CY15" i="2"/>
  <c r="CY176" i="2"/>
  <c r="CY14" i="2"/>
  <c r="CY149" i="2"/>
  <c r="CY139" i="2"/>
  <c r="CY38" i="2"/>
  <c r="CY92" i="2"/>
  <c r="CY25" i="2"/>
  <c r="CY41" i="2"/>
  <c r="CY49" i="2"/>
  <c r="CY118" i="2"/>
  <c r="CY45" i="2"/>
  <c r="CY151" i="2"/>
  <c r="CY63" i="2"/>
  <c r="CY125" i="2"/>
  <c r="CY126" i="2"/>
  <c r="CY135" i="2"/>
  <c r="CY140" i="2"/>
  <c r="CY39" i="2"/>
  <c r="CY51" i="2"/>
  <c r="CY61" i="2"/>
  <c r="CY40" i="2"/>
  <c r="CY67" i="2"/>
  <c r="CY184" i="2"/>
  <c r="CY177" i="2"/>
  <c r="CY30" i="2"/>
  <c r="CY4" i="2"/>
  <c r="CY5" i="2"/>
  <c r="CY34" i="2"/>
  <c r="CY133" i="2"/>
  <c r="CY28" i="2"/>
  <c r="CY7" i="2"/>
  <c r="CY95" i="2"/>
  <c r="CY78" i="2"/>
  <c r="CY144" i="2"/>
  <c r="CY158" i="2"/>
  <c r="CY62" i="2"/>
  <c r="CY114" i="2"/>
  <c r="CY17" i="2"/>
  <c r="CY119" i="2"/>
  <c r="CY29" i="2"/>
  <c r="CY8" i="2"/>
  <c r="CY102" i="2"/>
  <c r="CY18" i="2"/>
  <c r="CY93" i="2"/>
  <c r="CY110" i="2"/>
  <c r="CY153" i="2"/>
  <c r="CY26" i="2"/>
  <c r="CY148" i="2"/>
  <c r="CY109" i="2"/>
  <c r="CY166" i="2"/>
  <c r="CY106" i="2"/>
  <c r="CY96" i="2"/>
  <c r="CY16" i="2"/>
  <c r="CY179" i="2"/>
  <c r="CY87" i="2"/>
  <c r="CY115" i="2"/>
  <c r="CY21" i="2"/>
  <c r="CY69" i="2"/>
  <c r="CY164" i="2"/>
  <c r="CY189" i="2"/>
  <c r="CY43" i="2"/>
  <c r="CY187" i="2"/>
  <c r="CY100" i="2"/>
  <c r="EO4" i="2"/>
  <c r="EO132" i="2"/>
  <c r="EO29" i="2"/>
  <c r="EO154" i="2"/>
  <c r="EO107" i="2"/>
  <c r="EO30" i="2"/>
  <c r="EO185" i="2"/>
  <c r="EO62" i="2"/>
  <c r="EO166" i="2"/>
  <c r="EO159" i="2"/>
  <c r="EO143" i="2"/>
  <c r="EO146" i="2"/>
  <c r="EO46" i="2"/>
  <c r="EO56" i="2"/>
  <c r="EO35" i="2"/>
  <c r="EO74" i="2"/>
  <c r="EO104" i="2"/>
  <c r="EO65" i="2"/>
  <c r="EO55" i="2"/>
  <c r="EO19" i="2"/>
  <c r="EO182" i="2"/>
  <c r="EO60" i="2"/>
  <c r="EO184" i="2"/>
  <c r="EO165" i="2"/>
  <c r="EO145" i="2"/>
  <c r="EO131" i="2"/>
  <c r="EO129" i="2"/>
  <c r="EO113" i="2"/>
  <c r="EO63" i="2"/>
  <c r="EO48" i="2"/>
  <c r="EO144" i="2"/>
  <c r="EO181" i="2"/>
  <c r="EO172" i="2"/>
  <c r="EO170" i="2"/>
  <c r="EO121" i="2"/>
  <c r="EO188" i="2"/>
  <c r="EO100" i="2"/>
  <c r="EO168" i="2"/>
  <c r="EO122" i="2"/>
  <c r="EO110" i="2"/>
  <c r="EO80" i="2"/>
  <c r="EO66" i="2"/>
  <c r="EO191" i="2"/>
  <c r="EO117" i="2"/>
  <c r="EO202" i="2"/>
  <c r="EO75" i="2"/>
  <c r="EO37" i="2"/>
  <c r="EO193" i="2"/>
  <c r="EO97" i="2"/>
  <c r="EO92" i="2"/>
  <c r="EO61" i="2"/>
  <c r="EO57" i="2"/>
  <c r="EO12" i="2"/>
  <c r="EO200" i="2"/>
  <c r="EO42" i="2"/>
  <c r="EO105" i="2"/>
  <c r="EO59" i="2"/>
  <c r="EO190" i="2"/>
  <c r="EO197" i="2"/>
  <c r="EO13" i="2"/>
  <c r="EO88" i="2"/>
  <c r="EO16" i="2"/>
  <c r="EO81" i="2"/>
  <c r="EO192" i="2"/>
  <c r="EO137" i="2"/>
  <c r="EO32" i="2"/>
  <c r="EO82" i="2"/>
  <c r="EO161" i="2"/>
  <c r="EO133" i="2"/>
  <c r="EO99" i="2"/>
  <c r="EO163" i="2"/>
  <c r="EO94" i="2"/>
  <c r="EO43" i="2"/>
  <c r="EO135" i="2"/>
  <c r="EO194" i="2"/>
  <c r="EO15" i="2"/>
  <c r="EO115" i="2"/>
  <c r="EO174" i="2"/>
  <c r="EO128" i="2"/>
  <c r="EO187" i="2"/>
  <c r="EO120" i="2"/>
  <c r="EO26" i="2"/>
  <c r="EO51" i="2"/>
  <c r="EO90" i="2"/>
  <c r="EO114" i="2"/>
  <c r="EO14" i="2"/>
  <c r="EO45" i="2"/>
  <c r="EO64" i="2"/>
  <c r="EO10" i="2"/>
  <c r="EO41" i="2"/>
  <c r="EO140" i="2"/>
  <c r="EO50" i="2"/>
  <c r="EO116" i="2"/>
  <c r="EO201" i="2"/>
  <c r="EO148" i="2"/>
  <c r="EO33" i="2"/>
  <c r="EO5" i="2"/>
  <c r="EO69" i="2"/>
  <c r="EO180" i="2"/>
  <c r="EO147" i="2"/>
  <c r="EO38" i="2"/>
  <c r="EO11" i="2"/>
  <c r="EO189" i="2"/>
  <c r="EO78" i="2"/>
  <c r="EO177" i="2"/>
  <c r="EO203" i="2"/>
  <c r="EO22" i="2"/>
  <c r="EO79" i="2"/>
  <c r="EO138" i="2"/>
  <c r="EO21" i="2"/>
  <c r="EO151" i="2"/>
  <c r="EO111" i="2"/>
  <c r="EO162" i="2"/>
  <c r="EO164" i="2"/>
  <c r="EO47" i="2"/>
  <c r="EO179" i="2"/>
  <c r="EO49" i="2"/>
  <c r="EO34" i="2"/>
  <c r="EO134" i="2"/>
  <c r="EO36" i="2"/>
  <c r="EO155" i="2"/>
  <c r="EO139" i="2"/>
  <c r="EO68" i="2"/>
  <c r="EO95" i="2"/>
  <c r="EO7" i="2"/>
  <c r="EO196" i="2"/>
  <c r="EO149" i="2"/>
  <c r="EO73" i="2"/>
  <c r="EO89" i="2"/>
  <c r="EO156" i="2"/>
  <c r="EO142" i="2"/>
  <c r="EO44" i="2"/>
  <c r="EO3" i="2"/>
  <c r="C12" i="4" s="1"/>
  <c r="E12" i="4" s="1"/>
  <c r="F12" i="4" s="1"/>
  <c r="G12" i="4" s="1"/>
  <c r="L12" i="4" s="1"/>
  <c r="EO70" i="2"/>
  <c r="EO58" i="2"/>
  <c r="EO53" i="2"/>
  <c r="EO124" i="2"/>
  <c r="EO6" i="2"/>
  <c r="EO171" i="2"/>
  <c r="EO84" i="2"/>
  <c r="EO18" i="2"/>
  <c r="EO52" i="2"/>
  <c r="EO125" i="2"/>
  <c r="EO87" i="2"/>
  <c r="EO198" i="2"/>
  <c r="EO108" i="2"/>
  <c r="EO123" i="2"/>
  <c r="EO158" i="2"/>
  <c r="EO175" i="2"/>
  <c r="EO85" i="2"/>
  <c r="EO20" i="2"/>
  <c r="EO76" i="2"/>
  <c r="EO126" i="2"/>
  <c r="EO28" i="2"/>
  <c r="EO183" i="2"/>
  <c r="EO103" i="2"/>
  <c r="EO98" i="2"/>
  <c r="EO153" i="2"/>
  <c r="EO86" i="2"/>
  <c r="EO112" i="2"/>
  <c r="EO127" i="2"/>
  <c r="EO25" i="2"/>
  <c r="EO106" i="2"/>
  <c r="EO71" i="2"/>
  <c r="EO91" i="2"/>
  <c r="EO136" i="2"/>
  <c r="EO24" i="2"/>
  <c r="EO186" i="2"/>
  <c r="EO77" i="2"/>
  <c r="EO101" i="2"/>
  <c r="EO178" i="2"/>
  <c r="EO141" i="2"/>
  <c r="EO176" i="2"/>
  <c r="EO39" i="2"/>
  <c r="EO195" i="2"/>
  <c r="EO169" i="2"/>
  <c r="EO167" i="2"/>
  <c r="EO40" i="2"/>
  <c r="EO83" i="2"/>
  <c r="EO8" i="2"/>
  <c r="EO31" i="2"/>
  <c r="EO130" i="2"/>
  <c r="EO157" i="2"/>
  <c r="EO17" i="2"/>
  <c r="EO160" i="2"/>
  <c r="EO102" i="2"/>
  <c r="EO93" i="2"/>
  <c r="EO150" i="2"/>
  <c r="EO96" i="2"/>
  <c r="EO72" i="2"/>
  <c r="EO109" i="2"/>
  <c r="EO23" i="2"/>
  <c r="EO118" i="2"/>
  <c r="EO67" i="2"/>
  <c r="EO152" i="2"/>
  <c r="EO199" i="2"/>
  <c r="EO27" i="2"/>
  <c r="EO54" i="2"/>
  <c r="EO9" i="2"/>
  <c r="EO173" i="2"/>
  <c r="EO119" i="2"/>
  <c r="FE166" i="2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6" i="2" l="1"/>
  <c r="BI47" i="2"/>
  <c r="BI154" i="2"/>
  <c r="BI41" i="2"/>
  <c r="BI35" i="2"/>
  <c r="BI20" i="2"/>
  <c r="BI54" i="2"/>
  <c r="BI97" i="2"/>
  <c r="BI103" i="2"/>
  <c r="BI40" i="2"/>
  <c r="BI164" i="2"/>
  <c r="BI62" i="2"/>
  <c r="BI85" i="2"/>
  <c r="BI6" i="2"/>
  <c r="BI138" i="2"/>
  <c r="BI9" i="2"/>
  <c r="BI109" i="2"/>
  <c r="BI105" i="2"/>
  <c r="BI180" i="2"/>
  <c r="BI29" i="2"/>
  <c r="BI190" i="2"/>
  <c r="BI23" i="2"/>
  <c r="BI73" i="2"/>
  <c r="BI102" i="2"/>
  <c r="BI126" i="2"/>
  <c r="BI182" i="2"/>
  <c r="BI86" i="2"/>
  <c r="BI131" i="2"/>
  <c r="BI50" i="2"/>
  <c r="BI188" i="2"/>
  <c r="BI51" i="2"/>
  <c r="BI57" i="2"/>
  <c r="BI26" i="2"/>
  <c r="BI76" i="2"/>
  <c r="BI45" i="2"/>
  <c r="BI72" i="2"/>
  <c r="BI36" i="2"/>
  <c r="BI56" i="2"/>
  <c r="BI185" i="2"/>
  <c r="BI128" i="2"/>
  <c r="BI14" i="2"/>
  <c r="BI33" i="2"/>
  <c r="BI111" i="2"/>
  <c r="BI71" i="2"/>
  <c r="BI48" i="2"/>
  <c r="BI116" i="2"/>
  <c r="BI165" i="2"/>
  <c r="BI49" i="2"/>
  <c r="BI87" i="2"/>
  <c r="BI58" i="2"/>
  <c r="BI3" i="2"/>
  <c r="C8" i="4" s="1"/>
  <c r="E8" i="4" s="1"/>
  <c r="F8" i="4" s="1"/>
  <c r="G8" i="4" s="1"/>
  <c r="L8" i="4" s="1"/>
  <c r="BI172" i="2"/>
  <c r="BI68" i="2"/>
  <c r="BI118" i="2"/>
  <c r="BI119" i="2"/>
  <c r="BI18" i="2"/>
  <c r="BI42" i="2"/>
  <c r="BI193" i="2"/>
  <c r="BI167" i="2"/>
  <c r="BI52" i="2"/>
  <c r="BI43" i="2"/>
  <c r="BI61" i="2"/>
  <c r="BI202" i="2"/>
  <c r="BI113" i="2"/>
  <c r="BI139" i="2"/>
  <c r="BI117" i="2"/>
  <c r="BI122" i="2"/>
  <c r="BI170" i="2"/>
  <c r="BI10" i="2"/>
  <c r="BI166" i="2"/>
  <c r="BI21" i="2"/>
  <c r="BI108" i="2"/>
  <c r="BI115" i="2"/>
  <c r="BI140" i="2"/>
  <c r="BI146" i="2"/>
  <c r="BI178" i="2"/>
  <c r="BI11" i="2"/>
  <c r="BI169" i="2"/>
  <c r="BI153" i="2"/>
  <c r="BI104" i="2"/>
  <c r="BI100" i="2"/>
  <c r="BI7" i="2"/>
  <c r="BI106" i="2"/>
  <c r="BI124" i="2"/>
  <c r="BI157" i="2"/>
  <c r="BI145" i="2"/>
  <c r="BI13" i="2"/>
  <c r="BI187" i="2"/>
  <c r="BI121" i="2"/>
  <c r="BI25" i="2"/>
  <c r="BI156" i="2"/>
  <c r="BI196" i="2"/>
  <c r="BI34" i="2"/>
  <c r="BI183" i="2"/>
  <c r="BI94" i="2"/>
  <c r="BI28" i="2"/>
  <c r="BI198" i="2"/>
  <c r="BI96" i="2"/>
  <c r="BI91" i="2"/>
  <c r="BI31" i="2"/>
  <c r="BI135" i="2"/>
  <c r="BI44" i="2"/>
  <c r="BI199" i="2"/>
  <c r="BI177" i="2"/>
  <c r="BI78" i="2"/>
  <c r="BI101" i="2"/>
  <c r="BI189" i="2"/>
  <c r="BI179" i="2"/>
  <c r="BI200" i="2"/>
  <c r="BI4" i="2"/>
  <c r="BI120" i="2"/>
  <c r="BI130" i="2"/>
  <c r="BI141" i="2"/>
  <c r="BI82" i="2"/>
  <c r="BI192" i="2"/>
  <c r="BI12" i="2"/>
  <c r="BI171" i="2"/>
  <c r="BI53" i="2"/>
  <c r="BI93" i="2"/>
  <c r="BI107" i="2"/>
  <c r="BI95" i="2"/>
  <c r="BI134" i="2"/>
  <c r="BI168" i="2"/>
  <c r="BI152" i="2"/>
  <c r="BI151" i="2"/>
  <c r="BI175" i="2"/>
  <c r="BI147" i="2"/>
  <c r="BI125" i="2"/>
  <c r="BI66" i="2"/>
  <c r="BI161" i="2"/>
  <c r="BI194" i="2"/>
  <c r="BI155" i="2"/>
  <c r="BI158" i="2"/>
  <c r="BI98" i="2"/>
  <c r="BI17" i="2"/>
  <c r="BI114" i="2"/>
  <c r="BI112" i="2"/>
  <c r="BI174" i="2"/>
  <c r="BI27" i="2"/>
  <c r="BI123" i="2"/>
  <c r="BI89" i="2"/>
  <c r="BI67" i="2"/>
  <c r="BI79" i="2"/>
  <c r="BI70" i="2"/>
  <c r="BI16" i="2"/>
  <c r="BI8" i="2"/>
  <c r="BI92" i="2"/>
  <c r="BI24" i="2"/>
  <c r="BI159" i="2"/>
  <c r="BI191" i="2"/>
  <c r="BI129" i="2"/>
  <c r="BI75" i="2"/>
  <c r="BI162" i="2"/>
  <c r="BI144" i="2"/>
  <c r="BI148" i="2"/>
  <c r="BI77" i="2"/>
  <c r="BI160" i="2"/>
  <c r="BI90" i="2"/>
  <c r="BI63" i="2"/>
  <c r="BI142" i="2"/>
  <c r="BI30" i="2"/>
  <c r="BI32" i="2"/>
  <c r="BI127" i="2"/>
  <c r="BI15" i="2"/>
  <c r="BI184" i="2"/>
  <c r="BI59" i="2"/>
  <c r="BI132" i="2"/>
  <c r="BI74" i="2"/>
  <c r="BI110" i="2"/>
  <c r="BI143" i="2"/>
  <c r="BI133" i="2"/>
  <c r="BI38" i="2"/>
  <c r="BI203" i="2"/>
  <c r="BI84" i="2"/>
  <c r="BI19" i="2"/>
  <c r="BI137" i="2"/>
  <c r="BI69" i="2"/>
  <c r="BI136" i="2"/>
  <c r="BI60" i="2"/>
  <c r="BI37" i="2"/>
  <c r="BI64" i="2"/>
  <c r="BI176" i="2"/>
  <c r="BI173" i="2"/>
  <c r="BI65" i="2"/>
  <c r="BI186" i="2"/>
  <c r="BI99" i="2"/>
  <c r="BI5" i="2"/>
  <c r="BI163" i="2"/>
  <c r="BI83" i="2"/>
  <c r="BI22" i="2"/>
  <c r="BI201" i="2"/>
  <c r="BI88" i="2"/>
  <c r="BI197" i="2"/>
  <c r="BI150" i="2"/>
  <c r="BI55" i="2"/>
  <c r="BI195" i="2"/>
  <c r="BI181" i="2"/>
  <c r="BI81" i="2"/>
  <c r="BI149" i="2"/>
  <c r="BI39" i="2"/>
  <c r="BI80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<sst xmlns="http://schemas.openxmlformats.org/spreadsheetml/2006/main" count="1173" uniqueCount="324">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</sst>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2.4563962844866167</c:v>
                </c:pt>
                <c:pt idx="2">
                  <c:v>3.8926830237312386</c:v>
                </c:pt>
                <c:pt idx="3">
                  <c:v>6.1728247349396028</c:v>
                </c:pt>
                <c:pt idx="4">
                  <c:v>9.7948289020899146</c:v>
                </c:pt>
                <c:pt idx="5">
                  <c:v>15.551821508433163</c:v>
                </c:pt>
                <c:pt idx="6">
                  <c:v>24.707596068397056</c:v>
                </c:pt>
                <c:pt idx="7">
                  <c:v>39.276945996755963</c:v>
                </c:pt>
                <c:pt idx="8">
                  <c:v>62.473518578596526</c:v>
                </c:pt>
                <c:pt idx="9">
                  <c:v>99.425597498299183</c:v>
                </c:pt>
                <c:pt idx="10">
                  <c:v>127.16162768704253</c:v>
                </c:pt>
                <c:pt idx="11">
                  <c:v>154.75035771948401</c:v>
                </c:pt>
                <c:pt idx="12">
                  <c:v>182.22186111495981</c:v>
                </c:pt>
                <c:pt idx="13">
                  <c:v>153.96420691075494</c:v>
                </c:pt>
                <c:pt idx="14">
                  <c:v>181.24025255179268</c:v>
                </c:pt>
                <c:pt idx="15">
                  <c:v>208.42007560318231</c:v>
                </c:pt>
                <c:pt idx="16">
                  <c:v>235.51800000175982</c:v>
                </c:pt>
                <c:pt idx="17">
                  <c:v>181.6114846020929</c:v>
                </c:pt>
                <c:pt idx="18">
                  <c:v>205.97849669981312</c:v>
                </c:pt>
                <c:pt idx="19">
                  <c:v>230.27884801964402</c:v>
                </c:pt>
                <c:pt idx="20">
                  <c:v>254.52056264637659</c:v>
                </c:pt>
                <c:pt idx="21">
                  <c:v>214.59238011595735</c:v>
                </c:pt>
                <c:pt idx="22">
                  <c:v>236.83145568504372</c:v>
                </c:pt>
                <c:pt idx="23">
                  <c:v>259.02292041536128</c:v>
                </c:pt>
                <c:pt idx="24">
                  <c:v>281.17142585340798</c:v>
                </c:pt>
                <c:pt idx="25">
                  <c:v>303.28083054415464</c:v>
                </c:pt>
                <c:pt idx="26">
                  <c:v>251.8918726990677</c:v>
                </c:pt>
                <c:pt idx="27">
                  <c:v>272.54716425537822</c:v>
                </c:pt>
                <c:pt idx="28">
                  <c:v>293.16726598093118</c:v>
                </c:pt>
                <c:pt idx="29">
                  <c:v>313.75500017650324</c:v>
                </c:pt>
                <c:pt idx="30">
                  <c:v>334.31278851265455</c:v>
                </c:pt>
                <c:pt idx="31">
                  <c:v>354.84469368383469</c:v>
                </c:pt>
                <c:pt idx="32">
                  <c:v>375.3505845966327</c:v>
                </c:pt>
                <c:pt idx="33">
                  <c:v>395.83208154960454</c:v>
                </c:pt>
                <c:pt idx="34">
                  <c:v>416.29062355332167</c:v>
                </c:pt>
                <c:pt idx="35">
                  <c:v>436.72749670937372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2.6205483002037528</c:v>
                </c:pt>
                <c:pt idx="2">
                  <c:v>3.1841671230887383</c:v>
                </c:pt>
                <c:pt idx="3">
                  <c:v>3.8694651593962472</c:v>
                </c:pt>
                <c:pt idx="4">
                  <c:v>4.7028049272678913</c:v>
                </c:pt>
                <c:pt idx="5">
                  <c:v>5.7162794727938087</c:v>
                </c:pt>
                <c:pt idx="6">
                  <c:v>6.9489618670536162</c:v>
                </c:pt>
                <c:pt idx="7">
                  <c:v>8.4484279180128308</c:v>
                </c:pt>
                <c:pt idx="8">
                  <c:v>10.272611993475797</c:v>
                </c:pt>
                <c:pt idx="9">
                  <c:v>12.492069013262382</c:v>
                </c:pt>
                <c:pt idx="10">
                  <c:v>15.19273172924531</c:v>
                </c:pt>
                <c:pt idx="11">
                  <c:v>18.479272010398649</c:v>
                </c:pt>
                <c:pt idx="12">
                  <c:v>22.479198767465558</c:v>
                </c:pt>
                <c:pt idx="13">
                  <c:v>27.347854341804759</c:v>
                </c:pt>
                <c:pt idx="14">
                  <c:v>33.274506809854188</c:v>
                </c:pt>
                <c:pt idx="15">
                  <c:v>40.489779140478731</c:v>
                </c:pt>
                <c:pt idx="16">
                  <c:v>49.274709223927694</c:v>
                </c:pt>
                <c:pt idx="17">
                  <c:v>59.971799589279279</c:v>
                </c:pt>
                <c:pt idx="18">
                  <c:v>72.998494732737797</c:v>
                </c:pt>
                <c:pt idx="19">
                  <c:v>88.863620556305435</c:v>
                </c:pt>
                <c:pt idx="20">
                  <c:v>108.18743833040098</c:v>
                </c:pt>
                <c:pt idx="21">
                  <c:v>100.41931142937896</c:v>
                </c:pt>
                <c:pt idx="22">
                  <c:v>112.98932881750693</c:v>
                </c:pt>
                <c:pt idx="23">
                  <c:v>125.52505642976405</c:v>
                </c:pt>
                <c:pt idx="24">
                  <c:v>138.03040576614231</c:v>
                </c:pt>
                <c:pt idx="25">
                  <c:v>150.5085198437738</c:v>
                </c:pt>
                <c:pt idx="26">
                  <c:v>162.96197686279694</c:v>
                </c:pt>
                <c:pt idx="27">
                  <c:v>175.39292810085843</c:v>
                </c:pt>
                <c:pt idx="28">
                  <c:v>187.80319453587131</c:v>
                </c:pt>
                <c:pt idx="29">
                  <c:v>200.19433652004662</c:v>
                </c:pt>
                <c:pt idx="30">
                  <c:v>212.56770525997896</c:v>
                </c:pt>
                <c:pt idx="31">
                  <c:v>167.71753958805084</c:v>
                </c:pt>
                <c:pt idx="32">
                  <c:v>181.23552943821497</c:v>
                </c:pt>
                <c:pt idx="33">
                  <c:v>194.72992283695325</c:v>
                </c:pt>
                <c:pt idx="34">
                  <c:v>208.20258613598969</c:v>
                </c:pt>
                <c:pt idx="35">
                  <c:v>221.6551241766899</c:v>
                </c:pt>
                <c:pt idx="36">
                  <c:v>235.08893092626957</c:v>
                </c:pt>
                <c:pt idx="37">
                  <c:v>248.50522791422847</c:v>
                </c:pt>
                <c:pt idx="38">
                  <c:v>261.90509392198993</c:v>
                </c:pt>
                <c:pt idx="39">
                  <c:v>275.28948827115761</c:v>
                </c:pt>
                <c:pt idx="40">
                  <c:v>288.65926934113526</c:v>
                </c:pt>
                <c:pt idx="41">
                  <c:v>231.64142712488263</c:v>
                </c:pt>
                <c:pt idx="42">
                  <c:v>245.24335558609755</c:v>
                </c:pt>
                <c:pt idx="43">
                  <c:v>258.82814826436999</c:v>
                </c:pt>
                <c:pt idx="44">
                  <c:v>272.39683147829231</c:v>
                </c:pt>
                <c:pt idx="45">
                  <c:v>285.95032090463206</c:v>
                </c:pt>
                <c:pt idx="46">
                  <c:v>299.48943829674124</c:v>
                </c:pt>
                <c:pt idx="47">
                  <c:v>313.01492501937446</c:v>
                </c:pt>
                <c:pt idx="48">
                  <c:v>326.52745312032266</c:v>
                </c:pt>
                <c:pt idx="49">
                  <c:v>340.02763447259474</c:v>
                </c:pt>
                <c:pt idx="50">
                  <c:v>353.51602838820554</c:v>
                </c:pt>
                <c:pt idx="51">
                  <c:v>289.02041938258367</c:v>
                </c:pt>
                <c:pt idx="52">
                  <c:v>302.01520947361524</c:v>
                </c:pt>
                <c:pt idx="53">
                  <c:v>314.99755813323151</c:v>
                </c:pt>
                <c:pt idx="54">
                  <c:v>327.96805047536463</c:v>
                </c:pt>
                <c:pt idx="55">
                  <c:v>340.92722154371285</c:v>
                </c:pt>
                <c:pt idx="56">
                  <c:v>353.87556237718678</c:v>
                </c:pt>
                <c:pt idx="57">
                  <c:v>366.81352514093379</c:v>
                </c:pt>
                <c:pt idx="58">
                  <c:v>379.7415274954426</c:v>
                </c:pt>
                <c:pt idx="59">
                  <c:v>392.65995633948432</c:v>
                </c:pt>
                <c:pt idx="60">
                  <c:v>405.56917103469459</c:v>
                </c:pt>
                <c:pt idx="61">
                  <c:v>338.76812455312427</c:v>
                </c:pt>
                <c:pt idx="62">
                  <c:v>350.99906552503671</c:v>
                </c:pt>
                <c:pt idx="63">
                  <c:v>363.22066295963373</c:v>
                </c:pt>
                <c:pt idx="64">
                  <c:v>375.43327561120145</c:v>
                </c:pt>
                <c:pt idx="65">
                  <c:v>387.63723698464565</c:v>
                </c:pt>
                <c:pt idx="66">
                  <c:v>399.83285786841952</c:v>
                </c:pt>
                <c:pt idx="67">
                  <c:v>412.02042854224123</c:v>
                </c:pt>
                <c:pt idx="68">
                  <c:v>424.20022070993423</c:v>
                </c:pt>
                <c:pt idx="69">
                  <c:v>436.3724891986879</c:v>
                </c:pt>
                <c:pt idx="70">
                  <c:v>448.53747345882584</c:v>
                </c:pt>
                <c:pt idx="71">
                  <c:v>381.17737444442349</c:v>
                </c:pt>
                <c:pt idx="72">
                  <c:v>392.65995633948449</c:v>
                </c:pt>
                <c:pt idx="73">
                  <c:v>404.13525826083259</c:v>
                </c:pt>
                <c:pt idx="74">
                  <c:v>415.60351609428494</c:v>
                </c:pt>
                <c:pt idx="75">
                  <c:v>427.06495164312918</c:v>
                </c:pt>
                <c:pt idx="76">
                  <c:v>438.519773832287</c:v>
                </c:pt>
                <c:pt idx="77">
                  <c:v>449.96817978008818</c:v>
                </c:pt>
                <c:pt idx="78">
                  <c:v>461.41035575528014</c:v>
                </c:pt>
                <c:pt idx="79">
                  <c:v>472.84647803416073</c:v>
                </c:pt>
                <c:pt idx="80">
                  <c:v>484.27671367046969</c:v>
                </c:pt>
                <c:pt idx="81">
                  <c:v>417.57392988530086</c:v>
                </c:pt>
                <c:pt idx="82">
                  <c:v>427.78106967818343</c:v>
                </c:pt>
                <c:pt idx="83">
                  <c:v>437.98297386762988</c:v>
                </c:pt>
                <c:pt idx="84">
                  <c:v>448.1797816290819</c:v>
                </c:pt>
                <c:pt idx="85">
                  <c:v>458.37162528698883</c:v>
                </c:pt>
                <c:pt idx="86">
                  <c:v>468.55863080015007</c:v>
                </c:pt>
                <c:pt idx="87">
                  <c:v>478.74091820265045</c:v>
                </c:pt>
                <c:pt idx="88">
                  <c:v>488.91860200532346</c:v>
                </c:pt>
                <c:pt idx="89">
                  <c:v>499.09179156204715</c:v>
                </c:pt>
                <c:pt idx="90">
                  <c:v>509.26059140461638</c:v>
                </c:pt>
                <c:pt idx="91">
                  <c:v>446.92781206504964</c:v>
                </c:pt>
                <c:pt idx="92">
                  <c:v>456.04760004495301</c:v>
                </c:pt>
                <c:pt idx="93">
                  <c:v>465.16349234054616</c:v>
                </c:pt>
                <c:pt idx="94">
                  <c:v>474.2755760841635</c:v>
                </c:pt>
                <c:pt idx="95">
                  <c:v>483.38393478600682</c:v>
                </c:pt>
                <c:pt idx="96">
                  <c:v>492.48864855160696</c:v>
                </c:pt>
                <c:pt idx="97">
                  <c:v>501.58979428236398</c:v>
                </c:pt>
                <c:pt idx="98">
                  <c:v>510.68744586077713</c:v>
                </c:pt>
                <c:pt idx="99">
                  <c:v>519.78167432178236</c:v>
                </c:pt>
                <c:pt idx="100">
                  <c:v>528.8725480114789</c:v>
                </c:pt>
                <c:pt idx="101">
                  <c:v>471.05997610454233</c:v>
                </c:pt>
                <c:pt idx="102">
                  <c:v>479.27669956446113</c:v>
                </c:pt>
                <c:pt idx="103">
                  <c:v>487.49042873157509</c:v>
                </c:pt>
                <c:pt idx="104">
                  <c:v>495.7012211888138</c:v>
                </c:pt>
                <c:pt idx="105">
                  <c:v>503.90913245527895</c:v>
                </c:pt>
                <c:pt idx="106">
                  <c:v>512.11421609335696</c:v>
                </c:pt>
                <c:pt idx="107">
                  <c:v>520.31652380860521</c:v>
                </c:pt>
                <c:pt idx="108">
                  <c:v>528.51610554301453</c:v>
                </c:pt>
                <c:pt idx="109">
                  <c:v>536.71300956218113</c:v>
                </c:pt>
                <c:pt idx="110">
                  <c:v>544.90728253687428</c:v>
                </c:pt>
                <c:pt idx="111">
                  <c:v>491.59618853190614</c:v>
                </c:pt>
                <c:pt idx="112">
                  <c:v>498.91335268183815</c:v>
                </c:pt>
                <c:pt idx="113">
                  <c:v>506.22824480345525</c:v>
                </c:pt>
                <c:pt idx="114">
                  <c:v>513.54090237038656</c:v>
                </c:pt>
                <c:pt idx="115">
                  <c:v>520.85136170158285</c:v>
                </c:pt>
                <c:pt idx="116">
                  <c:v>528.15965801295749</c:v>
                </c:pt>
                <c:pt idx="117">
                  <c:v>535.46582546601837</c:v>
                </c:pt>
                <c:pt idx="118">
                  <c:v>542.76989721370842</c:v>
                </c:pt>
                <c:pt idx="119">
                  <c:v>550.07190544364903</c:v>
                </c:pt>
                <c:pt idx="120">
                  <c:v>557.37188141896831</c:v>
                </c:pt>
                <c:pt idx="121">
                  <c:v>502.12504627431525</c:v>
                </c:pt>
                <c:pt idx="122">
                  <c:v>502.12504627431525</c:v>
                </c:pt>
                <c:pt idx="123">
                  <c:v>502.12504627431525</c:v>
                </c:pt>
                <c:pt idx="124">
                  <c:v>502.12504627431525</c:v>
                </c:pt>
                <c:pt idx="125">
                  <c:v>502.12504627431525</c:v>
                </c:pt>
                <c:pt idx="126">
                  <c:v>502.12504627431525</c:v>
                </c:pt>
                <c:pt idx="127">
                  <c:v>502.12504627431525</c:v>
                </c:pt>
                <c:pt idx="128">
                  <c:v>502.12504627431525</c:v>
                </c:pt>
                <c:pt idx="129">
                  <c:v>502.12504627431525</c:v>
                </c:pt>
                <c:pt idx="130">
                  <c:v>502.12504627431525</c:v>
                </c:pt>
                <c:pt idx="131">
                  <c:v>502.12504627431525</c:v>
                </c:pt>
                <c:pt idx="132">
                  <c:v>502.12504627431525</c:v>
                </c:pt>
                <c:pt idx="133">
                  <c:v>502.12504627431525</c:v>
                </c:pt>
                <c:pt idx="134">
                  <c:v>502.12504627431525</c:v>
                </c:pt>
                <c:pt idx="135">
                  <c:v>502.12504627431525</c:v>
                </c:pt>
                <c:pt idx="136">
                  <c:v>502.12504627431525</c:v>
                </c:pt>
                <c:pt idx="137">
                  <c:v>502.12504627431525</c:v>
                </c:pt>
                <c:pt idx="138">
                  <c:v>502.12504627431525</c:v>
                </c:pt>
                <c:pt idx="139">
                  <c:v>502.12504627431525</c:v>
                </c:pt>
                <c:pt idx="140">
                  <c:v>502.12504627431525</c:v>
                </c:pt>
                <c:pt idx="141">
                  <c:v>502.12504627431525</c:v>
                </c:pt>
                <c:pt idx="142">
                  <c:v>502.12504627431525</c:v>
                </c:pt>
                <c:pt idx="143">
                  <c:v>502.12504627431525</c:v>
                </c:pt>
                <c:pt idx="144">
                  <c:v>502.12504627431525</c:v>
                </c:pt>
                <c:pt idx="145">
                  <c:v>502.12504627431525</c:v>
                </c:pt>
                <c:pt idx="146">
                  <c:v>502.12504627431525</c:v>
                </c:pt>
                <c:pt idx="147">
                  <c:v>502.12504627431525</c:v>
                </c:pt>
                <c:pt idx="148">
                  <c:v>502.12504627431525</c:v>
                </c:pt>
                <c:pt idx="149">
                  <c:v>502.12504627431525</c:v>
                </c:pt>
                <c:pt idx="150">
                  <c:v>502.12504627431525</c:v>
                </c:pt>
                <c:pt idx="151">
                  <c:v>502.12504627431525</c:v>
                </c:pt>
                <c:pt idx="152">
                  <c:v>502.12504627431525</c:v>
                </c:pt>
                <c:pt idx="153">
                  <c:v>502.12504627431525</c:v>
                </c:pt>
                <c:pt idx="154">
                  <c:v>502.12504627431525</c:v>
                </c:pt>
                <c:pt idx="155">
                  <c:v>502.12504627431525</c:v>
                </c:pt>
                <c:pt idx="156">
                  <c:v>502.12504627431525</c:v>
                </c:pt>
                <c:pt idx="157">
                  <c:v>502.12504627431525</c:v>
                </c:pt>
                <c:pt idx="158">
                  <c:v>502.12504627431525</c:v>
                </c:pt>
                <c:pt idx="159">
                  <c:v>502.12504627431525</c:v>
                </c:pt>
                <c:pt idx="160">
                  <c:v>502.12504627431525</c:v>
                </c:pt>
                <c:pt idx="161">
                  <c:v>502.12504627431525</c:v>
                </c:pt>
                <c:pt idx="162">
                  <c:v>502.12504627431525</c:v>
                </c:pt>
                <c:pt idx="163">
                  <c:v>502.12504627431525</c:v>
                </c:pt>
                <c:pt idx="164">
                  <c:v>502.12504627431525</c:v>
                </c:pt>
                <c:pt idx="165">
                  <c:v>502.12504627431525</c:v>
                </c:pt>
                <c:pt idx="166">
                  <c:v>502.12504627431525</c:v>
                </c:pt>
                <c:pt idx="167">
                  <c:v>502.12504627431525</c:v>
                </c:pt>
                <c:pt idx="168">
                  <c:v>502.12504627431525</c:v>
                </c:pt>
                <c:pt idx="169">
                  <c:v>502.12504627431525</c:v>
                </c:pt>
                <c:pt idx="170">
                  <c:v>502.12504627431525</c:v>
                </c:pt>
                <c:pt idx="171">
                  <c:v>502.12504627431525</c:v>
                </c:pt>
                <c:pt idx="172">
                  <c:v>502.12504627431525</c:v>
                </c:pt>
                <c:pt idx="173">
                  <c:v>502.12504627431525</c:v>
                </c:pt>
                <c:pt idx="174">
                  <c:v>502.12504627431525</c:v>
                </c:pt>
                <c:pt idx="175">
                  <c:v>502.12504627431525</c:v>
                </c:pt>
                <c:pt idx="176">
                  <c:v>502.12504627431525</c:v>
                </c:pt>
                <c:pt idx="177">
                  <c:v>502.12504627431525</c:v>
                </c:pt>
                <c:pt idx="178">
                  <c:v>502.12504627431525</c:v>
                </c:pt>
                <c:pt idx="179">
                  <c:v>502.12504627431525</c:v>
                </c:pt>
                <c:pt idx="180">
                  <c:v>502.12504627431525</c:v>
                </c:pt>
                <c:pt idx="181">
                  <c:v>502.12504627431525</c:v>
                </c:pt>
                <c:pt idx="182">
                  <c:v>502.12504627431525</c:v>
                </c:pt>
                <c:pt idx="183">
                  <c:v>502.12504627431525</c:v>
                </c:pt>
                <c:pt idx="184">
                  <c:v>502.12504627431525</c:v>
                </c:pt>
                <c:pt idx="185">
                  <c:v>502.12504627431525</c:v>
                </c:pt>
                <c:pt idx="186">
                  <c:v>502.12504627431525</c:v>
                </c:pt>
                <c:pt idx="187">
                  <c:v>502.12504627431525</c:v>
                </c:pt>
                <c:pt idx="188">
                  <c:v>502.12504627431525</c:v>
                </c:pt>
                <c:pt idx="189">
                  <c:v>502.12504627431525</c:v>
                </c:pt>
                <c:pt idx="190">
                  <c:v>502.12504627431525</c:v>
                </c:pt>
                <c:pt idx="191">
                  <c:v>502.12504627431525</c:v>
                </c:pt>
                <c:pt idx="192">
                  <c:v>502.12504627431525</c:v>
                </c:pt>
                <c:pt idx="193">
                  <c:v>502.12504627431525</c:v>
                </c:pt>
                <c:pt idx="194">
                  <c:v>502.12504627431525</c:v>
                </c:pt>
                <c:pt idx="195">
                  <c:v>502.12504627431525</c:v>
                </c:pt>
                <c:pt idx="196">
                  <c:v>502.12504627431525</c:v>
                </c:pt>
                <c:pt idx="197">
                  <c:v>502.12504627431525</c:v>
                </c:pt>
                <c:pt idx="198">
                  <c:v>502.12504627431525</c:v>
                </c:pt>
                <c:pt idx="199">
                  <c:v>502.12504627431525</c:v>
                </c:pt>
                <c:pt idx="200">
                  <c:v>502.12504627431525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2.9329282576798801</c:v>
                </c:pt>
                <c:pt idx="2">
                  <c:v>3.3863555843375432</c:v>
                </c:pt>
                <c:pt idx="3">
                  <c:v>3.9101333983619173</c:v>
                </c:pt>
                <c:pt idx="4">
                  <c:v>4.5152135688135724</c:v>
                </c:pt>
                <c:pt idx="5">
                  <c:v>5.2142582785212097</c:v>
                </c:pt>
                <c:pt idx="6">
                  <c:v>6.0219078993783954</c:v>
                </c:pt>
                <c:pt idx="7">
                  <c:v>6.9550909366023212</c:v>
                </c:pt>
                <c:pt idx="8">
                  <c:v>8.033382665152196</c:v>
                </c:pt>
                <c:pt idx="9">
                  <c:v>9.2794201266047978</c:v>
                </c:pt>
                <c:pt idx="10">
                  <c:v>10.719382365135425</c:v>
                </c:pt>
                <c:pt idx="11">
                  <c:v>12.383546183032053</c:v>
                </c:pt>
                <c:pt idx="12">
                  <c:v>14.306929319711523</c:v>
                </c:pt>
                <c:pt idx="13">
                  <c:v>16.530034838655073</c:v>
                </c:pt>
                <c:pt idx="14">
                  <c:v>19.099712684762967</c:v>
                </c:pt>
                <c:pt idx="15">
                  <c:v>22.070156897536105</c:v>
                </c:pt>
                <c:pt idx="16">
                  <c:v>25.50405988791421</c:v>
                </c:pt>
                <c:pt idx="17">
                  <c:v>29.473948571908423</c:v>
                </c:pt>
                <c:pt idx="18">
                  <c:v>34.063731075803851</c:v>
                </c:pt>
                <c:pt idx="19">
                  <c:v>39.370487270787081</c:v>
                </c:pt>
                <c:pt idx="20">
                  <c:v>45.506541658014477</c:v>
                </c:pt>
                <c:pt idx="21">
                  <c:v>52.601863222699713</c:v>
                </c:pt>
                <c:pt idx="22">
                  <c:v>60.806843940259398</c:v>
                </c:pt>
                <c:pt idx="23">
                  <c:v>70.295515802479329</c:v>
                </c:pt>
                <c:pt idx="24">
                  <c:v>81.269275715042156</c:v>
                </c:pt>
                <c:pt idx="25">
                  <c:v>93.961198605894239</c:v>
                </c:pt>
                <c:pt idx="26">
                  <c:v>108.64103181595415</c:v>
                </c:pt>
                <c:pt idx="27">
                  <c:v>125.6209785967622</c:v>
                </c:pt>
                <c:pt idx="28">
                  <c:v>145.26239563513315</c:v>
                </c:pt>
                <c:pt idx="29">
                  <c:v>167.98354933515483</c:v>
                </c:pt>
                <c:pt idx="30">
                  <c:v>194.26859854470615</c:v>
                </c:pt>
                <c:pt idx="31">
                  <c:v>205.78658304849975</c:v>
                </c:pt>
                <c:pt idx="32">
                  <c:v>217.28966869856501</c:v>
                </c:pt>
                <c:pt idx="33">
                  <c:v>228.7787558911123</c:v>
                </c:pt>
                <c:pt idx="34">
                  <c:v>240.25464712367202</c:v>
                </c:pt>
                <c:pt idx="35">
                  <c:v>251.71806190863617</c:v>
                </c:pt>
                <c:pt idx="36">
                  <c:v>263.16964882479607</c:v>
                </c:pt>
                <c:pt idx="37">
                  <c:v>274.60999535933428</c:v>
                </c:pt>
                <c:pt idx="38">
                  <c:v>286.03963602245011</c:v>
                </c:pt>
                <c:pt idx="39">
                  <c:v>297.45905909612384</c:v>
                </c:pt>
                <c:pt idx="40">
                  <c:v>308.86871229161397</c:v>
                </c:pt>
                <c:pt idx="41">
                  <c:v>320.26900752676721</c:v>
                </c:pt>
                <c:pt idx="42">
                  <c:v>331.66032498718386</c:v>
                </c:pt>
                <c:pt idx="43">
                  <c:v>343.04301660000675</c:v>
                </c:pt>
                <c:pt idx="44">
                  <c:v>354.41740902235983</c:v>
                </c:pt>
                <c:pt idx="45">
                  <c:v>231.18015012108819</c:v>
                </c:pt>
                <c:pt idx="46">
                  <c:v>245.85215155934134</c:v>
                </c:pt>
                <c:pt idx="47">
                  <c:v>260.50426922842399</c:v>
                </c:pt>
                <c:pt idx="48">
                  <c:v>275.13777916434242</c:v>
                </c:pt>
                <c:pt idx="49">
                  <c:v>289.75381053317591</c:v>
                </c:pt>
                <c:pt idx="50">
                  <c:v>304.35336924894256</c:v>
                </c:pt>
                <c:pt idx="51">
                  <c:v>318.93735681918645</c:v>
                </c:pt>
                <c:pt idx="52">
                  <c:v>251.94708955478904</c:v>
                </c:pt>
                <c:pt idx="53">
                  <c:v>265.66555712216478</c:v>
                </c:pt>
                <c:pt idx="54">
                  <c:v>279.36806065566765</c:v>
                </c:pt>
                <c:pt idx="55">
                  <c:v>293.05549362099072</c:v>
                </c:pt>
                <c:pt idx="56">
                  <c:v>306.72865918075587</c:v>
                </c:pt>
                <c:pt idx="57">
                  <c:v>320.38828302561961</c:v>
                </c:pt>
                <c:pt idx="58">
                  <c:v>334.0350239015151</c:v>
                </c:pt>
                <c:pt idx="59">
                  <c:v>347.66948232583718</c:v>
                </c:pt>
                <c:pt idx="60">
                  <c:v>277.16605291851641</c:v>
                </c:pt>
                <c:pt idx="61">
                  <c:v>289.89049919490833</c:v>
                </c:pt>
                <c:pt idx="62">
                  <c:v>302.60246681972711</c:v>
                </c:pt>
                <c:pt idx="63">
                  <c:v>315.30255400825291</c:v>
                </c:pt>
                <c:pt idx="64">
                  <c:v>327.99130683454598</c:v>
                </c:pt>
                <c:pt idx="65">
                  <c:v>340.66922566038829</c:v>
                </c:pt>
                <c:pt idx="66">
                  <c:v>353.33677055680977</c:v>
                </c:pt>
                <c:pt idx="67">
                  <c:v>365.99436590725173</c:v>
                </c:pt>
                <c:pt idx="68">
                  <c:v>309.89483246834959</c:v>
                </c:pt>
                <c:pt idx="69">
                  <c:v>322.04777270454156</c:v>
                </c:pt>
                <c:pt idx="70">
                  <c:v>334.19057271070238</c:v>
                </c:pt>
                <c:pt idx="71">
                  <c:v>346.32365295129557</c:v>
                </c:pt>
                <c:pt idx="72">
                  <c:v>358.44740201667582</c:v>
                </c:pt>
                <c:pt idx="73">
                  <c:v>370.56218005866822</c:v>
                </c:pt>
                <c:pt idx="74">
                  <c:v>382.66832175328369</c:v>
                </c:pt>
                <c:pt idx="75">
                  <c:v>394.76613886886213</c:v>
                </c:pt>
                <c:pt idx="76">
                  <c:v>340.66808659618761</c:v>
                </c:pt>
                <c:pt idx="77">
                  <c:v>352.40061391194422</c:v>
                </c:pt>
                <c:pt idx="78">
                  <c:v>364.12458115448635</c:v>
                </c:pt>
                <c:pt idx="79">
                  <c:v>375.84030285063812</c:v>
                </c:pt>
                <c:pt idx="80">
                  <c:v>387.54807231327413</c:v>
                </c:pt>
                <c:pt idx="81">
                  <c:v>399.24816368344005</c:v>
                </c:pt>
                <c:pt idx="82">
                  <c:v>410.94083372055803</c:v>
                </c:pt>
                <c:pt idx="83">
                  <c:v>422.62632337822191</c:v>
                </c:pt>
                <c:pt idx="84">
                  <c:v>434.30485919660458</c:v>
                </c:pt>
                <c:pt idx="85">
                  <c:v>370.94305980022995</c:v>
                </c:pt>
                <c:pt idx="86">
                  <c:v>382.13601741625922</c:v>
                </c:pt>
                <c:pt idx="87">
                  <c:v>393.32184789481039</c:v>
                </c:pt>
                <c:pt idx="88">
                  <c:v>404.50078254642216</c:v>
                </c:pt>
                <c:pt idx="89">
                  <c:v>415.67303885034403</c:v>
                </c:pt>
                <c:pt idx="90">
                  <c:v>426.83882163903991</c:v>
                </c:pt>
                <c:pt idx="91">
                  <c:v>437.99832415227075</c:v>
                </c:pt>
                <c:pt idx="92">
                  <c:v>449.15172897814188</c:v>
                </c:pt>
                <c:pt idx="93">
                  <c:v>460.29920889579802</c:v>
                </c:pt>
                <c:pt idx="94">
                  <c:v>407.64120615059079</c:v>
                </c:pt>
                <c:pt idx="95">
                  <c:v>418.80663362021841</c:v>
                </c:pt>
                <c:pt idx="96">
                  <c:v>429.96564865703044</c:v>
                </c:pt>
                <c:pt idx="97">
                  <c:v>441.11844116915034</c:v>
                </c:pt>
                <c:pt idx="98">
                  <c:v>452.26519067705868</c:v>
                </c:pt>
                <c:pt idx="99">
                  <c:v>463.4060671292504</c:v>
                </c:pt>
                <c:pt idx="100">
                  <c:v>474.54123163536366</c:v>
                </c:pt>
                <c:pt idx="101">
                  <c:v>485.67083712691414</c:v>
                </c:pt>
                <c:pt idx="102">
                  <c:v>496.79502895430869</c:v>
                </c:pt>
                <c:pt idx="103">
                  <c:v>507.91394542760594</c:v>
                </c:pt>
                <c:pt idx="104">
                  <c:v>435.03907384077701</c:v>
                </c:pt>
                <c:pt idx="105">
                  <c:v>445.8452929810619</c:v>
                </c:pt>
                <c:pt idx="106">
                  <c:v>456.64590491056379</c:v>
                </c:pt>
                <c:pt idx="107">
                  <c:v>467.44106096404107</c:v>
                </c:pt>
                <c:pt idx="108">
                  <c:v>478.23090491537596</c:v>
                </c:pt>
                <c:pt idx="109">
                  <c:v>489.01557352103009</c:v>
                </c:pt>
                <c:pt idx="110">
                  <c:v>499.7951970130643</c:v>
                </c:pt>
                <c:pt idx="111">
                  <c:v>510.56989954740794</c:v>
                </c:pt>
                <c:pt idx="112">
                  <c:v>521.33979961232399</c:v>
                </c:pt>
                <c:pt idx="113">
                  <c:v>532.10501040136569</c:v>
                </c:pt>
                <c:pt idx="114">
                  <c:v>476.50533346916887</c:v>
                </c:pt>
                <c:pt idx="115">
                  <c:v>487.73614957102609</c:v>
                </c:pt>
                <c:pt idx="116">
                  <c:v>498.96147878070821</c:v>
                </c:pt>
                <c:pt idx="117">
                  <c:v>510.1814619372517</c:v>
                </c:pt>
                <c:pt idx="118">
                  <c:v>521.39623317992471</c:v>
                </c:pt>
                <c:pt idx="119">
                  <c:v>532.60592040724612</c:v>
                </c:pt>
                <c:pt idx="120">
                  <c:v>543.81064569535704</c:v>
                </c:pt>
                <c:pt idx="121">
                  <c:v>555.01052568012142</c:v>
                </c:pt>
                <c:pt idx="122">
                  <c:v>566.20567190678605</c:v>
                </c:pt>
                <c:pt idx="123">
                  <c:v>577.39619115055291</c:v>
                </c:pt>
                <c:pt idx="124">
                  <c:v>588.58218571101509</c:v>
                </c:pt>
                <c:pt idx="125">
                  <c:v>599.76375368304741</c:v>
                </c:pt>
                <c:pt idx="126">
                  <c:v>509.2035651570045</c:v>
                </c:pt>
                <c:pt idx="127">
                  <c:v>520.28785431918993</c:v>
                </c:pt>
                <c:pt idx="128">
                  <c:v>531.36716542681711</c:v>
                </c:pt>
                <c:pt idx="129">
                  <c:v>542.44161689880059</c:v>
                </c:pt>
                <c:pt idx="130">
                  <c:v>553.51132192487842</c:v>
                </c:pt>
                <c:pt idx="131">
                  <c:v>564.57638879870012</c:v>
                </c:pt>
                <c:pt idx="132">
                  <c:v>575.63692122345174</c:v>
                </c:pt>
                <c:pt idx="133">
                  <c:v>586.69301859277346</c:v>
                </c:pt>
                <c:pt idx="134">
                  <c:v>597.74477624940607</c:v>
                </c:pt>
                <c:pt idx="135">
                  <c:v>608.79228572371903</c:v>
                </c:pt>
                <c:pt idx="136">
                  <c:v>619.83563495403098</c:v>
                </c:pt>
                <c:pt idx="137">
                  <c:v>630.87490849041581</c:v>
                </c:pt>
                <c:pt idx="138">
                  <c:v>533.79159357740082</c:v>
                </c:pt>
                <c:pt idx="139">
                  <c:v>544.57294007424241</c:v>
                </c:pt>
                <c:pt idx="140">
                  <c:v>555.34980737852027</c:v>
                </c:pt>
                <c:pt idx="141">
                  <c:v>566.12229465602491</c:v>
                </c:pt>
                <c:pt idx="142">
                  <c:v>576.89049699123564</c:v>
                </c:pt>
                <c:pt idx="143">
                  <c:v>587.65450562995761</c:v>
                </c:pt>
                <c:pt idx="144">
                  <c:v>598.41440820325829</c:v>
                </c:pt>
                <c:pt idx="145">
                  <c:v>609.17028893446422</c:v>
                </c:pt>
                <c:pt idx="146">
                  <c:v>619.92222883078409</c:v>
                </c:pt>
                <c:pt idx="147">
                  <c:v>630.67030586094836</c:v>
                </c:pt>
                <c:pt idx="148">
                  <c:v>641.41459512011511</c:v>
                </c:pt>
                <c:pt idx="149">
                  <c:v>652.1551689831565</c:v>
                </c:pt>
                <c:pt idx="150">
                  <c:v>404.09338308811112</c:v>
                </c:pt>
                <c:pt idx="151">
                  <c:v>410.66630263429084</c:v>
                </c:pt>
                <c:pt idx="152">
                  <c:v>417.23695113982052</c:v>
                </c:pt>
                <c:pt idx="153">
                  <c:v>423.80536944181694</c:v>
                </c:pt>
                <c:pt idx="154">
                  <c:v>278.35892716727426</c:v>
                </c:pt>
                <c:pt idx="155">
                  <c:v>282.36752007083038</c:v>
                </c:pt>
                <c:pt idx="156">
                  <c:v>286.37483781182715</c:v>
                </c:pt>
                <c:pt idx="157">
                  <c:v>290.38090078456383</c:v>
                </c:pt>
                <c:pt idx="158">
                  <c:v>194.64582735633982</c:v>
                </c:pt>
                <c:pt idx="159">
                  <c:v>197.15448729932146</c:v>
                </c:pt>
                <c:pt idx="160">
                  <c:v>199.66240609118495</c:v>
                </c:pt>
                <c:pt idx="161">
                  <c:v>202.16959438206572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3.2713779738775846</c:v>
                </c:pt>
                <c:pt idx="2">
                  <c:v>3.8646187889144685</c:v>
                </c:pt>
                <c:pt idx="3">
                  <c:v>4.5658309546340776</c:v>
                </c:pt>
                <c:pt idx="4">
                  <c:v>5.3947327136416723</c:v>
                </c:pt>
                <c:pt idx="5">
                  <c:v>6.374654836721537</c:v>
                </c:pt>
                <c:pt idx="6">
                  <c:v>7.5332044228275885</c:v>
                </c:pt>
                <c:pt idx="7">
                  <c:v>8.9030510045981615</c:v>
                </c:pt>
                <c:pt idx="8">
                  <c:v>10.522857550605424</c:v>
                </c:pt>
                <c:pt idx="9">
                  <c:v>12.43838313791982</c:v>
                </c:pt>
                <c:pt idx="10">
                  <c:v>14.703789026837759</c:v>
                </c:pt>
                <c:pt idx="11">
                  <c:v>17.91258315536226</c:v>
                </c:pt>
                <c:pt idx="12">
                  <c:v>21.104543129297269</c:v>
                </c:pt>
                <c:pt idx="13">
                  <c:v>24.28259392189582</c:v>
                </c:pt>
                <c:pt idx="14">
                  <c:v>27.448824429452078</c:v>
                </c:pt>
                <c:pt idx="15">
                  <c:v>30.604798189695472</c:v>
                </c:pt>
                <c:pt idx="16">
                  <c:v>33.751727582674768</c:v>
                </c:pt>
                <c:pt idx="17">
                  <c:v>36.890578972406466</c:v>
                </c:pt>
                <c:pt idx="18">
                  <c:v>40.022139865395864</c:v>
                </c:pt>
                <c:pt idx="19">
                  <c:v>43.14706378094494</c:v>
                </c:pt>
                <c:pt idx="20">
                  <c:v>46.265901348512124</c:v>
                </c:pt>
                <c:pt idx="21">
                  <c:v>50.716661097973009</c:v>
                </c:pt>
                <c:pt idx="22">
                  <c:v>55.157077231790105</c:v>
                </c:pt>
                <c:pt idx="23">
                  <c:v>59.588102911058947</c:v>
                </c:pt>
                <c:pt idx="24">
                  <c:v>64.010537343246867</c:v>
                </c:pt>
                <c:pt idx="25">
                  <c:v>68.425059828555106</c:v>
                </c:pt>
                <c:pt idx="26">
                  <c:v>72.832254513623482</c:v>
                </c:pt>
                <c:pt idx="27">
                  <c:v>77.232628810837227</c:v>
                </c:pt>
                <c:pt idx="28">
                  <c:v>81.626627381067422</c:v>
                </c:pt>
                <c:pt idx="29">
                  <c:v>86.014642935235244</c:v>
                </c:pt>
                <c:pt idx="30">
                  <c:v>90.397024707511278</c:v>
                </c:pt>
                <c:pt idx="31">
                  <c:v>95.857053140626476</c:v>
                </c:pt>
                <c:pt idx="32">
                  <c:v>101.30933641956021</c:v>
                </c:pt>
                <c:pt idx="33">
                  <c:v>106.75435124164291</c:v>
                </c:pt>
                <c:pt idx="34">
                  <c:v>112.19252156747319</c:v>
                </c:pt>
                <c:pt idx="35">
                  <c:v>117.62422678822816</c:v>
                </c:pt>
                <c:pt idx="36">
                  <c:v>123.04980830077018</c:v>
                </c:pt>
                <c:pt idx="37">
                  <c:v>128.46957485902496</c:v>
                </c:pt>
                <c:pt idx="38">
                  <c:v>133.88380697254868</c:v>
                </c:pt>
                <c:pt idx="39">
                  <c:v>139.29276055445584</c:v>
                </c:pt>
                <c:pt idx="40">
                  <c:v>144.69666997162864</c:v>
                </c:pt>
                <c:pt idx="41">
                  <c:v>150.96637997794303</c:v>
                </c:pt>
                <c:pt idx="42">
                  <c:v>157.22988594020538</c:v>
                </c:pt>
                <c:pt idx="43">
                  <c:v>163.48747035307807</c:v>
                </c:pt>
                <c:pt idx="44">
                  <c:v>169.73939227613323</c:v>
                </c:pt>
                <c:pt idx="45">
                  <c:v>175.98589008920609</c:v>
                </c:pt>
                <c:pt idx="46">
                  <c:v>182.22718383531037</c:v>
                </c:pt>
                <c:pt idx="47">
                  <c:v>188.46347722517021</c:v>
                </c:pt>
                <c:pt idx="48">
                  <c:v>194.6949593620665</c:v>
                </c:pt>
                <c:pt idx="49">
                  <c:v>200.92180623391775</c:v>
                </c:pt>
                <c:pt idx="50">
                  <c:v>207.14418201040476</c:v>
                </c:pt>
                <c:pt idx="51">
                  <c:v>214.04384778814043</c:v>
                </c:pt>
                <c:pt idx="52">
                  <c:v>220.93839269656499</c:v>
                </c:pt>
                <c:pt idx="53">
                  <c:v>227.82799931591947</c:v>
                </c:pt>
                <c:pt idx="54">
                  <c:v>234.71283826581586</c:v>
                </c:pt>
                <c:pt idx="55">
                  <c:v>241.59306932450059</c:v>
                </c:pt>
                <c:pt idx="56">
                  <c:v>248.46884241378439</c:v>
                </c:pt>
                <c:pt idx="57">
                  <c:v>255.34029846911335</c:v>
                </c:pt>
                <c:pt idx="58">
                  <c:v>262.20757021097137</c:v>
                </c:pt>
                <c:pt idx="59">
                  <c:v>269.07078283115209</c:v>
                </c:pt>
                <c:pt idx="60">
                  <c:v>275.93005460527223</c:v>
                </c:pt>
                <c:pt idx="61">
                  <c:v>283.29801698088249</c:v>
                </c:pt>
                <c:pt idx="62">
                  <c:v>290.66168763117736</c:v>
                </c:pt>
                <c:pt idx="63">
                  <c:v>298.02119074061312</c:v>
                </c:pt>
                <c:pt idx="64">
                  <c:v>305.37664385298996</c:v>
                </c:pt>
                <c:pt idx="65">
                  <c:v>312.72815838150439</c:v>
                </c:pt>
                <c:pt idx="66">
                  <c:v>320.07584006829478</c:v>
                </c:pt>
                <c:pt idx="67">
                  <c:v>327.41978939955169</c:v>
                </c:pt>
                <c:pt idx="68">
                  <c:v>334.76010198140915</c:v>
                </c:pt>
                <c:pt idx="69">
                  <c:v>342.0968688811235</c:v>
                </c:pt>
                <c:pt idx="70">
                  <c:v>349.43017693743144</c:v>
                </c:pt>
                <c:pt idx="71">
                  <c:v>357.12291669983097</c:v>
                </c:pt>
                <c:pt idx="72">
                  <c:v>364.81202939008193</c:v>
                </c:pt>
                <c:pt idx="73">
                  <c:v>372.49760229863597</c:v>
                </c:pt>
                <c:pt idx="74">
                  <c:v>380.17971881721695</c:v>
                </c:pt>
                <c:pt idx="75">
                  <c:v>387.85845868994778</c:v>
                </c:pt>
                <c:pt idx="76">
                  <c:v>395.53389824354349</c:v>
                </c:pt>
                <c:pt idx="77">
                  <c:v>403.20611059869407</c:v>
                </c:pt>
                <c:pt idx="78">
                  <c:v>410.87516586451329</c:v>
                </c:pt>
                <c:pt idx="79">
                  <c:v>418.54113131770424</c:v>
                </c:pt>
                <c:pt idx="80">
                  <c:v>426.20407156791089</c:v>
                </c:pt>
                <c:pt idx="81">
                  <c:v>434.09615458268473</c:v>
                </c:pt>
                <c:pt idx="82">
                  <c:v>441.98515743093134</c:v>
                </c:pt>
                <c:pt idx="83">
                  <c:v>449.87114287275404</c:v>
                </c:pt>
                <c:pt idx="84">
                  <c:v>457.75417128737371</c:v>
                </c:pt>
                <c:pt idx="85">
                  <c:v>465.6343008037914</c:v>
                </c:pt>
                <c:pt idx="86">
                  <c:v>473.51158742214312</c:v>
                </c:pt>
                <c:pt idx="87">
                  <c:v>481.38608512655702</c:v>
                </c:pt>
                <c:pt idx="88">
                  <c:v>489.25784599023882</c:v>
                </c:pt>
                <c:pt idx="89">
                  <c:v>497.12692027344195</c:v>
                </c:pt>
                <c:pt idx="90">
                  <c:v>504.9933565149085</c:v>
                </c:pt>
                <c:pt idx="91">
                  <c:v>512.97689351460428</c:v>
                </c:pt>
                <c:pt idx="92">
                  <c:v>520.95780731798982</c:v>
                </c:pt>
                <c:pt idx="93">
                  <c:v>528.93614379003657</c:v>
                </c:pt>
                <c:pt idx="94">
                  <c:v>536.91194729887184</c:v>
                </c:pt>
                <c:pt idx="95">
                  <c:v>544.88526078662119</c:v>
                </c:pt>
                <c:pt idx="96">
                  <c:v>552.85612583588977</c:v>
                </c:pt>
                <c:pt idx="97">
                  <c:v>560.82458273220846</c:v>
                </c:pt>
                <c:pt idx="98">
                  <c:v>568.7906705227465</c:v>
                </c:pt>
                <c:pt idx="99">
                  <c:v>576.75442707156526</c:v>
                </c:pt>
                <c:pt idx="100">
                  <c:v>584.71588911165907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G37" sqref="G37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9" zoomScale="80" zoomScaleNormal="80" workbookViewId="0">
      <selection activeCell="E57" sqref="E57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34.875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36</v>
      </c>
      <c r="C9" s="32">
        <v>0.98519999999999996</v>
      </c>
      <c r="D9" s="33">
        <f t="shared" ref="D9:D18" si="0">C9*$C$5</f>
        <v>34.358849999999997</v>
      </c>
      <c r="E9" s="34">
        <v>35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11</v>
      </c>
      <c r="C10" s="32">
        <v>7.3000000000000001E-3</v>
      </c>
      <c r="D10" s="33">
        <f t="shared" si="0"/>
        <v>0.25458750000000002</v>
      </c>
      <c r="E10" s="34">
        <v>120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15</v>
      </c>
      <c r="C11" s="32">
        <v>5.1999999999999998E-3</v>
      </c>
      <c r="D11" s="33">
        <f t="shared" si="0"/>
        <v>0.18134999999999998</v>
      </c>
      <c r="E11" s="34">
        <v>161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10</v>
      </c>
      <c r="C12" s="32">
        <v>2.3E-3</v>
      </c>
      <c r="D12" s="33">
        <f t="shared" si="0"/>
        <v>8.0212499999999992E-2</v>
      </c>
      <c r="E12" s="34">
        <v>100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0.99999999999999989</v>
      </c>
      <c r="D19" s="38">
        <f>SUM(D9:D18)</f>
        <v>34.875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9</v>
      </c>
      <c r="B36" s="60">
        <v>73.623076923076923</v>
      </c>
      <c r="C36" s="60">
        <v>0</v>
      </c>
      <c r="D36" s="60">
        <v>0</v>
      </c>
      <c r="E36" s="51"/>
      <c r="F36" s="51"/>
      <c r="G36" s="51"/>
      <c r="H36" s="51"/>
      <c r="I36" s="49">
        <f>IFERROR(B36/A36,"")</f>
        <v>8.1803418803418797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12</v>
      </c>
      <c r="B37" s="60">
        <v>137.12307692307692</v>
      </c>
      <c r="C37" s="60">
        <v>1</v>
      </c>
      <c r="D37" s="60">
        <v>42.784615384615378</v>
      </c>
      <c r="E37" s="51"/>
      <c r="F37" s="51">
        <v>0.5</v>
      </c>
      <c r="G37" s="51">
        <v>0.5</v>
      </c>
      <c r="H37" s="51"/>
      <c r="I37" s="53">
        <f t="shared" ref="I37:I55" si="1">IF(A37&lt;&gt;0,(B37-(B36-D36))/(A37-A36),"")</f>
        <v>21.166666666666668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16</v>
      </c>
      <c r="B38" s="60">
        <v>178.3923076923077</v>
      </c>
      <c r="C38" s="60">
        <v>2</v>
      </c>
      <c r="D38" s="60">
        <v>60.576923076923073</v>
      </c>
      <c r="E38" s="51">
        <v>0.2</v>
      </c>
      <c r="F38" s="51">
        <v>0.3</v>
      </c>
      <c r="G38" s="51">
        <v>0.5</v>
      </c>
      <c r="H38" s="51"/>
      <c r="I38" s="53">
        <f t="shared" si="1"/>
        <v>21.013461538461538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20</v>
      </c>
      <c r="B39" s="60">
        <v>193.16153846153847</v>
      </c>
      <c r="C39" s="60">
        <v>3</v>
      </c>
      <c r="D39" s="60">
        <v>48.253846153846148</v>
      </c>
      <c r="E39" s="51">
        <v>0.3</v>
      </c>
      <c r="F39" s="51">
        <v>0.35</v>
      </c>
      <c r="G39" s="51">
        <v>0.35</v>
      </c>
      <c r="H39" s="51"/>
      <c r="I39" s="49">
        <f t="shared" si="1"/>
        <v>18.83653846153846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25</v>
      </c>
      <c r="B40" s="60">
        <v>231.16923076923075</v>
      </c>
      <c r="C40" s="60">
        <v>4</v>
      </c>
      <c r="D40" s="60">
        <v>56.130769230769225</v>
      </c>
      <c r="E40" s="51">
        <v>0.4</v>
      </c>
      <c r="F40" s="51">
        <v>0.3</v>
      </c>
      <c r="G40" s="51">
        <v>0.3</v>
      </c>
      <c r="H40" s="51"/>
      <c r="I40" s="49">
        <f t="shared" si="1"/>
        <v>17.252307692307689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30</v>
      </c>
      <c r="B41" s="60">
        <v>255.43076923076922</v>
      </c>
      <c r="C41" s="60">
        <v>0</v>
      </c>
      <c r="D41" s="60">
        <v>0</v>
      </c>
      <c r="E41" s="51"/>
      <c r="F41" s="51"/>
      <c r="G41" s="51"/>
      <c r="H41" s="51"/>
      <c r="I41" s="53">
        <f t="shared" si="1"/>
        <v>16.078461538461539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35</v>
      </c>
      <c r="B42" s="60">
        <v>335.83076923076919</v>
      </c>
      <c r="C42" s="60">
        <v>5</v>
      </c>
      <c r="D42" s="60">
        <v>335.83076923076919</v>
      </c>
      <c r="E42" s="51"/>
      <c r="F42" s="51"/>
      <c r="G42" s="51"/>
      <c r="H42" s="51"/>
      <c r="I42" s="53">
        <f t="shared" si="1"/>
        <v>16.079999999999995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pédonculé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f>46+11</f>
        <v>57</v>
      </c>
      <c r="C62" s="60">
        <v>1</v>
      </c>
      <c r="D62" s="60">
        <v>11</v>
      </c>
      <c r="E62" s="51"/>
      <c r="F62" s="51">
        <v>0.25</v>
      </c>
      <c r="G62" s="51">
        <v>0.25</v>
      </c>
      <c r="H62" s="51">
        <v>0.5</v>
      </c>
      <c r="I62" s="53">
        <f>IFERROR(B62/A62,"")</f>
        <v>2.85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30</v>
      </c>
      <c r="B63" s="60">
        <f>82+32</f>
        <v>114</v>
      </c>
      <c r="C63" s="60">
        <v>2</v>
      </c>
      <c r="D63" s="60">
        <v>32</v>
      </c>
      <c r="E63" s="51">
        <v>0.1</v>
      </c>
      <c r="F63" s="51">
        <v>0.45</v>
      </c>
      <c r="G63" s="51">
        <v>0.45</v>
      </c>
      <c r="H63" s="51"/>
      <c r="I63" s="49">
        <f>IF(A63&lt;&gt;0,(B63-(B62-D62))/(A63-A62),"")</f>
        <v>6.8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40</v>
      </c>
      <c r="B64" s="60">
        <f>117+39</f>
        <v>156</v>
      </c>
      <c r="C64" s="60">
        <v>3</v>
      </c>
      <c r="D64" s="60">
        <v>39</v>
      </c>
      <c r="E64" s="51"/>
      <c r="F64" s="51"/>
      <c r="G64" s="51"/>
      <c r="H64" s="51"/>
      <c r="I64" s="49">
        <f>IF(A64&lt;&gt;0,(B64-(B63-D63))/(A64-A63),"")</f>
        <v>7.4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50</v>
      </c>
      <c r="B65" s="60">
        <f>149+43</f>
        <v>192</v>
      </c>
      <c r="C65" s="60">
        <v>4</v>
      </c>
      <c r="D65" s="60">
        <v>43</v>
      </c>
      <c r="E65" s="51"/>
      <c r="F65" s="51"/>
      <c r="G65" s="51"/>
      <c r="H65" s="51"/>
      <c r="I65" s="49">
        <f>IF(A65&lt;&gt;0,(B65-(B64-D64))/(A65-A64),"")</f>
        <v>7.5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60</v>
      </c>
      <c r="B66" s="60">
        <f>177+44</f>
        <v>221</v>
      </c>
      <c r="C66" s="60">
        <v>5</v>
      </c>
      <c r="D66" s="60">
        <v>44</v>
      </c>
      <c r="E66" s="51"/>
      <c r="F66" s="51"/>
      <c r="G66" s="51"/>
      <c r="H66" s="51"/>
      <c r="I66" s="49">
        <f t="shared" ref="I66:I81" si="2">IF(A66&lt;&gt;0,(B66-(B65-D65))/(A66-A65),"")</f>
        <v>7.2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70</v>
      </c>
      <c r="B67" s="60">
        <f>201+44</f>
        <v>245</v>
      </c>
      <c r="C67" s="60">
        <v>6</v>
      </c>
      <c r="D67" s="60">
        <v>44</v>
      </c>
      <c r="E67" s="51"/>
      <c r="F67" s="51"/>
      <c r="G67" s="51"/>
      <c r="H67" s="51"/>
      <c r="I67" s="49">
        <f t="shared" si="2"/>
        <v>6.8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80</v>
      </c>
      <c r="B68" s="60">
        <f>222+43</f>
        <v>265</v>
      </c>
      <c r="C68" s="60">
        <v>7</v>
      </c>
      <c r="D68" s="60">
        <v>43</v>
      </c>
      <c r="E68" s="51"/>
      <c r="F68" s="51"/>
      <c r="G68" s="51"/>
      <c r="H68" s="51"/>
      <c r="I68" s="49">
        <f t="shared" si="2"/>
        <v>6.4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90</v>
      </c>
      <c r="B69" s="50">
        <f>239+40</f>
        <v>279</v>
      </c>
      <c r="C69" s="50">
        <v>8</v>
      </c>
      <c r="D69" s="50">
        <v>40</v>
      </c>
      <c r="E69" s="51"/>
      <c r="F69" s="51"/>
      <c r="G69" s="51"/>
      <c r="H69" s="51"/>
      <c r="I69" s="49">
        <f t="shared" si="2"/>
        <v>5.7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100</v>
      </c>
      <c r="B70" s="50">
        <f>253+37</f>
        <v>290</v>
      </c>
      <c r="C70" s="50">
        <v>9</v>
      </c>
      <c r="D70" s="50">
        <v>37</v>
      </c>
      <c r="E70" s="51"/>
      <c r="F70" s="51"/>
      <c r="G70" s="51"/>
      <c r="H70" s="51"/>
      <c r="I70" s="49">
        <f t="shared" si="2"/>
        <v>5.0999999999999996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110</v>
      </c>
      <c r="B71" s="50">
        <f>265+34</f>
        <v>299</v>
      </c>
      <c r="C71" s="50">
        <v>10</v>
      </c>
      <c r="D71" s="50">
        <v>34</v>
      </c>
      <c r="E71" s="51"/>
      <c r="F71" s="51"/>
      <c r="G71" s="51"/>
      <c r="H71" s="51"/>
      <c r="I71" s="49">
        <f t="shared" si="2"/>
        <v>4.5999999999999996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120</v>
      </c>
      <c r="B72" s="50">
        <f>275+31</f>
        <v>306</v>
      </c>
      <c r="C72" s="50">
        <v>11</v>
      </c>
      <c r="D72" s="50">
        <v>31</v>
      </c>
      <c r="E72" s="51"/>
      <c r="F72" s="51"/>
      <c r="G72" s="51"/>
      <c r="H72" s="51"/>
      <c r="I72" s="49">
        <f t="shared" si="2"/>
        <v>4.0999999999999996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tauzin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30</v>
      </c>
      <c r="B88" s="60">
        <f>136.82/1.56</f>
        <v>87.705128205128204</v>
      </c>
      <c r="C88" s="60"/>
      <c r="D88" s="60"/>
      <c r="E88" s="51"/>
      <c r="F88" s="51">
        <v>0.5</v>
      </c>
      <c r="G88" s="51">
        <v>0.5</v>
      </c>
      <c r="H88" s="87"/>
      <c r="I88" s="53">
        <f>IFERROR(B88/A88,"")</f>
        <v>2.9235042735042733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44</v>
      </c>
      <c r="B89" s="60">
        <f>253.38/1.56</f>
        <v>162.42307692307691</v>
      </c>
      <c r="C89" s="60">
        <v>1</v>
      </c>
      <c r="D89" s="60">
        <f>100.49/1.56</f>
        <v>64.416666666666657</v>
      </c>
      <c r="E89" s="51">
        <v>0.4</v>
      </c>
      <c r="F89" s="51">
        <v>0.3</v>
      </c>
      <c r="G89" s="51">
        <v>0.3</v>
      </c>
      <c r="H89" s="87"/>
      <c r="I89" s="53">
        <f t="shared" ref="I89:I107" si="3">IF(A89&lt;&gt;0,(B89-(B88-D88))/(A89-A88),"")</f>
        <v>5.3369963369963358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51</v>
      </c>
      <c r="B90" s="60">
        <f>227.43/1.56</f>
        <v>145.78846153846155</v>
      </c>
      <c r="C90" s="60">
        <v>2</v>
      </c>
      <c r="D90" s="60">
        <f>58.79/1.56</f>
        <v>37.685897435897431</v>
      </c>
      <c r="E90" s="87">
        <v>0.4</v>
      </c>
      <c r="F90" s="87">
        <v>0.3</v>
      </c>
      <c r="G90" s="87">
        <v>0.3</v>
      </c>
      <c r="H90" s="87"/>
      <c r="I90" s="53">
        <f t="shared" si="3"/>
        <v>6.8260073260073284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59</v>
      </c>
      <c r="B91" s="60">
        <f>248.44/1.56</f>
        <v>159.25641025641025</v>
      </c>
      <c r="C91" s="60">
        <v>3</v>
      </c>
      <c r="D91" s="60">
        <f>60.75/1.56</f>
        <v>38.942307692307693</v>
      </c>
      <c r="E91" s="87"/>
      <c r="F91" s="87"/>
      <c r="G91" s="87"/>
      <c r="H91" s="87"/>
      <c r="I91" s="53">
        <f t="shared" si="3"/>
        <v>6.3942307692307665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67</v>
      </c>
      <c r="B92" s="60">
        <f>261.86/1.56</f>
        <v>167.85897435897436</v>
      </c>
      <c r="C92" s="60">
        <v>4</v>
      </c>
      <c r="D92" s="60">
        <f>49.91/1.56</f>
        <v>31.993589743589741</v>
      </c>
      <c r="E92" s="87"/>
      <c r="F92" s="87"/>
      <c r="G92" s="87"/>
      <c r="H92" s="87"/>
      <c r="I92" s="53">
        <f t="shared" si="3"/>
        <v>5.9431089743589762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75</v>
      </c>
      <c r="B93" s="60">
        <f>282.96/1.56</f>
        <v>181.38461538461536</v>
      </c>
      <c r="C93" s="60">
        <v>5</v>
      </c>
      <c r="D93" s="60">
        <f>48.23/1.56</f>
        <v>30.916666666666664</v>
      </c>
      <c r="E93" s="87"/>
      <c r="F93" s="87"/>
      <c r="G93" s="87"/>
      <c r="H93" s="87"/>
      <c r="I93" s="53">
        <f t="shared" si="3"/>
        <v>5.6899038461538431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84</v>
      </c>
      <c r="B94" s="60">
        <f>312.01/1.56</f>
        <v>200.00641025641025</v>
      </c>
      <c r="C94" s="60">
        <v>6</v>
      </c>
      <c r="D94" s="60">
        <f>54.73/1.56</f>
        <v>35.083333333333329</v>
      </c>
      <c r="E94" s="87"/>
      <c r="F94" s="87"/>
      <c r="G94" s="87"/>
      <c r="H94" s="87"/>
      <c r="I94" s="53">
        <f t="shared" si="3"/>
        <v>5.5042735042735051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93</v>
      </c>
      <c r="B95" s="60">
        <f>331.14/1.56</f>
        <v>212.26923076923075</v>
      </c>
      <c r="C95" s="60">
        <v>7</v>
      </c>
      <c r="D95" s="60">
        <f>46.93/1.56</f>
        <v>30.083333333333332</v>
      </c>
      <c r="E95" s="87"/>
      <c r="F95" s="87"/>
      <c r="G95" s="87"/>
      <c r="H95" s="87"/>
      <c r="I95" s="53">
        <f t="shared" si="3"/>
        <v>5.2606837606837598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103</v>
      </c>
      <c r="B96" s="60">
        <f>366.24/1.56</f>
        <v>234.76923076923077</v>
      </c>
      <c r="C96" s="60">
        <v>8</v>
      </c>
      <c r="D96" s="60">
        <f>61.64/1.56</f>
        <v>39.512820512820511</v>
      </c>
      <c r="E96" s="87"/>
      <c r="F96" s="87"/>
      <c r="G96" s="87"/>
      <c r="H96" s="87"/>
      <c r="I96" s="53">
        <f t="shared" si="3"/>
        <v>5.2583333333333373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113</v>
      </c>
      <c r="B97" s="60">
        <f>384.1/1.56</f>
        <v>246.21794871794873</v>
      </c>
      <c r="C97" s="60">
        <v>9</v>
      </c>
      <c r="D97" s="60">
        <f>49.3/1.56</f>
        <v>31.602564102564099</v>
      </c>
      <c r="E97" s="87"/>
      <c r="F97" s="87"/>
      <c r="G97" s="87"/>
      <c r="H97" s="87"/>
      <c r="I97" s="53">
        <f t="shared" si="3"/>
        <v>5.0961538461538449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125</v>
      </c>
      <c r="B98" s="60">
        <f>434.14/1.56</f>
        <v>278.29487179487177</v>
      </c>
      <c r="C98" s="60">
        <v>10</v>
      </c>
      <c r="D98" s="60">
        <f>75.13/1.56</f>
        <v>48.160256410256409</v>
      </c>
      <c r="E98" s="87"/>
      <c r="F98" s="87"/>
      <c r="G98" s="87"/>
      <c r="H98" s="87"/>
      <c r="I98" s="53">
        <f t="shared" si="3"/>
        <v>5.3066239316239274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137</v>
      </c>
      <c r="B99" s="60">
        <f>457.19/1.56</f>
        <v>293.07051282051282</v>
      </c>
      <c r="C99" s="60">
        <v>11</v>
      </c>
      <c r="D99" s="60">
        <f>79.81/1.56</f>
        <v>51.160256410256409</v>
      </c>
      <c r="E99" s="87"/>
      <c r="F99" s="87"/>
      <c r="G99" s="87"/>
      <c r="H99" s="87"/>
      <c r="I99" s="53">
        <f t="shared" si="3"/>
        <v>5.2446581196581219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149</v>
      </c>
      <c r="B100" s="60">
        <f>472.97/1.56</f>
        <v>303.18589743589746</v>
      </c>
      <c r="C100" s="60">
        <v>12</v>
      </c>
      <c r="D100" s="60">
        <f>187.99/1.56</f>
        <v>120.50641025641026</v>
      </c>
      <c r="E100" s="65"/>
      <c r="F100" s="65"/>
      <c r="G100" s="65"/>
      <c r="H100" s="65"/>
      <c r="I100" s="53">
        <f t="shared" si="3"/>
        <v>5.1063034188034209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>
        <v>153</v>
      </c>
      <c r="B101" s="60">
        <f>304.29/1.56</f>
        <v>195.05769230769232</v>
      </c>
      <c r="C101" s="60">
        <v>13</v>
      </c>
      <c r="D101" s="60">
        <f>109.38/1.56</f>
        <v>70.115384615384613</v>
      </c>
      <c r="E101" s="65"/>
      <c r="F101" s="65"/>
      <c r="G101" s="65"/>
      <c r="H101" s="65"/>
      <c r="I101" s="53">
        <f t="shared" si="3"/>
        <v>3.0945512820512846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>
        <v>157</v>
      </c>
      <c r="B102" s="50">
        <f>206.59/1.56</f>
        <v>132.42948717948718</v>
      </c>
      <c r="C102" s="60">
        <v>14</v>
      </c>
      <c r="D102" s="50">
        <f>71.31/1.56</f>
        <v>45.71153846153846</v>
      </c>
      <c r="E102" s="54"/>
      <c r="F102" s="54"/>
      <c r="G102" s="54"/>
      <c r="H102" s="54"/>
      <c r="I102" s="53">
        <f t="shared" si="3"/>
        <v>1.8717948717948687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>
        <v>161</v>
      </c>
      <c r="B103" s="50">
        <f>142.53/1.56</f>
        <v>91.365384615384613</v>
      </c>
      <c r="C103" s="60">
        <v>15</v>
      </c>
      <c r="D103" s="50">
        <f>142.53/1.56</f>
        <v>91.365384615384613</v>
      </c>
      <c r="E103" s="54"/>
      <c r="F103" s="54"/>
      <c r="G103" s="54"/>
      <c r="H103" s="54"/>
      <c r="I103" s="53">
        <f t="shared" si="3"/>
        <v>1.1618589743589709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Chêne-liège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10</v>
      </c>
      <c r="B114" s="60">
        <v>5.630711687781508</v>
      </c>
      <c r="C114" s="50"/>
      <c r="D114" s="60"/>
      <c r="E114" s="51"/>
      <c r="F114" s="51"/>
      <c r="G114" s="51"/>
      <c r="H114" s="51"/>
      <c r="I114" s="53">
        <f>IFERROR(B114/A114,"")</f>
        <v>0.56307116877815078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20</v>
      </c>
      <c r="B115" s="60">
        <v>18.358219481198507</v>
      </c>
      <c r="C115" s="50"/>
      <c r="D115" s="60"/>
      <c r="E115" s="51"/>
      <c r="F115" s="51"/>
      <c r="G115" s="51"/>
      <c r="H115" s="51"/>
      <c r="I115" s="53">
        <f t="shared" ref="I115:I133" si="4">IF(A115&lt;&gt;0,(B115-(B114-D114))/(A115-A114),"")</f>
        <v>1.2727507793416999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30</v>
      </c>
      <c r="B116" s="60">
        <v>36.560509809466062</v>
      </c>
      <c r="C116" s="50"/>
      <c r="D116" s="60"/>
      <c r="E116" s="51"/>
      <c r="F116" s="51"/>
      <c r="G116" s="51"/>
      <c r="H116" s="51"/>
      <c r="I116" s="53">
        <f t="shared" si="4"/>
        <v>1.8202290328267554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40</v>
      </c>
      <c r="B117" s="60">
        <v>59.269672682677488</v>
      </c>
      <c r="C117" s="50"/>
      <c r="D117" s="60"/>
      <c r="E117" s="51"/>
      <c r="F117" s="51"/>
      <c r="G117" s="51"/>
      <c r="H117" s="51"/>
      <c r="I117" s="53">
        <f t="shared" si="4"/>
        <v>2.2709162873211426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50</v>
      </c>
      <c r="B118" s="60">
        <v>85.642649632097587</v>
      </c>
      <c r="C118" s="50"/>
      <c r="D118" s="60"/>
      <c r="E118" s="51"/>
      <c r="F118" s="51"/>
      <c r="G118" s="51"/>
      <c r="H118" s="51"/>
      <c r="I118" s="53">
        <f t="shared" si="4"/>
        <v>2.6372976949420099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60</v>
      </c>
      <c r="B119" s="60">
        <v>114.90765248119372</v>
      </c>
      <c r="C119" s="50"/>
      <c r="D119" s="60"/>
      <c r="E119" s="51"/>
      <c r="F119" s="51"/>
      <c r="G119" s="51"/>
      <c r="H119" s="51"/>
      <c r="I119" s="53">
        <f t="shared" si="4"/>
        <v>2.9265002849096136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70</v>
      </c>
      <c r="B120" s="60">
        <v>146.361179404577</v>
      </c>
      <c r="C120" s="60"/>
      <c r="D120" s="60"/>
      <c r="E120" s="87"/>
      <c r="F120" s="87"/>
      <c r="G120" s="87"/>
      <c r="H120" s="87"/>
      <c r="I120" s="53">
        <f t="shared" si="4"/>
        <v>3.1453526923383279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80</v>
      </c>
      <c r="B121" s="60">
        <v>179.37192325902373</v>
      </c>
      <c r="C121" s="60"/>
      <c r="D121" s="60"/>
      <c r="E121" s="87"/>
      <c r="F121" s="87"/>
      <c r="G121" s="87"/>
      <c r="H121" s="87"/>
      <c r="I121" s="53">
        <f t="shared" si="4"/>
        <v>3.3010743854446729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90</v>
      </c>
      <c r="B122" s="60">
        <v>213.38312618540991</v>
      </c>
      <c r="C122" s="60"/>
      <c r="D122" s="60"/>
      <c r="E122" s="87"/>
      <c r="F122" s="87"/>
      <c r="G122" s="87"/>
      <c r="H122" s="87"/>
      <c r="I122" s="53">
        <f t="shared" si="4"/>
        <v>3.4011202926386175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100</v>
      </c>
      <c r="B123" s="60">
        <v>247.91208324870993</v>
      </c>
      <c r="C123" s="60">
        <v>1</v>
      </c>
      <c r="D123" s="60">
        <v>247.91208324870993</v>
      </c>
      <c r="E123" s="87"/>
      <c r="F123" s="87"/>
      <c r="G123" s="87"/>
      <c r="H123" s="87"/>
      <c r="I123" s="53">
        <f t="shared" si="4"/>
        <v>3.4528957063300028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>IF(A220&lt;&gt;0,(B220-(B219-D219))/(A220-A219),"")</f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ref="I221:I237" si="8">IF(A221&lt;&gt;0,(B221-(B220-D220))/(A221-A220),"")</f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8" sqref="F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pédonculé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tauzin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Chêne-liège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175.34314856709307</v>
      </c>
      <c r="T3" s="59">
        <f>IF('Données projet'!E9&gt;30,$R$33-$H$33,LOOKUP('Données projet'!$E$9,$A$3:$A$203,R3:R203)-LOOKUP('Données projet'!$E$9,$A$3:$A$203,$H$3:$H$203))</f>
        <v>296.28950942251339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247.67539667223065</v>
      </c>
      <c r="AO3" s="59">
        <f>IF('Données projet'!E10&gt;30,$AM$33-$H$33,LOOKUP('Données projet'!$E$10,$A$3:$A$203,AM3:AM203)-LOOKUP('Données projet'!$E$10,$A$3:$A$203,$H$3:$H$203))</f>
        <v>174.54442616983778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245.06609107649069</v>
      </c>
      <c r="BJ3" s="59">
        <f>IF('Données projet'!E11&gt;30,$BH$33-$H$33,LOOKUP('Données projet'!$E$11,$A$3:$A$203,BH3:BH203)-LOOKUP('Données projet'!$E$11,$A$3:$A$203,$H$3:$H$203))</f>
        <v>156.24531945456499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173.63857221119594</v>
      </c>
      <c r="CE3" s="59">
        <f>IF('Données projet'!E12&gt;30,$CC$33-$H$33,LOOKUP('Données projet'!$E$12,$A$3:$A$203,CC3:CC203)-LOOKUP('Données projet'!$E$12,$A$3:$A$203,$H$3:$H$203))</f>
        <v>52.373745617370105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8.1803418803418797</v>
      </c>
      <c r="N4" s="13">
        <f>IF('Données projet'!$A$36&gt;35,N3+M4-V3,IF(A4&lt;'Données projet'!$A$36,$K$205^A4,IF(A4='Données projet'!$A$36,'Données projet'!$B$36,N3+M4-V3)))</f>
        <v>1.6123005271957285</v>
      </c>
      <c r="O4" s="13">
        <f>N4*VLOOKUP('Données projet'!$B$9,Paramètres!$A$1:$I$89,3,0)*VLOOKUP('Données projet'!$B$9,Paramètres!$A$1:$I$89,5,0)</f>
        <v>0.96415571526304567</v>
      </c>
      <c r="P4" s="13">
        <f>EXP(-1.0587+0.8836*LN(O4)+0.284)</f>
        <v>0.44621535716946176</v>
      </c>
      <c r="Q4" s="20">
        <f t="shared" ref="Q4:Q34" si="2">(O4+P4)*0.475*44/12</f>
        <v>2.4563962844866167</v>
      </c>
      <c r="R4" s="59">
        <f t="shared" si="0"/>
        <v>295.78972961781994</v>
      </c>
      <c r="S4" s="59">
        <f ca="1">AVERAGE(OFFSET($R$3,0,0,'Données projet'!$E$9+1,1))-AVERAGE(OFFSET($H$3,0,0,'Données projet'!$E$9+1,1))</f>
        <v>175.34314856709307</v>
      </c>
      <c r="T4" s="59">
        <f>$T$3</f>
        <v>296.28950942251339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2.85</v>
      </c>
      <c r="AI4" s="13">
        <f>IF('Données projet'!$A$62&gt;35,AI3+AH4-AQ3,IF(A4&lt;'Données projet'!$A$62,$AF$205^A4,IF(A4='Données projet'!$A$62,'Données projet'!$B$62,AI3+AH4-AQ3)))</f>
        <v>1.2240347367580502</v>
      </c>
      <c r="AJ4" s="13">
        <f>AI4*VLOOKUP('Données projet'!$B$10,Paramètres!$A$1:$I$89,3,0)*VLOOKUP('Données projet'!$B$10,Paramètres!$A$1:$I$89,5,0)</f>
        <v>1.0311268622449816</v>
      </c>
      <c r="AK4" s="13">
        <f>EXP(-1.0587+0.8836*LN(AJ4)+0.284)</f>
        <v>0.47349417136482874</v>
      </c>
      <c r="AL4" s="20">
        <f t="shared" ref="AL4:AL67" si="4">(AJ4+AK4)*0.475*44/12</f>
        <v>2.6205483002037528</v>
      </c>
      <c r="AM4" s="59">
        <f t="shared" ref="AM4:AM67" si="5">AL4+(AD4+AE4)*44/12</f>
        <v>295.95388163353709</v>
      </c>
      <c r="AN4" s="59">
        <f ca="1">AVERAGE(OFFSET($AM$3,0,0,'Données projet'!$E$10+1,1))-AVERAGE(OFFSET($H$3,0,0,'Données projet'!$E$10+1,1))</f>
        <v>247.67539667223065</v>
      </c>
      <c r="AO4" s="59">
        <f>$AO$3</f>
        <v>174.54442616983778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2.9235042735042733</v>
      </c>
      <c r="BD4" s="12">
        <f>IF('Données projet'!$A$88&gt;35,BD3+BC4-BL3,IF(A4&lt;'Données projet'!$A$88,$BA$205^A4,IF(A4='Données projet'!$A$88,'Données projet'!$B$88,BD3+BC4-BL3)))</f>
        <v>1.1608269964373037</v>
      </c>
      <c r="BE4" s="13">
        <f>BD4*VLOOKUP('Données projet'!$B$11,Paramètres!$A$1:$I$89,3,0)*VLOOKUP('Données projet'!$B$11,Paramètres!$A$1:$I$89,5,0)</f>
        <v>1.1589696732430042</v>
      </c>
      <c r="BF4" s="13">
        <f>EXP(-1.0587+0.8836*LN(BE4)+0.284)</f>
        <v>0.52500827375022874</v>
      </c>
      <c r="BG4" s="20">
        <f t="shared" ref="BG4:BG67" si="7">(BE4+BF4)*0.475*44/12</f>
        <v>2.9329282576798801</v>
      </c>
      <c r="BH4" s="59">
        <f t="shared" ref="BH4:BH67" si="8">BG4+(AY4+AZ4)*44/12</f>
        <v>296.26626159101318</v>
      </c>
      <c r="BI4" s="59">
        <f ca="1">AVERAGE(OFFSET($BH$3,0,0,'Données projet'!$E$11+1,1))-AVERAGE(OFFSET($H$3,0,0,'Données projet'!$E$11+1,1))</f>
        <v>245.06609107649069</v>
      </c>
      <c r="BJ4" s="59">
        <f>$BJ$3</f>
        <v>156.24531945456499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0.56307116877815078</v>
      </c>
      <c r="BY4" s="12">
        <f>IF('Données projet'!$A$114&gt;35,BY3+BX4-CG3,IF(A4&lt;'Données projet'!$A$114,$BV$205^A4,IF(A4='Données projet'!$A$114,'Données projet'!$B$114,BY3+BX4-CG3)))</f>
        <v>1.1886563890642909</v>
      </c>
      <c r="BZ4" s="13">
        <f>BY4*VLOOKUP('Données projet'!$B$12,Paramètres!$A$1:$I$89,3,0)*VLOOKUP('Données projet'!$B$12,Paramètres!$A$1:$I$89,5,0)</f>
        <v>1.2980127768582057</v>
      </c>
      <c r="CA4" s="13">
        <f>EXP(-1.0587+0.8836*LN(BZ4)+0.284)</f>
        <v>0.5802903660380152</v>
      </c>
      <c r="CB4" s="20">
        <f t="shared" ref="CB4:CB67" si="10">(BZ4+CA4)*0.475*44/12</f>
        <v>3.2713779738775846</v>
      </c>
      <c r="CC4" s="59">
        <f t="shared" ref="CC4:CC67" si="11">CB4+(BT4+BU4)*44/12</f>
        <v>296.60471130721089</v>
      </c>
      <c r="CD4" s="59">
        <f ca="1">AVERAGE(OFFSET($CC$3,0,0,'Données projet'!$E$12+1,1))-AVERAGE(OFFSET($H$3,0,0,'Données projet'!$E$12+1,1))</f>
        <v>173.63857221119594</v>
      </c>
      <c r="CE4" s="59">
        <f>$CE$3</f>
        <v>52.373745617370105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8.1803418803418797</v>
      </c>
      <c r="N5" s="13">
        <f>IF('Données projet'!$A$36&gt;35,N4+M5-V4,IF(A5&lt;'Données projet'!$A$36,$K$205^A5,IF(A5='Données projet'!$A$36,'Données projet'!$B$36,N4+M5-V4)))</f>
        <v>2.599512989995624</v>
      </c>
      <c r="O5" s="13">
        <f>N5*VLOOKUP('Données projet'!$B$9,Paramètres!$A$1:$I$89,3,0)*VLOOKUP('Données projet'!$B$9,Paramètres!$A$1:$I$89,5,0)</f>
        <v>1.5545087680173832</v>
      </c>
      <c r="P5" s="13">
        <f t="shared" ref="P5:P68" si="33">EXP(-1.0587+0.8836*LN(O5)+0.284)</f>
        <v>0.6805245470436152</v>
      </c>
      <c r="Q5" s="20">
        <f t="shared" si="2"/>
        <v>3.8926830237312386</v>
      </c>
      <c r="R5" s="59">
        <f t="shared" si="0"/>
        <v>297.22601635706457</v>
      </c>
      <c r="S5" s="59">
        <f ca="1">AVERAGE(OFFSET($R$3,0,0,'Données projet'!$E$9+1,1))-AVERAGE(OFFSET($H$3,0,0,'Données projet'!$E$9+1,1))</f>
        <v>175.34314856709307</v>
      </c>
      <c r="T5" s="59">
        <f t="shared" ref="T5:T68" si="34">$T$3</f>
        <v>296.28950942251339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2.85</v>
      </c>
      <c r="AI5" s="13">
        <f>IF('Données projet'!$A$62&gt;35,AI4+AH5-AQ4,IF(A5&lt;'Données projet'!$A$62,$AF$205^A5,IF(A5='Données projet'!$A$62,'Données projet'!$B$62,AI4+AH5-AQ4)))</f>
        <v>1.4982610367903493</v>
      </c>
      <c r="AJ5" s="13">
        <f>AI5*VLOOKUP('Données projet'!$B$10,Paramètres!$A$1:$I$89,3,0)*VLOOKUP('Données projet'!$B$10,Paramètres!$A$1:$I$89,5,0)</f>
        <v>1.2621350973921903</v>
      </c>
      <c r="AK5" s="13">
        <f t="shared" ref="AK5:AK68" si="35">EXP(-1.0587+0.8836*LN(AJ5)+0.284)</f>
        <v>0.56609482974009984</v>
      </c>
      <c r="AL5" s="20">
        <f t="shared" si="4"/>
        <v>3.1841671230887383</v>
      </c>
      <c r="AM5" s="59">
        <f t="shared" si="5"/>
        <v>296.51750045642206</v>
      </c>
      <c r="AN5" s="59">
        <f ca="1">AVERAGE(OFFSET($AM$3,0,0,'Données projet'!$E$10+1,1))-AVERAGE(OFFSET($H$3,0,0,'Données projet'!$E$10+1,1))</f>
        <v>247.67539667223065</v>
      </c>
      <c r="AO5" s="59">
        <f t="shared" ref="AO5:AO68" si="36">$AO$3</f>
        <v>174.54442616983778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2.9235042735042733</v>
      </c>
      <c r="BD5" s="12">
        <f>IF('Données projet'!$A$88&gt;35,BD4+BC5-BL4,IF(A5&lt;'Données projet'!$A$88,$BA$205^A5,IF(A5='Données projet'!$A$88,'Données projet'!$B$88,BD4+BC5-BL4)))</f>
        <v>1.3475193156576519</v>
      </c>
      <c r="BE5" s="13">
        <f>BD5*VLOOKUP('Données projet'!$B$11,Paramètres!$A$1:$I$89,3,0)*VLOOKUP('Données projet'!$B$11,Paramètres!$A$1:$I$89,5,0)</f>
        <v>1.3453632847525998</v>
      </c>
      <c r="BF5" s="13">
        <f t="shared" ref="BF5:BF68" si="37">EXP(-1.0587+0.8836*LN(BE5)+0.284)</f>
        <v>0.59895571103929102</v>
      </c>
      <c r="BG5" s="20">
        <f t="shared" si="7"/>
        <v>3.3863555843375432</v>
      </c>
      <c r="BH5" s="59">
        <f t="shared" si="8"/>
        <v>296.71968891767085</v>
      </c>
      <c r="BI5" s="59">
        <f ca="1">AVERAGE(OFFSET($BH$3,0,0,'Données projet'!$E$11+1,1))-AVERAGE(OFFSET($H$3,0,0,'Données projet'!$E$11+1,1))</f>
        <v>245.06609107649069</v>
      </c>
      <c r="BJ5" s="59">
        <f t="shared" ref="BJ5:BJ68" si="38">$BJ$3</f>
        <v>156.24531945456499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0.56307116877815078</v>
      </c>
      <c r="BY5" s="12">
        <f>IF('Données projet'!$A$114&gt;35,BY4+BX5-CG4,IF(A5&lt;'Données projet'!$A$114,$BV$205^A5,IF(A5='Données projet'!$A$114,'Données projet'!$B$114,BY4+BX5-CG4)))</f>
        <v>1.4129040112633591</v>
      </c>
      <c r="BZ5" s="13">
        <f>BY5*VLOOKUP('Données projet'!$B$12,Paramètres!$A$1:$I$89,3,0)*VLOOKUP('Données projet'!$B$12,Paramètres!$A$1:$I$89,5,0)</f>
        <v>1.5428911802995882</v>
      </c>
      <c r="CA5" s="13">
        <f t="shared" ref="CA5:CA68" si="39">EXP(-1.0587+0.8836*LN(BZ5)+0.284)</f>
        <v>0.67602869850297775</v>
      </c>
      <c r="CB5" s="20">
        <f t="shared" si="10"/>
        <v>3.8646187889144685</v>
      </c>
      <c r="CC5" s="59">
        <f t="shared" si="11"/>
        <v>297.19795212224778</v>
      </c>
      <c r="CD5" s="59">
        <f ca="1">AVERAGE(OFFSET($CC$3,0,0,'Données projet'!$E$12+1,1))-AVERAGE(OFFSET($H$3,0,0,'Données projet'!$E$12+1,1))</f>
        <v>173.63857221119594</v>
      </c>
      <c r="CE5" s="59">
        <f t="shared" ref="CE5:CE68" si="40">$CE$3</f>
        <v>52.373745617370105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8.1803418803418797</v>
      </c>
      <c r="N6" s="13">
        <f>IF('Données projet'!$A$36&gt;35,N5+M6-V5,IF(A6&lt;'Données projet'!$A$36,$K$205^A6,IF(A6='Données projet'!$A$36,'Données projet'!$B$36,N5+M6-V5)))</f>
        <v>4.191196164222089</v>
      </c>
      <c r="O6" s="13">
        <f>N6*VLOOKUP('Données projet'!$B$9,Paramètres!$A$1:$I$89,3,0)*VLOOKUP('Données projet'!$B$9,Paramètres!$A$1:$I$89,5,0)</f>
        <v>2.5063353062048095</v>
      </c>
      <c r="P6" s="13">
        <f t="shared" si="33"/>
        <v>1.0378702832341971</v>
      </c>
      <c r="Q6" s="20">
        <f t="shared" si="2"/>
        <v>6.1728247349396028</v>
      </c>
      <c r="R6" s="59">
        <f t="shared" si="0"/>
        <v>299.5061580682729</v>
      </c>
      <c r="S6" s="59">
        <f ca="1">AVERAGE(OFFSET($R$3,0,0,'Données projet'!$E$9+1,1))-AVERAGE(OFFSET($H$3,0,0,'Données projet'!$E$9+1,1))</f>
        <v>175.34314856709307</v>
      </c>
      <c r="T6" s="59">
        <f t="shared" si="34"/>
        <v>296.28950942251339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2.85</v>
      </c>
      <c r="AI6" s="13">
        <f>IF('Données projet'!$A$62&gt;35,AI5+AH6-AQ5,IF(A6&lt;'Données projet'!$A$62,$AF$205^A6,IF(A6='Données projet'!$A$62,'Données projet'!$B$62,AI5+AH6-AQ5)))</f>
        <v>1.8339235537625185</v>
      </c>
      <c r="AJ6" s="13">
        <f>AI6*VLOOKUP('Données projet'!$B$10,Paramètres!$A$1:$I$89,3,0)*VLOOKUP('Données projet'!$B$10,Paramètres!$A$1:$I$89,5,0)</f>
        <v>1.5448972016895457</v>
      </c>
      <c r="AK6" s="13">
        <f t="shared" si="35"/>
        <v>0.67680528217432823</v>
      </c>
      <c r="AL6" s="20">
        <f t="shared" si="4"/>
        <v>3.8694651593962472</v>
      </c>
      <c r="AM6" s="59">
        <f t="shared" si="5"/>
        <v>297.20279849272958</v>
      </c>
      <c r="AN6" s="59">
        <f ca="1">AVERAGE(OFFSET($AM$3,0,0,'Données projet'!$E$10+1,1))-AVERAGE(OFFSET($H$3,0,0,'Données projet'!$E$10+1,1))</f>
        <v>247.67539667223065</v>
      </c>
      <c r="AO6" s="59">
        <f t="shared" si="36"/>
        <v>174.54442616983778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2.9235042735042733</v>
      </c>
      <c r="BD6" s="12">
        <f>IF('Données projet'!$A$88&gt;35,BD5+BC6-BL5,IF(A6&lt;'Données projet'!$A$88,$BA$205^A6,IF(A6='Données projet'!$A$88,'Données projet'!$B$88,BD5+BC6-BL5)))</f>
        <v>1.5642367998361231</v>
      </c>
      <c r="BE6" s="13">
        <f>BD6*VLOOKUP('Données projet'!$B$11,Paramètres!$A$1:$I$89,3,0)*VLOOKUP('Données projet'!$B$11,Paramètres!$A$1:$I$89,5,0)</f>
        <v>1.5617340209563855</v>
      </c>
      <c r="BF6" s="13">
        <f t="shared" si="37"/>
        <v>0.68331864795954822</v>
      </c>
      <c r="BG6" s="20">
        <f t="shared" si="7"/>
        <v>3.9101333983619173</v>
      </c>
      <c r="BH6" s="59">
        <f t="shared" si="8"/>
        <v>297.24346673169521</v>
      </c>
      <c r="BI6" s="59">
        <f ca="1">AVERAGE(OFFSET($BH$3,0,0,'Données projet'!$E$11+1,1))-AVERAGE(OFFSET($H$3,0,0,'Données projet'!$E$11+1,1))</f>
        <v>245.06609107649069</v>
      </c>
      <c r="BJ6" s="59">
        <f t="shared" si="38"/>
        <v>156.24531945456499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0.56307116877815078</v>
      </c>
      <c r="BY6" s="12">
        <f>IF('Données projet'!$A$114&gt;35,BY5+BX6-CG5,IF(A6&lt;'Données projet'!$A$114,$BV$205^A6,IF(A6='Données projet'!$A$114,'Données projet'!$B$114,BY5+BX6-CG5)))</f>
        <v>1.6794573801227566</v>
      </c>
      <c r="BZ6" s="13">
        <f>BY6*VLOOKUP('Données projet'!$B$12,Paramètres!$A$1:$I$89,3,0)*VLOOKUP('Données projet'!$B$12,Paramètres!$A$1:$I$89,5,0)</f>
        <v>1.8339674590940502</v>
      </c>
      <c r="CA6" s="13">
        <f t="shared" si="39"/>
        <v>0.78756227562408065</v>
      </c>
      <c r="CB6" s="20">
        <f t="shared" si="10"/>
        <v>4.5658309546340776</v>
      </c>
      <c r="CC6" s="59">
        <f t="shared" si="11"/>
        <v>297.89916428796738</v>
      </c>
      <c r="CD6" s="59">
        <f ca="1">AVERAGE(OFFSET($CC$3,0,0,'Données projet'!$E$12+1,1))-AVERAGE(OFFSET($H$3,0,0,'Données projet'!$E$12+1,1))</f>
        <v>173.63857221119594</v>
      </c>
      <c r="CE6" s="59">
        <f t="shared" si="40"/>
        <v>52.373745617370105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8.1803418803418797</v>
      </c>
      <c r="N7" s="13">
        <f>IF('Données projet'!$A$36&gt;35,N6+M7-V6,IF(A7&lt;'Données projet'!$A$36,$K$205^A7,IF(A7='Données projet'!$A$36,'Données projet'!$B$36,N6+M7-V6)))</f>
        <v>6.7574677851559892</v>
      </c>
      <c r="O7" s="13">
        <f>N7*VLOOKUP('Données projet'!$B$9,Paramètres!$A$1:$I$89,3,0)*VLOOKUP('Données projet'!$B$9,Paramètres!$A$1:$I$89,5,0)</f>
        <v>4.0409657355232813</v>
      </c>
      <c r="P7" s="13">
        <f t="shared" si="33"/>
        <v>1.5828594714182962</v>
      </c>
      <c r="Q7" s="20">
        <f t="shared" si="2"/>
        <v>9.7948289020899146</v>
      </c>
      <c r="R7" s="59">
        <f t="shared" si="0"/>
        <v>303.12816223542325</v>
      </c>
      <c r="S7" s="59">
        <f ca="1">AVERAGE(OFFSET($R$3,0,0,'Données projet'!$E$9+1,1))-AVERAGE(OFFSET($H$3,0,0,'Données projet'!$E$9+1,1))</f>
        <v>175.34314856709307</v>
      </c>
      <c r="T7" s="59">
        <f t="shared" si="34"/>
        <v>296.28950942251339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2.85</v>
      </c>
      <c r="AI7" s="13">
        <f>IF('Données projet'!$A$62&gt;35,AI6+AH7-AQ6,IF(A7&lt;'Données projet'!$A$62,$AF$205^A7,IF(A7='Données projet'!$A$62,'Données projet'!$B$62,AI6+AH7-AQ6)))</f>
        <v>2.2447861343640922</v>
      </c>
      <c r="AJ7" s="13">
        <f>AI7*VLOOKUP('Données projet'!$B$10,Paramètres!$A$1:$I$89,3,0)*VLOOKUP('Données projet'!$B$10,Paramètres!$A$1:$I$89,5,0)</f>
        <v>1.8910078395883116</v>
      </c>
      <c r="AK7" s="13">
        <f t="shared" si="35"/>
        <v>0.80916723826885117</v>
      </c>
      <c r="AL7" s="20">
        <f t="shared" si="4"/>
        <v>4.7028049272678913</v>
      </c>
      <c r="AM7" s="59">
        <f t="shared" si="5"/>
        <v>298.03613826060121</v>
      </c>
      <c r="AN7" s="59">
        <f ca="1">AVERAGE(OFFSET($AM$3,0,0,'Données projet'!$E$10+1,1))-AVERAGE(OFFSET($H$3,0,0,'Données projet'!$E$10+1,1))</f>
        <v>247.67539667223065</v>
      </c>
      <c r="AO7" s="59">
        <f t="shared" si="36"/>
        <v>174.54442616983778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2.9235042735042733</v>
      </c>
      <c r="BD7" s="12">
        <f>IF('Données projet'!$A$88&gt;35,BD6+BC7-BL6,IF(A7&lt;'Données projet'!$A$88,$BA$205^A7,IF(A7='Données projet'!$A$88,'Données projet'!$B$88,BD6+BC7-BL6)))</f>
        <v>1.8158083060704666</v>
      </c>
      <c r="BE7" s="13">
        <f>BD7*VLOOKUP('Données projet'!$B$11,Paramètres!$A$1:$I$89,3,0)*VLOOKUP('Données projet'!$B$11,Paramètres!$A$1:$I$89,5,0)</f>
        <v>1.8129030127807539</v>
      </c>
      <c r="BF7" s="13">
        <f t="shared" si="37"/>
        <v>0.77956410806914422</v>
      </c>
      <c r="BG7" s="20">
        <f t="shared" si="7"/>
        <v>4.5152135688135724</v>
      </c>
      <c r="BH7" s="59">
        <f t="shared" si="8"/>
        <v>297.84854690214689</v>
      </c>
      <c r="BI7" s="59">
        <f ca="1">AVERAGE(OFFSET($BH$3,0,0,'Données projet'!$E$11+1,1))-AVERAGE(OFFSET($H$3,0,0,'Données projet'!$E$11+1,1))</f>
        <v>245.06609107649069</v>
      </c>
      <c r="BJ7" s="59">
        <f t="shared" si="38"/>
        <v>156.24531945456499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0.56307116877815078</v>
      </c>
      <c r="BY7" s="12">
        <f>IF('Données projet'!$A$114&gt;35,BY6+BX7-CG6,IF(A7&lt;'Données projet'!$A$114,$BV$205^A7,IF(A7='Données projet'!$A$114,'Données projet'!$B$114,BY6+BX7-CG6)))</f>
        <v>1.9962977450440904</v>
      </c>
      <c r="BZ7" s="13">
        <f>BY7*VLOOKUP('Données projet'!$B$12,Paramètres!$A$1:$I$89,3,0)*VLOOKUP('Données projet'!$B$12,Paramètres!$A$1:$I$89,5,0)</f>
        <v>2.179957137588147</v>
      </c>
      <c r="CA7" s="13">
        <f t="shared" si="39"/>
        <v>0.9174970520625737</v>
      </c>
      <c r="CB7" s="20">
        <f t="shared" si="10"/>
        <v>5.3947327136416723</v>
      </c>
      <c r="CC7" s="59">
        <f t="shared" si="11"/>
        <v>298.72806604697496</v>
      </c>
      <c r="CD7" s="59">
        <f ca="1">AVERAGE(OFFSET($CC$3,0,0,'Données projet'!$E$12+1,1))-AVERAGE(OFFSET($H$3,0,0,'Données projet'!$E$12+1,1))</f>
        <v>173.63857221119594</v>
      </c>
      <c r="CE7" s="59">
        <f t="shared" si="40"/>
        <v>52.373745617370105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8.1803418803418797</v>
      </c>
      <c r="N8" s="13">
        <f>IF('Données projet'!$A$36&gt;35,N7+M8-V7,IF(A8&lt;'Données projet'!$A$36,$K$205^A8,IF(A8='Données projet'!$A$36,'Données projet'!$B$36,N7+M8-V7)))</f>
        <v>10.895068872515154</v>
      </c>
      <c r="O8" s="13">
        <f>N8*VLOOKUP('Données projet'!$B$9,Paramètres!$A$1:$I$89,3,0)*VLOOKUP('Données projet'!$B$9,Paramètres!$A$1:$I$89,5,0)</f>
        <v>6.5152511857640629</v>
      </c>
      <c r="P8" s="13">
        <f t="shared" si="33"/>
        <v>2.414024321470289</v>
      </c>
      <c r="Q8" s="20">
        <f t="shared" si="2"/>
        <v>15.551821508433163</v>
      </c>
      <c r="R8" s="59">
        <f t="shared" si="0"/>
        <v>308.88515484176645</v>
      </c>
      <c r="S8" s="59">
        <f ca="1">AVERAGE(OFFSET($R$3,0,0,'Données projet'!$E$9+1,1))-AVERAGE(OFFSET($H$3,0,0,'Données projet'!$E$9+1,1))</f>
        <v>175.34314856709307</v>
      </c>
      <c r="T8" s="59">
        <f t="shared" si="34"/>
        <v>296.28950942251339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2.85</v>
      </c>
      <c r="AI8" s="13">
        <f>IF('Données projet'!$A$62&gt;35,AI7+AH8-AQ7,IF(A8&lt;'Données projet'!$A$62,$AF$205^A8,IF(A8='Données projet'!$A$62,'Données projet'!$B$62,AI7+AH8-AQ7)))</f>
        <v>2.7476962050544729</v>
      </c>
      <c r="AJ8" s="13">
        <f>AI8*VLOOKUP('Données projet'!$B$10,Paramètres!$A$1:$I$89,3,0)*VLOOKUP('Données projet'!$B$10,Paramètres!$A$1:$I$89,5,0)</f>
        <v>2.314659283137888</v>
      </c>
      <c r="AK8" s="13">
        <f t="shared" si="35"/>
        <v>0.96741505530831817</v>
      </c>
      <c r="AL8" s="20">
        <f t="shared" si="4"/>
        <v>5.7162794727938087</v>
      </c>
      <c r="AM8" s="59">
        <f t="shared" si="5"/>
        <v>299.04961280612713</v>
      </c>
      <c r="AN8" s="59">
        <f ca="1">AVERAGE(OFFSET($AM$3,0,0,'Données projet'!$E$10+1,1))-AVERAGE(OFFSET($H$3,0,0,'Données projet'!$E$10+1,1))</f>
        <v>247.67539667223065</v>
      </c>
      <c r="AO8" s="59">
        <f t="shared" si="36"/>
        <v>174.54442616983778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2.9235042735042733</v>
      </c>
      <c r="BD8" s="12">
        <f>IF('Données projet'!$A$88&gt;35,BD7+BC8-BL7,IF(A8&lt;'Données projet'!$A$88,$BA$205^A8,IF(A8='Données projet'!$A$88,'Données projet'!$B$88,BD7+BC8-BL7)))</f>
        <v>2.1078393020416879</v>
      </c>
      <c r="BE8" s="13">
        <f>BD8*VLOOKUP('Données projet'!$B$11,Paramètres!$A$1:$I$89,3,0)*VLOOKUP('Données projet'!$B$11,Paramètres!$A$1:$I$89,5,0)</f>
        <v>2.1044667591584214</v>
      </c>
      <c r="BF8" s="13">
        <f t="shared" si="37"/>
        <v>0.88936574525567014</v>
      </c>
      <c r="BG8" s="20">
        <f t="shared" si="7"/>
        <v>5.2142582785212097</v>
      </c>
      <c r="BH8" s="59">
        <f t="shared" si="8"/>
        <v>298.5475916118545</v>
      </c>
      <c r="BI8" s="59">
        <f ca="1">AVERAGE(OFFSET($BH$3,0,0,'Données projet'!$E$11+1,1))-AVERAGE(OFFSET($H$3,0,0,'Données projet'!$E$11+1,1))</f>
        <v>245.06609107649069</v>
      </c>
      <c r="BJ8" s="59">
        <f t="shared" si="38"/>
        <v>156.24531945456499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0.56307116877815078</v>
      </c>
      <c r="BY8" s="12">
        <f>IF('Données projet'!$A$114&gt;35,BY7+BX8-CG7,IF(A8&lt;'Données projet'!$A$114,$BV$205^A8,IF(A8='Données projet'!$A$114,'Données projet'!$B$114,BY7+BX8-CG7)))</f>
        <v>2.3729120691212948</v>
      </c>
      <c r="BZ8" s="13">
        <f>BY8*VLOOKUP('Données projet'!$B$12,Paramètres!$A$1:$I$89,3,0)*VLOOKUP('Données projet'!$B$12,Paramètres!$A$1:$I$89,5,0)</f>
        <v>2.5912199794804538</v>
      </c>
      <c r="CA8" s="13">
        <f t="shared" si="39"/>
        <v>1.0688689219864578</v>
      </c>
      <c r="CB8" s="20">
        <f t="shared" si="10"/>
        <v>6.374654836721537</v>
      </c>
      <c r="CC8" s="59">
        <f t="shared" si="11"/>
        <v>299.70798817005488</v>
      </c>
      <c r="CD8" s="59">
        <f ca="1">AVERAGE(OFFSET($CC$3,0,0,'Données projet'!$E$12+1,1))-AVERAGE(OFFSET($H$3,0,0,'Données projet'!$E$12+1,1))</f>
        <v>173.63857221119594</v>
      </c>
      <c r="CE8" s="59">
        <f t="shared" si="40"/>
        <v>52.373745617370105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8.1803418803418797</v>
      </c>
      <c r="N9" s="13">
        <f>IF('Données projet'!$A$36&gt;35,N8+M9-V8,IF(A9&lt;'Données projet'!$A$36,$K$205^A9,IF(A9='Données projet'!$A$36,'Données projet'!$B$36,N8+M9-V8)))</f>
        <v>17.566125286989951</v>
      </c>
      <c r="O9" s="13">
        <f>N9*VLOOKUP('Données projet'!$B$9,Paramètres!$A$1:$I$89,3,0)*VLOOKUP('Données projet'!$B$9,Paramètres!$A$1:$I$89,5,0)</f>
        <v>10.504542921619992</v>
      </c>
      <c r="P9" s="13">
        <f t="shared" si="33"/>
        <v>3.6816366391821469</v>
      </c>
      <c r="Q9" s="20">
        <f t="shared" si="2"/>
        <v>24.707596068397056</v>
      </c>
      <c r="R9" s="59">
        <f t="shared" si="0"/>
        <v>318.04092940173035</v>
      </c>
      <c r="S9" s="59">
        <f ca="1">AVERAGE(OFFSET($R$3,0,0,'Données projet'!$E$9+1,1))-AVERAGE(OFFSET($H$3,0,0,'Données projet'!$E$9+1,1))</f>
        <v>175.34314856709307</v>
      </c>
      <c r="T9" s="59">
        <f t="shared" si="34"/>
        <v>296.28950942251339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2.85</v>
      </c>
      <c r="AI9" s="13">
        <f>IF('Données projet'!$A$62&gt;35,AI8+AH9-AQ8,IF(A9&lt;'Données projet'!$A$62,$AF$205^A9,IF(A9='Données projet'!$A$62,'Données projet'!$B$62,AI8+AH9-AQ8)))</f>
        <v>3.3632756010449452</v>
      </c>
      <c r="AJ9" s="13">
        <f>AI9*VLOOKUP('Données projet'!$B$10,Paramètres!$A$1:$I$89,3,0)*VLOOKUP('Données projet'!$B$10,Paramètres!$A$1:$I$89,5,0)</f>
        <v>2.8332233663202619</v>
      </c>
      <c r="AK9" s="13">
        <f t="shared" si="35"/>
        <v>1.1566111984952114</v>
      </c>
      <c r="AL9" s="20">
        <f t="shared" si="4"/>
        <v>6.9489618670536162</v>
      </c>
      <c r="AM9" s="59">
        <f t="shared" si="5"/>
        <v>300.28229520038695</v>
      </c>
      <c r="AN9" s="59">
        <f ca="1">AVERAGE(OFFSET($AM$3,0,0,'Données projet'!$E$10+1,1))-AVERAGE(OFFSET($H$3,0,0,'Données projet'!$E$10+1,1))</f>
        <v>247.67539667223065</v>
      </c>
      <c r="AO9" s="59">
        <f t="shared" si="36"/>
        <v>174.54442616983778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2.9235042735042733</v>
      </c>
      <c r="BD9" s="12">
        <f>IF('Données projet'!$A$88&gt;35,BD8+BC9-BL8,IF(A9&lt;'Données projet'!$A$88,$BA$205^A9,IF(A9='Données projet'!$A$88,'Données projet'!$B$88,BD8+BC9-BL8)))</f>
        <v>2.4468367659615553</v>
      </c>
      <c r="BE9" s="13">
        <f>BD9*VLOOKUP('Données projet'!$B$11,Paramètres!$A$1:$I$89,3,0)*VLOOKUP('Données projet'!$B$11,Paramètres!$A$1:$I$89,5,0)</f>
        <v>2.4429218271360171</v>
      </c>
      <c r="BF9" s="13">
        <f t="shared" si="37"/>
        <v>1.0146329476266978</v>
      </c>
      <c r="BG9" s="20">
        <f t="shared" si="7"/>
        <v>6.0219078993783954</v>
      </c>
      <c r="BH9" s="59">
        <f t="shared" si="8"/>
        <v>299.35524123271171</v>
      </c>
      <c r="BI9" s="59">
        <f ca="1">AVERAGE(OFFSET($BH$3,0,0,'Données projet'!$E$11+1,1))-AVERAGE(OFFSET($H$3,0,0,'Données projet'!$E$11+1,1))</f>
        <v>245.06609107649069</v>
      </c>
      <c r="BJ9" s="59">
        <f t="shared" si="38"/>
        <v>156.24531945456499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0.56307116877815078</v>
      </c>
      <c r="BY9" s="12">
        <f>IF('Données projet'!$A$114&gt;35,BY8+BX9-CG8,IF(A9&lt;'Données projet'!$A$114,$BV$205^A9,IF(A9='Données projet'!$A$114,'Données projet'!$B$114,BY8+BX9-CG8)))</f>
        <v>2.820577091648794</v>
      </c>
      <c r="BZ9" s="13">
        <f>BY9*VLOOKUP('Données projet'!$B$12,Paramètres!$A$1:$I$89,3,0)*VLOOKUP('Données projet'!$B$12,Paramètres!$A$1:$I$89,5,0)</f>
        <v>3.0800701840804829</v>
      </c>
      <c r="CA9" s="13">
        <f t="shared" si="39"/>
        <v>1.2452146519927734</v>
      </c>
      <c r="CB9" s="20">
        <f t="shared" si="10"/>
        <v>7.5332044228275885</v>
      </c>
      <c r="CC9" s="59">
        <f t="shared" si="11"/>
        <v>300.86653775616088</v>
      </c>
      <c r="CD9" s="59">
        <f ca="1">AVERAGE(OFFSET($CC$3,0,0,'Données projet'!$E$12+1,1))-AVERAGE(OFFSET($H$3,0,0,'Données projet'!$E$12+1,1))</f>
        <v>173.63857221119594</v>
      </c>
      <c r="CE9" s="59">
        <f t="shared" si="40"/>
        <v>52.373745617370105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8.1803418803418797</v>
      </c>
      <c r="N10" s="13">
        <f>IF('Données projet'!$A$36&gt;35,N9+M10-V9,IF(A10&lt;'Données projet'!$A$36,$K$205^A10,IF(A10='Données projet'!$A$36,'Données projet'!$B$36,N9+M10-V9)))</f>
        <v>28.321873061000119</v>
      </c>
      <c r="O10" s="13">
        <f>N10*VLOOKUP('Données projet'!$B$9,Paramètres!$A$1:$I$89,3,0)*VLOOKUP('Données projet'!$B$9,Paramètres!$A$1:$I$89,5,0)</f>
        <v>16.936480090478071</v>
      </c>
      <c r="P10" s="13">
        <f t="shared" si="33"/>
        <v>5.6148764626832461</v>
      </c>
      <c r="Q10" s="20">
        <f t="shared" si="2"/>
        <v>39.276945996755963</v>
      </c>
      <c r="R10" s="59">
        <f t="shared" si="0"/>
        <v>332.61027933008927</v>
      </c>
      <c r="S10" s="59">
        <f ca="1">AVERAGE(OFFSET($R$3,0,0,'Données projet'!$E$9+1,1))-AVERAGE(OFFSET($H$3,0,0,'Données projet'!$E$9+1,1))</f>
        <v>175.34314856709307</v>
      </c>
      <c r="T10" s="59">
        <f t="shared" si="34"/>
        <v>296.28950942251339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2.85</v>
      </c>
      <c r="AI10" s="13">
        <f>IF('Données projet'!$A$62&gt;35,AI9+AH10-AQ9,IF(A10&lt;'Données projet'!$A$62,$AF$205^A10,IF(A10='Données projet'!$A$62,'Données projet'!$B$62,AI9+AH10-AQ9)))</f>
        <v>4.116766164969822</v>
      </c>
      <c r="AJ10" s="13">
        <f>AI10*VLOOKUP('Données projet'!$B$10,Paramètres!$A$1:$I$89,3,0)*VLOOKUP('Données projet'!$B$10,Paramètres!$A$1:$I$89,5,0)</f>
        <v>3.467963817370578</v>
      </c>
      <c r="AK10" s="13">
        <f t="shared" si="35"/>
        <v>1.3828081929717175</v>
      </c>
      <c r="AL10" s="20">
        <f t="shared" si="4"/>
        <v>8.4484279180128308</v>
      </c>
      <c r="AM10" s="59">
        <f t="shared" si="5"/>
        <v>301.78176125134615</v>
      </c>
      <c r="AN10" s="59">
        <f ca="1">AVERAGE(OFFSET($AM$3,0,0,'Données projet'!$E$10+1,1))-AVERAGE(OFFSET($H$3,0,0,'Données projet'!$E$10+1,1))</f>
        <v>247.67539667223065</v>
      </c>
      <c r="AO10" s="59">
        <f t="shared" si="36"/>
        <v>174.54442616983778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2.9235042735042733</v>
      </c>
      <c r="BD10" s="12">
        <f>IF('Données projet'!$A$88&gt;35,BD9+BC10-BL9,IF(A10&lt;'Données projet'!$A$88,$BA$205^A10,IF(A10='Données projet'!$A$88,'Données projet'!$B$88,BD9+BC10-BL9)))</f>
        <v>2.8403541738035183</v>
      </c>
      <c r="BE10" s="13">
        <f>BD10*VLOOKUP('Données projet'!$B$11,Paramètres!$A$1:$I$89,3,0)*VLOOKUP('Données projet'!$B$11,Paramètres!$A$1:$I$89,5,0)</f>
        <v>2.8358096071254328</v>
      </c>
      <c r="BF10" s="13">
        <f t="shared" si="37"/>
        <v>1.1575440406845126</v>
      </c>
      <c r="BG10" s="20">
        <f t="shared" si="7"/>
        <v>6.9550909366023212</v>
      </c>
      <c r="BH10" s="59">
        <f t="shared" si="8"/>
        <v>300.28842426993566</v>
      </c>
      <c r="BI10" s="59">
        <f ca="1">AVERAGE(OFFSET($BH$3,0,0,'Données projet'!$E$11+1,1))-AVERAGE(OFFSET($H$3,0,0,'Données projet'!$E$11+1,1))</f>
        <v>245.06609107649069</v>
      </c>
      <c r="BJ10" s="59">
        <f t="shared" si="38"/>
        <v>156.24531945456499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0.56307116877815078</v>
      </c>
      <c r="BY10" s="12">
        <f>IF('Données projet'!$A$114&gt;35,BY9+BX10-CG9,IF(A10&lt;'Données projet'!$A$114,$BV$205^A10,IF(A10='Données projet'!$A$114,'Données projet'!$B$114,BY9+BX10-CG9)))</f>
        <v>3.3526969808367149</v>
      </c>
      <c r="BZ10" s="13">
        <f>BY10*VLOOKUP('Données projet'!$B$12,Paramètres!$A$1:$I$89,3,0)*VLOOKUP('Données projet'!$B$12,Paramètres!$A$1:$I$89,5,0)</f>
        <v>3.6611451030736921</v>
      </c>
      <c r="CA10" s="13">
        <f t="shared" si="39"/>
        <v>1.4506545167912814</v>
      </c>
      <c r="CB10" s="20">
        <f t="shared" si="10"/>
        <v>8.9030510045981615</v>
      </c>
      <c r="CC10" s="59">
        <f t="shared" si="11"/>
        <v>302.2363843379315</v>
      </c>
      <c r="CD10" s="59">
        <f ca="1">AVERAGE(OFFSET($CC$3,0,0,'Données projet'!$E$12+1,1))-AVERAGE(OFFSET($H$3,0,0,'Données projet'!$E$12+1,1))</f>
        <v>173.63857221119594</v>
      </c>
      <c r="CE10" s="59">
        <f t="shared" si="40"/>
        <v>52.373745617370105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8.1803418803418797</v>
      </c>
      <c r="N11" s="13">
        <f>IF('Données projet'!$A$36&gt;35,N10+M11-V10,IF(A11&lt;'Données projet'!$A$36,$K$205^A11,IF(A11='Données projet'!$A$36,'Données projet'!$B$36,N10+M11-V10)))</f>
        <v>45.663370867420987</v>
      </c>
      <c r="O11" s="13">
        <f>N11*VLOOKUP('Données projet'!$B$9,Paramètres!$A$1:$I$89,3,0)*VLOOKUP('Données projet'!$B$9,Paramètres!$A$1:$I$89,5,0)</f>
        <v>27.306695778717749</v>
      </c>
      <c r="P11" s="13">
        <f t="shared" si="33"/>
        <v>8.5632670415290626</v>
      </c>
      <c r="Q11" s="20">
        <f t="shared" si="2"/>
        <v>62.473518578596526</v>
      </c>
      <c r="R11" s="59">
        <f t="shared" si="0"/>
        <v>355.80685191192981</v>
      </c>
      <c r="S11" s="59">
        <f ca="1">AVERAGE(OFFSET($R$3,0,0,'Données projet'!$E$9+1,1))-AVERAGE(OFFSET($H$3,0,0,'Données projet'!$E$9+1,1))</f>
        <v>175.34314856709307</v>
      </c>
      <c r="T11" s="59">
        <f t="shared" si="34"/>
        <v>296.28950942251339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2.85</v>
      </c>
      <c r="AI11" s="13">
        <f>IF('Données projet'!$A$62&gt;35,AI10+AH11-AQ10,IF(A11&lt;'Données projet'!$A$62,$AF$205^A11,IF(A11='Données projet'!$A$62,'Données projet'!$B$62,AI10+AH11-AQ10)))</f>
        <v>5.0390647890332847</v>
      </c>
      <c r="AJ11" s="13">
        <f>AI11*VLOOKUP('Données projet'!$B$10,Paramètres!$A$1:$I$89,3,0)*VLOOKUP('Données projet'!$B$10,Paramètres!$A$1:$I$89,5,0)</f>
        <v>4.2449081782816389</v>
      </c>
      <c r="AK11" s="13">
        <f t="shared" si="35"/>
        <v>1.6532422485944174</v>
      </c>
      <c r="AL11" s="20">
        <f t="shared" si="4"/>
        <v>10.272611993475797</v>
      </c>
      <c r="AM11" s="59">
        <f t="shared" si="5"/>
        <v>303.60594532680909</v>
      </c>
      <c r="AN11" s="59">
        <f ca="1">AVERAGE(OFFSET($AM$3,0,0,'Données projet'!$E$10+1,1))-AVERAGE(OFFSET($H$3,0,0,'Données projet'!$E$10+1,1))</f>
        <v>247.67539667223065</v>
      </c>
      <c r="AO11" s="59">
        <f t="shared" si="36"/>
        <v>174.54442616983778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2.9235042735042733</v>
      </c>
      <c r="BD11" s="12">
        <f>IF('Données projet'!$A$88&gt;35,BD10+BC11-BL10,IF(A11&lt;'Données projet'!$A$88,$BA$205^A11,IF(A11='Données projet'!$A$88,'Données projet'!$B$88,BD10+BC11-BL10)))</f>
        <v>3.2971598043944974</v>
      </c>
      <c r="BE11" s="13">
        <f>BD11*VLOOKUP('Données projet'!$B$11,Paramètres!$A$1:$I$89,3,0)*VLOOKUP('Données projet'!$B$11,Paramètres!$A$1:$I$89,5,0)</f>
        <v>3.2918843487074665</v>
      </c>
      <c r="BF11" s="13">
        <f t="shared" si="37"/>
        <v>1.3205841671693925</v>
      </c>
      <c r="BG11" s="20">
        <f t="shared" si="7"/>
        <v>8.033382665152196</v>
      </c>
      <c r="BH11" s="59">
        <f t="shared" si="8"/>
        <v>301.36671599848552</v>
      </c>
      <c r="BI11" s="59">
        <f ca="1">AVERAGE(OFFSET($BH$3,0,0,'Données projet'!$E$11+1,1))-AVERAGE(OFFSET($H$3,0,0,'Données projet'!$E$11+1,1))</f>
        <v>245.06609107649069</v>
      </c>
      <c r="BJ11" s="59">
        <f t="shared" si="38"/>
        <v>156.24531945456499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0.56307116877815078</v>
      </c>
      <c r="BY11" s="12">
        <f>IF('Données projet'!$A$114&gt;35,BY10+BX11-CG10,IF(A11&lt;'Données projet'!$A$114,$BV$205^A11,IF(A11='Données projet'!$A$114,'Données projet'!$B$114,BY10+BX11-CG10)))</f>
        <v>3.9852046868681201</v>
      </c>
      <c r="BZ11" s="13">
        <f>BY11*VLOOKUP('Données projet'!$B$12,Paramètres!$A$1:$I$89,3,0)*VLOOKUP('Données projet'!$B$12,Paramètres!$A$1:$I$89,5,0)</f>
        <v>4.3518435180599875</v>
      </c>
      <c r="CA11" s="13">
        <f t="shared" si="39"/>
        <v>1.6899885684120266</v>
      </c>
      <c r="CB11" s="20">
        <f t="shared" si="10"/>
        <v>10.522857550605424</v>
      </c>
      <c r="CC11" s="59">
        <f t="shared" si="11"/>
        <v>303.85619088393872</v>
      </c>
      <c r="CD11" s="59">
        <f ca="1">AVERAGE(OFFSET($CC$3,0,0,'Données projet'!$E$12+1,1))-AVERAGE(OFFSET($H$3,0,0,'Données projet'!$E$12+1,1))</f>
        <v>173.63857221119594</v>
      </c>
      <c r="CE11" s="59">
        <f t="shared" si="40"/>
        <v>52.373745617370105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>
        <f>VLOOKUP(A12,'Données projet'!$A$35:$I$55,2,0)</f>
        <v>73.623076923076923</v>
      </c>
      <c r="L12" s="12">
        <f>VLOOKUP(A12,'Données projet'!$A$35:$I$55,9,0)</f>
        <v>8.1803418803418797</v>
      </c>
      <c r="M12" s="12">
        <f t="array" ref="M12">INDEX(L:L,MIN(IF(ISNUMBER(L12:L208),ROW(L12:L208),"")))</f>
        <v>8.1803418803418797</v>
      </c>
      <c r="N12" s="13">
        <f>IF('Données projet'!$A$36&gt;35,N11+M12-V11,IF(A12&lt;'Données projet'!$A$36,$K$205^A12,IF(A12='Données projet'!$A$36,'Données projet'!$B$36,N11+M12-V11)))</f>
        <v>73.623076923076923</v>
      </c>
      <c r="O12" s="13">
        <f>N12*VLOOKUP('Données projet'!$B$9,Paramètres!$A$1:$I$89,3,0)*VLOOKUP('Données projet'!$B$9,Paramètres!$A$1:$I$89,5,0)</f>
        <v>44.026600000000002</v>
      </c>
      <c r="P12" s="13">
        <f t="shared" si="33"/>
        <v>13.059867463138286</v>
      </c>
      <c r="Q12" s="20">
        <f t="shared" si="2"/>
        <v>99.425597498299183</v>
      </c>
      <c r="R12" s="59">
        <f t="shared" si="0"/>
        <v>392.75893083163248</v>
      </c>
      <c r="S12" s="59">
        <f ca="1">AVERAGE(OFFSET($R$3,0,0,'Données projet'!$E$9+1,1))-AVERAGE(OFFSET($H$3,0,0,'Données projet'!$E$9+1,1))</f>
        <v>175.34314856709307</v>
      </c>
      <c r="T12" s="59">
        <f t="shared" si="34"/>
        <v>296.28950942251339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2.85</v>
      </c>
      <c r="AI12" s="13">
        <f>IF('Données projet'!$A$62&gt;35,AI11+AH12-AQ11,IF(A12&lt;'Données projet'!$A$62,$AF$205^A12,IF(A12='Données projet'!$A$62,'Données projet'!$B$62,AI11+AH12-AQ11)))</f>
        <v>6.167990342551116</v>
      </c>
      <c r="AJ12" s="13">
        <f>AI12*VLOOKUP('Données projet'!$B$10,Paramètres!$A$1:$I$89,3,0)*VLOOKUP('Données projet'!$B$10,Paramètres!$A$1:$I$89,5,0)</f>
        <v>5.1959150645650602</v>
      </c>
      <c r="AK12" s="13">
        <f t="shared" si="35"/>
        <v>1.9765647516621458</v>
      </c>
      <c r="AL12" s="20">
        <f t="shared" si="4"/>
        <v>12.492069013262382</v>
      </c>
      <c r="AM12" s="59">
        <f t="shared" si="5"/>
        <v>305.82540234659569</v>
      </c>
      <c r="AN12" s="59">
        <f ca="1">AVERAGE(OFFSET($AM$3,0,0,'Données projet'!$E$10+1,1))-AVERAGE(OFFSET($H$3,0,0,'Données projet'!$E$10+1,1))</f>
        <v>247.67539667223065</v>
      </c>
      <c r="AO12" s="59">
        <f t="shared" si="36"/>
        <v>174.54442616983778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2.9235042735042733</v>
      </c>
      <c r="BD12" s="12">
        <f>IF('Données projet'!$A$88&gt;35,BD11+BC12-BL11,IF(A12&lt;'Données projet'!$A$88,$BA$205^A12,IF(A12='Données projet'!$A$88,'Données projet'!$B$88,BD11+BC12-BL11)))</f>
        <v>3.8274321125090722</v>
      </c>
      <c r="BE12" s="13">
        <f>BD12*VLOOKUP('Données projet'!$B$11,Paramètres!$A$1:$I$89,3,0)*VLOOKUP('Données projet'!$B$11,Paramètres!$A$1:$I$89,5,0)</f>
        <v>3.8213082211290579</v>
      </c>
      <c r="BF12" s="13">
        <f t="shared" si="37"/>
        <v>1.5065885022803964</v>
      </c>
      <c r="BG12" s="20">
        <f t="shared" si="7"/>
        <v>9.2794201266047978</v>
      </c>
      <c r="BH12" s="59">
        <f t="shared" si="8"/>
        <v>302.61275345993812</v>
      </c>
      <c r="BI12" s="59">
        <f ca="1">AVERAGE(OFFSET($BH$3,0,0,'Données projet'!$E$11+1,1))-AVERAGE(OFFSET($H$3,0,0,'Données projet'!$E$11+1,1))</f>
        <v>245.06609107649069</v>
      </c>
      <c r="BJ12" s="59">
        <f t="shared" si="38"/>
        <v>156.24531945456499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0.56307116877815078</v>
      </c>
      <c r="BY12" s="12">
        <f>IF('Données projet'!$A$114&gt;35,BY11+BX12-CG11,IF(A12&lt;'Données projet'!$A$114,$BV$205^A12,IF(A12='Données projet'!$A$114,'Données projet'!$B$114,BY11+BX12-CG11)))</f>
        <v>4.7370390127747477</v>
      </c>
      <c r="BZ12" s="13">
        <f>BY12*VLOOKUP('Données projet'!$B$12,Paramètres!$A$1:$I$89,3,0)*VLOOKUP('Données projet'!$B$12,Paramètres!$A$1:$I$89,5,0)</f>
        <v>5.1728466019500239</v>
      </c>
      <c r="CA12" s="13">
        <f t="shared" si="39"/>
        <v>1.9688087882431744</v>
      </c>
      <c r="CB12" s="20">
        <f t="shared" si="10"/>
        <v>12.43838313791982</v>
      </c>
      <c r="CC12" s="59">
        <f t="shared" si="11"/>
        <v>305.77171647125311</v>
      </c>
      <c r="CD12" s="59">
        <f ca="1">AVERAGE(OFFSET($CC$3,0,0,'Données projet'!$E$12+1,1))-AVERAGE(OFFSET($H$3,0,0,'Données projet'!$E$12+1,1))</f>
        <v>173.63857221119594</v>
      </c>
      <c r="CE12" s="59">
        <f t="shared" si="40"/>
        <v>52.373745617370105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21.166666666666668</v>
      </c>
      <c r="N13" s="13">
        <f>IF('Données projet'!$A$36&gt;35,N12+M13-V12,IF(A13&lt;'Données projet'!$A$36,$K$205^A13,IF(A13='Données projet'!$A$36,'Données projet'!$B$36,N12+M13-V12)))</f>
        <v>94.789743589743594</v>
      </c>
      <c r="O13" s="13">
        <f>N13*VLOOKUP('Données projet'!$B$9,Paramètres!$A$1:$I$89,3,0)*VLOOKUP('Données projet'!$B$9,Paramètres!$A$1:$I$89,5,0)</f>
        <v>56.68426666666668</v>
      </c>
      <c r="P13" s="13">
        <f t="shared" si="33"/>
        <v>16.327194206276392</v>
      </c>
      <c r="Q13" s="20">
        <f t="shared" si="2"/>
        <v>127.16162768704253</v>
      </c>
      <c r="R13" s="59">
        <f t="shared" si="0"/>
        <v>420.49496102037585</v>
      </c>
      <c r="S13" s="59">
        <f ca="1">AVERAGE(OFFSET($R$3,0,0,'Données projet'!$E$9+1,1))-AVERAGE(OFFSET($H$3,0,0,'Données projet'!$E$9+1,1))</f>
        <v>175.34314856709307</v>
      </c>
      <c r="T13" s="59">
        <f t="shared" si="34"/>
        <v>296.28950942251339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2.85</v>
      </c>
      <c r="AI13" s="13">
        <f>IF('Données projet'!$A$62&gt;35,AI12+AH13-AQ12,IF(A13&lt;'Données projet'!$A$62,$AF$205^A13,IF(A13='Données projet'!$A$62,'Données projet'!$B$62,AI12+AH13-AQ12)))</f>
        <v>7.5498344352707516</v>
      </c>
      <c r="AJ13" s="13">
        <f>AI13*VLOOKUP('Données projet'!$B$10,Paramètres!$A$1:$I$89,3,0)*VLOOKUP('Données projet'!$B$10,Paramètres!$A$1:$I$89,5,0)</f>
        <v>6.3599805282720814</v>
      </c>
      <c r="AK13" s="13">
        <f t="shared" si="35"/>
        <v>2.3631190291893409</v>
      </c>
      <c r="AL13" s="20">
        <f t="shared" si="4"/>
        <v>15.19273172924531</v>
      </c>
      <c r="AM13" s="59">
        <f t="shared" si="5"/>
        <v>308.5260650625786</v>
      </c>
      <c r="AN13" s="59">
        <f ca="1">AVERAGE(OFFSET($AM$3,0,0,'Données projet'!$E$10+1,1))-AVERAGE(OFFSET($H$3,0,0,'Données projet'!$E$10+1,1))</f>
        <v>247.67539667223065</v>
      </c>
      <c r="AO13" s="59">
        <f t="shared" si="36"/>
        <v>174.54442616983778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2.9235042735042733</v>
      </c>
      <c r="BD13" s="12">
        <f>IF('Données projet'!$A$88&gt;35,BD12+BC13-BL12,IF(A13&lt;'Données projet'!$A$88,$BA$205^A13,IF(A13='Données projet'!$A$88,'Données projet'!$B$88,BD12+BC13-BL12)))</f>
        <v>4.4429865232315908</v>
      </c>
      <c r="BE13" s="13">
        <f>BD13*VLOOKUP('Données projet'!$B$11,Paramètres!$A$1:$I$89,3,0)*VLOOKUP('Données projet'!$B$11,Paramètres!$A$1:$I$89,5,0)</f>
        <v>4.4358777447944204</v>
      </c>
      <c r="BF13" s="13">
        <f t="shared" si="37"/>
        <v>1.7187915557618054</v>
      </c>
      <c r="BG13" s="20">
        <f t="shared" si="7"/>
        <v>10.719382365135425</v>
      </c>
      <c r="BH13" s="59">
        <f t="shared" si="8"/>
        <v>304.05271569846872</v>
      </c>
      <c r="BI13" s="59">
        <f ca="1">AVERAGE(OFFSET($BH$3,0,0,'Données projet'!$E$11+1,1))-AVERAGE(OFFSET($H$3,0,0,'Données projet'!$E$11+1,1))</f>
        <v>245.06609107649069</v>
      </c>
      <c r="BJ13" s="59">
        <f t="shared" si="38"/>
        <v>156.24531945456499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>
        <f>VLOOKUP(A13,'Données projet'!$A$113:$I$133,2,0)</f>
        <v>5.630711687781508</v>
      </c>
      <c r="BW13" s="12">
        <f>VLOOKUP(A13,'Données projet'!$A$113:$I$133,9,0)</f>
        <v>0.56307116877815078</v>
      </c>
      <c r="BX13" s="12">
        <f t="array" ref="BX13">INDEX(BW:BW,MIN(IF(ISNUMBER(BW13:BW209),ROW(BW13:BW209),"")))</f>
        <v>0.56307116877815078</v>
      </c>
      <c r="BY13" s="12">
        <f>IF('Données projet'!$A$114&gt;35,BY12+BX13-CG12,IF(A13&lt;'Données projet'!$A$114,$BV$205^A13,IF(A13='Données projet'!$A$114,'Données projet'!$B$114,BY12+BX13-CG12)))</f>
        <v>5.630711687781508</v>
      </c>
      <c r="BZ13" s="13">
        <f>BY13*VLOOKUP('Données projet'!$B$12,Paramètres!$A$1:$I$89,3,0)*VLOOKUP('Données projet'!$B$12,Paramètres!$A$1:$I$89,5,0)</f>
        <v>6.1487371630574064</v>
      </c>
      <c r="CA13" s="13">
        <f t="shared" si="39"/>
        <v>2.293629742303986</v>
      </c>
      <c r="CB13" s="20">
        <f t="shared" si="10"/>
        <v>14.703789026837759</v>
      </c>
      <c r="CC13" s="59">
        <f t="shared" si="11"/>
        <v>308.03712236017105</v>
      </c>
      <c r="CD13" s="59">
        <f ca="1">AVERAGE(OFFSET($CC$3,0,0,'Données projet'!$E$12+1,1))-AVERAGE(OFFSET($H$3,0,0,'Données projet'!$E$12+1,1))</f>
        <v>173.63857221119594</v>
      </c>
      <c r="CE13" s="59">
        <f t="shared" si="40"/>
        <v>52.373745617370105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21.166666666666668</v>
      </c>
      <c r="N14" s="13">
        <f>IF('Données projet'!$A$36&gt;35,N13+M14-V13,IF(A14&lt;'Données projet'!$A$36,$K$205^A14,IF(A14='Données projet'!$A$36,'Données projet'!$B$36,N13+M14-V13)))</f>
        <v>115.95641025641027</v>
      </c>
      <c r="O14" s="13">
        <f>N14*VLOOKUP('Données projet'!$B$9,Paramètres!$A$1:$I$89,3,0)*VLOOKUP('Données projet'!$B$9,Paramètres!$A$1:$I$89,5,0)</f>
        <v>69.341933333333344</v>
      </c>
      <c r="P14" s="13">
        <f t="shared" si="33"/>
        <v>19.509946696992412</v>
      </c>
      <c r="Q14" s="20">
        <f t="shared" si="2"/>
        <v>154.75035771948401</v>
      </c>
      <c r="R14" s="59">
        <f t="shared" si="0"/>
        <v>448.08369105281736</v>
      </c>
      <c r="S14" s="59">
        <f ca="1">AVERAGE(OFFSET($R$3,0,0,'Données projet'!$E$9+1,1))-AVERAGE(OFFSET($H$3,0,0,'Données projet'!$E$9+1,1))</f>
        <v>175.34314856709307</v>
      </c>
      <c r="T14" s="59">
        <f t="shared" si="34"/>
        <v>296.28950942251339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2.85</v>
      </c>
      <c r="AI14" s="13">
        <f>IF('Données projet'!$A$62&gt;35,AI13+AH14-AQ13,IF(A14&lt;'Données projet'!$A$62,$AF$205^A14,IF(A14='Données projet'!$A$62,'Données projet'!$B$62,AI13+AH14-AQ13)))</f>
        <v>9.2412596055434975</v>
      </c>
      <c r="AJ14" s="13">
        <f>AI14*VLOOKUP('Données projet'!$B$10,Paramètres!$A$1:$I$89,3,0)*VLOOKUP('Données projet'!$B$10,Paramètres!$A$1:$I$89,5,0)</f>
        <v>7.7848370917098419</v>
      </c>
      <c r="AK14" s="13">
        <f t="shared" si="35"/>
        <v>2.8252712396195254</v>
      </c>
      <c r="AL14" s="20">
        <f t="shared" si="4"/>
        <v>18.479272010398649</v>
      </c>
      <c r="AM14" s="59">
        <f t="shared" si="5"/>
        <v>311.81260534373195</v>
      </c>
      <c r="AN14" s="59">
        <f ca="1">AVERAGE(OFFSET($AM$3,0,0,'Données projet'!$E$10+1,1))-AVERAGE(OFFSET($H$3,0,0,'Données projet'!$E$10+1,1))</f>
        <v>247.67539667223065</v>
      </c>
      <c r="AO14" s="59">
        <f t="shared" si="36"/>
        <v>174.54442616983778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2.9235042735042733</v>
      </c>
      <c r="BD14" s="12">
        <f>IF('Données projet'!$A$88&gt;35,BD13+BC14-BL13,IF(A14&lt;'Données projet'!$A$88,$BA$205^A14,IF(A14='Données projet'!$A$88,'Données projet'!$B$88,BD13+BC14-BL13)))</f>
        <v>5.1575387009743459</v>
      </c>
      <c r="BE14" s="13">
        <f>BD14*VLOOKUP('Données projet'!$B$11,Paramètres!$A$1:$I$89,3,0)*VLOOKUP('Données projet'!$B$11,Paramètres!$A$1:$I$89,5,0)</f>
        <v>5.1492866390527867</v>
      </c>
      <c r="BF14" s="13">
        <f t="shared" si="37"/>
        <v>1.9608834181904979</v>
      </c>
      <c r="BG14" s="20">
        <f t="shared" si="7"/>
        <v>12.383546183032053</v>
      </c>
      <c r="BH14" s="59">
        <f t="shared" si="8"/>
        <v>305.71687951636534</v>
      </c>
      <c r="BI14" s="59">
        <f ca="1">AVERAGE(OFFSET($BH$3,0,0,'Données projet'!$E$11+1,1))-AVERAGE(OFFSET($H$3,0,0,'Données projet'!$E$11+1,1))</f>
        <v>245.06609107649069</v>
      </c>
      <c r="BJ14" s="59">
        <f t="shared" si="38"/>
        <v>156.24531945456499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1.2727507793416999</v>
      </c>
      <c r="BY14" s="12">
        <f>IF('Données projet'!$A$114&gt;35,BY13+BX14-CG13,IF(A14&lt;'Données projet'!$A$114,$BV$205^A14,IF(A14='Données projet'!$A$114,'Données projet'!$B$114,BY13+BX14-CG13)))</f>
        <v>6.9034624671232079</v>
      </c>
      <c r="BZ14" s="13">
        <f>BY14*VLOOKUP('Données projet'!$B$12,Paramètres!$A$1:$I$89,3,0)*VLOOKUP('Données projet'!$B$12,Paramètres!$A$1:$I$89,5,0)</f>
        <v>7.5385810140985425</v>
      </c>
      <c r="CA14" s="13">
        <f t="shared" si="39"/>
        <v>2.7461557258223728</v>
      </c>
      <c r="CB14" s="20">
        <f t="shared" si="10"/>
        <v>17.91258315536226</v>
      </c>
      <c r="CC14" s="59">
        <f t="shared" si="11"/>
        <v>311.24591648869557</v>
      </c>
      <c r="CD14" s="59">
        <f ca="1">AVERAGE(OFFSET($CC$3,0,0,'Données projet'!$E$12+1,1))-AVERAGE(OFFSET($H$3,0,0,'Données projet'!$E$12+1,1))</f>
        <v>173.63857221119594</v>
      </c>
      <c r="CE14" s="59">
        <f t="shared" si="40"/>
        <v>52.373745617370105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137.12307692307692</v>
      </c>
      <c r="L15" s="12">
        <f>VLOOKUP(A15,'Données projet'!$A$35:$I$55,9,0)</f>
        <v>21.166666666666668</v>
      </c>
      <c r="M15" s="12">
        <f t="array" ref="M15">INDEX(L:L,MIN(IF(ISNUMBER(L15:L211),ROW(L15:L211),"")))</f>
        <v>21.166666666666668</v>
      </c>
      <c r="N15" s="13">
        <f>IF('Données projet'!$A$36&gt;35,N14+M15-V14,IF(A15&lt;'Données projet'!$A$36,$K$205^A15,IF(A15='Données projet'!$A$36,'Données projet'!$B$36,N14+M15-V14)))</f>
        <v>137.12307692307692</v>
      </c>
      <c r="O15" s="13">
        <f>N15*VLOOKUP('Données projet'!$B$9,Paramètres!$A$1:$I$89,3,0)*VLOOKUP('Données projet'!$B$9,Paramètres!$A$1:$I$89,5,0)</f>
        <v>81.999600000000001</v>
      </c>
      <c r="P15" s="13">
        <f t="shared" si="33"/>
        <v>22.625392027728129</v>
      </c>
      <c r="Q15" s="20">
        <f t="shared" si="2"/>
        <v>182.22186111495981</v>
      </c>
      <c r="R15" s="59">
        <f t="shared" si="0"/>
        <v>475.55519444829315</v>
      </c>
      <c r="S15" s="59">
        <f ca="1">AVERAGE(OFFSET($R$3,0,0,'Données projet'!$E$9+1,1))-AVERAGE(OFFSET($H$3,0,0,'Données projet'!$E$9+1,1))</f>
        <v>175.34314856709307</v>
      </c>
      <c r="T15" s="59">
        <f t="shared" si="34"/>
        <v>296.28950942251339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42.784615384615378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0.22500000000000001</v>
      </c>
      <c r="Y15" s="16">
        <f>IF(ISNA(VLOOKUP(A15,'Données projet'!$A$35:$I$55,7,0)),0%,VLOOKUP(A15,'Données projet'!$A$35:$I$55,7,0))</f>
        <v>0.5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7.6065256241196266</v>
      </c>
      <c r="AB15" s="21">
        <f>EXP(-LN(2)/2)*AB14+(1-EXP(-LN(2)/2))/(LN(2)/2)*V15*Y15*VLOOKUP('Données projet'!$B$9,Paramètres!$A$1:$I$89,3,0)*0.475*44/12</f>
        <v>14.484194889337063</v>
      </c>
      <c r="AC15" s="22">
        <f t="shared" si="3"/>
        <v>22.090720513456688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2.85</v>
      </c>
      <c r="AI15" s="13">
        <f>IF('Données projet'!$A$62&gt;35,AI14+AH15-AQ14,IF(A15&lt;'Données projet'!$A$62,$AF$205^A15,IF(A15='Données projet'!$A$62,'Données projet'!$B$62,AI14+AH15-AQ14)))</f>
        <v>11.311622768584238</v>
      </c>
      <c r="AJ15" s="13">
        <f>AI15*VLOOKUP('Données projet'!$B$10,Paramètres!$A$1:$I$89,3,0)*VLOOKUP('Données projet'!$B$10,Paramètres!$A$1:$I$89,5,0)</f>
        <v>9.5289110202553626</v>
      </c>
      <c r="AK15" s="13">
        <f t="shared" si="35"/>
        <v>3.3778059754186418</v>
      </c>
      <c r="AL15" s="20">
        <f t="shared" si="4"/>
        <v>22.479198767465558</v>
      </c>
      <c r="AM15" s="59">
        <f t="shared" si="5"/>
        <v>315.81253210079888</v>
      </c>
      <c r="AN15" s="59">
        <f ca="1">AVERAGE(OFFSET($AM$3,0,0,'Données projet'!$E$10+1,1))-AVERAGE(OFFSET($H$3,0,0,'Données projet'!$E$10+1,1))</f>
        <v>247.67539667223065</v>
      </c>
      <c r="AO15" s="59">
        <f t="shared" si="36"/>
        <v>174.54442616983778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2.9235042735042733</v>
      </c>
      <c r="BD15" s="12">
        <f>IF('Données projet'!$A$88&gt;35,BD14+BC15-BL14,IF(A15&lt;'Données projet'!$A$88,$BA$205^A15,IF(A15='Données projet'!$A$88,'Données projet'!$B$88,BD14+BC15-BL14)))</f>
        <v>5.9870101592612031</v>
      </c>
      <c r="BE15" s="13">
        <f>BD15*VLOOKUP('Données projet'!$B$11,Paramètres!$A$1:$I$89,3,0)*VLOOKUP('Données projet'!$B$11,Paramètres!$A$1:$I$89,5,0)</f>
        <v>5.977430943006385</v>
      </c>
      <c r="BF15" s="13">
        <f t="shared" si="37"/>
        <v>2.2370739295552551</v>
      </c>
      <c r="BG15" s="20">
        <f t="shared" si="7"/>
        <v>14.306929319711523</v>
      </c>
      <c r="BH15" s="59">
        <f t="shared" si="8"/>
        <v>307.64026265304483</v>
      </c>
      <c r="BI15" s="59">
        <f ca="1">AVERAGE(OFFSET($BH$3,0,0,'Données projet'!$E$11+1,1))-AVERAGE(OFFSET($H$3,0,0,'Données projet'!$E$11+1,1))</f>
        <v>245.06609107649069</v>
      </c>
      <c r="BJ15" s="59">
        <f t="shared" si="38"/>
        <v>156.24531945456499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1.2727507793416999</v>
      </c>
      <c r="BY15" s="12">
        <f>IF('Données projet'!$A$114&gt;35,BY14+BX15-CG14,IF(A15&lt;'Données projet'!$A$114,$BV$205^A15,IF(A15='Données projet'!$A$114,'Données projet'!$B$114,BY14+BX15-CG14)))</f>
        <v>8.1762132464649078</v>
      </c>
      <c r="BZ15" s="13">
        <f>BY15*VLOOKUP('Données projet'!$B$12,Paramètres!$A$1:$I$89,3,0)*VLOOKUP('Données projet'!$B$12,Paramètres!$A$1:$I$89,5,0)</f>
        <v>8.9284248651396787</v>
      </c>
      <c r="CA15" s="13">
        <f t="shared" si="39"/>
        <v>3.1890161660357879</v>
      </c>
      <c r="CB15" s="20">
        <f t="shared" si="10"/>
        <v>21.104543129297269</v>
      </c>
      <c r="CC15" s="59">
        <f t="shared" si="11"/>
        <v>314.43787646263058</v>
      </c>
      <c r="CD15" s="59">
        <f ca="1">AVERAGE(OFFSET($CC$3,0,0,'Données projet'!$E$12+1,1))-AVERAGE(OFFSET($H$3,0,0,'Données projet'!$E$12+1,1))</f>
        <v>173.63857221119594</v>
      </c>
      <c r="CE15" s="59">
        <f t="shared" si="40"/>
        <v>52.373745617370105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21.013461538461538</v>
      </c>
      <c r="N16" s="13">
        <f>IF('Données projet'!$A$36&gt;35,N15+M16-V15,IF(A16&lt;'Données projet'!$A$36,$K$205^A16,IF(A16='Données projet'!$A$36,'Données projet'!$B$36,N15+M16-V15)))</f>
        <v>115.35192307692309</v>
      </c>
      <c r="O16" s="13">
        <f>N16*VLOOKUP('Données projet'!$B$9,Paramètres!$A$1:$I$89,3,0)*VLOOKUP('Données projet'!$B$9,Paramètres!$A$1:$I$89,5,0)</f>
        <v>68.980450000000005</v>
      </c>
      <c r="P16" s="13">
        <f t="shared" si="33"/>
        <v>19.420051575553078</v>
      </c>
      <c r="Q16" s="20">
        <f t="shared" si="2"/>
        <v>153.96420691075494</v>
      </c>
      <c r="R16" s="59">
        <f t="shared" si="0"/>
        <v>447.29754024408828</v>
      </c>
      <c r="S16" s="59">
        <f ca="1">AVERAGE(OFFSET($R$3,0,0,'Données projet'!$E$9+1,1))-AVERAGE(OFFSET($H$3,0,0,'Données projet'!$E$9+1,1))</f>
        <v>175.34314856709307</v>
      </c>
      <c r="T16" s="59">
        <f t="shared" si="34"/>
        <v>296.28950942251339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7.3985247809182777</v>
      </c>
      <c r="AB16" s="21">
        <f>EXP(-LN(2)/2)*AB15+(1-EXP(-LN(2)/2))/(LN(2)/2)*V16*Y16*VLOOKUP('Données projet'!$B$9,Paramètres!$A$1:$I$89,3,0)*0.475*44/12</f>
        <v>10.241872426277773</v>
      </c>
      <c r="AC16" s="22">
        <f t="shared" si="3"/>
        <v>17.640397207196052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2.85</v>
      </c>
      <c r="AI16" s="13">
        <f>IF('Données projet'!$A$62&gt;35,AI15+AH16-AQ15,IF(A16&lt;'Données projet'!$A$62,$AF$205^A16,IF(A16='Données projet'!$A$62,'Données projet'!$B$62,AI15+AH16-AQ15)))</f>
        <v>13.845819197850375</v>
      </c>
      <c r="AJ16" s="13">
        <f>AI16*VLOOKUP('Données projet'!$B$10,Paramètres!$A$1:$I$89,3,0)*VLOOKUP('Données projet'!$B$10,Paramètres!$A$1:$I$89,5,0)</f>
        <v>11.663718092269157</v>
      </c>
      <c r="AK16" s="13">
        <f t="shared" si="35"/>
        <v>4.0383992331689829</v>
      </c>
      <c r="AL16" s="20">
        <f t="shared" si="4"/>
        <v>27.347854341804759</v>
      </c>
      <c r="AM16" s="59">
        <f t="shared" si="5"/>
        <v>320.68118767513806</v>
      </c>
      <c r="AN16" s="59">
        <f ca="1">AVERAGE(OFFSET($AM$3,0,0,'Données projet'!$E$10+1,1))-AVERAGE(OFFSET($H$3,0,0,'Données projet'!$E$10+1,1))</f>
        <v>247.67539667223065</v>
      </c>
      <c r="AO16" s="59">
        <f t="shared" si="36"/>
        <v>174.54442616983778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2.9235042735042733</v>
      </c>
      <c r="BD16" s="12">
        <f>IF('Données projet'!$A$88&gt;35,BD15+BC16-BL15,IF(A16&lt;'Données projet'!$A$88,$BA$205^A16,IF(A16='Données projet'!$A$88,'Données projet'!$B$88,BD15+BC16-BL15)))</f>
        <v>6.9498830208148057</v>
      </c>
      <c r="BE16" s="13">
        <f>BD16*VLOOKUP('Données projet'!$B$11,Paramètres!$A$1:$I$89,3,0)*VLOOKUP('Données projet'!$B$11,Paramètres!$A$1:$I$89,5,0)</f>
        <v>6.938763207981502</v>
      </c>
      <c r="BF16" s="13">
        <f t="shared" si="37"/>
        <v>2.552165885983134</v>
      </c>
      <c r="BG16" s="20">
        <f t="shared" si="7"/>
        <v>16.530034838655073</v>
      </c>
      <c r="BH16" s="59">
        <f t="shared" si="8"/>
        <v>309.86336817198838</v>
      </c>
      <c r="BI16" s="59">
        <f ca="1">AVERAGE(OFFSET($BH$3,0,0,'Données projet'!$E$11+1,1))-AVERAGE(OFFSET($H$3,0,0,'Données projet'!$E$11+1,1))</f>
        <v>245.06609107649069</v>
      </c>
      <c r="BJ16" s="59">
        <f t="shared" si="38"/>
        <v>156.24531945456499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1.2727507793416999</v>
      </c>
      <c r="BY16" s="12">
        <f>IF('Données projet'!$A$114&gt;35,BY15+BX16-CG15,IF(A16&lt;'Données projet'!$A$114,$BV$205^A16,IF(A16='Données projet'!$A$114,'Données projet'!$B$114,BY15+BX16-CG15)))</f>
        <v>9.4489640258066068</v>
      </c>
      <c r="BZ16" s="13">
        <f>BY16*VLOOKUP('Données projet'!$B$12,Paramètres!$A$1:$I$89,3,0)*VLOOKUP('Données projet'!$B$12,Paramètres!$A$1:$I$89,5,0)</f>
        <v>10.318268716180814</v>
      </c>
      <c r="CA16" s="13">
        <f t="shared" si="39"/>
        <v>3.623890473424443</v>
      </c>
      <c r="CB16" s="20">
        <f t="shared" si="10"/>
        <v>24.28259392189582</v>
      </c>
      <c r="CC16" s="59">
        <f t="shared" si="11"/>
        <v>317.61592725522911</v>
      </c>
      <c r="CD16" s="59">
        <f ca="1">AVERAGE(OFFSET($CC$3,0,0,'Données projet'!$E$12+1,1))-AVERAGE(OFFSET($H$3,0,0,'Données projet'!$E$12+1,1))</f>
        <v>173.63857221119594</v>
      </c>
      <c r="CE16" s="59">
        <f t="shared" si="40"/>
        <v>52.373745617370105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21.013461538461538</v>
      </c>
      <c r="N17" s="13">
        <f>IF('Données projet'!$A$36&gt;35,N16+M17-V16,IF(A17&lt;'Données projet'!$A$36,$K$205^A17,IF(A17='Données projet'!$A$36,'Données projet'!$B$36,N16+M17-V16)))</f>
        <v>136.36538461538461</v>
      </c>
      <c r="O17" s="13">
        <f>N17*VLOOKUP('Données projet'!$B$9,Paramètres!$A$1:$I$89,3,0)*VLOOKUP('Données projet'!$B$9,Paramètres!$A$1:$I$89,5,0)</f>
        <v>81.546500000000009</v>
      </c>
      <c r="P17" s="13">
        <f t="shared" si="33"/>
        <v>22.514889024952744</v>
      </c>
      <c r="Q17" s="20">
        <f t="shared" si="2"/>
        <v>181.24025255179268</v>
      </c>
      <c r="R17" s="59">
        <f t="shared" si="0"/>
        <v>474.57358588512602</v>
      </c>
      <c r="S17" s="59">
        <f ca="1">AVERAGE(OFFSET($R$3,0,0,'Données projet'!$E$9+1,1))-AVERAGE(OFFSET($H$3,0,0,'Données projet'!$E$9+1,1))</f>
        <v>175.34314856709307</v>
      </c>
      <c r="T17" s="59">
        <f t="shared" si="34"/>
        <v>296.28950942251339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7.1962117317125589</v>
      </c>
      <c r="AB17" s="21">
        <f>EXP(-LN(2)/2)*AB16+(1-EXP(-LN(2)/2))/(LN(2)/2)*V17*Y17*VLOOKUP('Données projet'!$B$9,Paramètres!$A$1:$I$89,3,0)*0.475*44/12</f>
        <v>7.2420974446685324</v>
      </c>
      <c r="AC17" s="22">
        <f t="shared" si="3"/>
        <v>14.438309176381091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2.85</v>
      </c>
      <c r="AI17" s="13">
        <f>IF('Données projet'!$A$62&gt;35,AI16+AH17-AQ16,IF(A17&lt;'Données projet'!$A$62,$AF$205^A17,IF(A17='Données projet'!$A$62,'Données projet'!$B$62,AI16+AH17-AQ16)))</f>
        <v>16.94776365704034</v>
      </c>
      <c r="AJ17" s="13">
        <f>AI17*VLOOKUP('Données projet'!$B$10,Paramètres!$A$1:$I$89,3,0)*VLOOKUP('Données projet'!$B$10,Paramètres!$A$1:$I$89,5,0)</f>
        <v>14.276796104690785</v>
      </c>
      <c r="AK17" s="13">
        <f t="shared" si="35"/>
        <v>4.8281838818283696</v>
      </c>
      <c r="AL17" s="20">
        <f t="shared" si="4"/>
        <v>33.274506809854188</v>
      </c>
      <c r="AM17" s="59">
        <f t="shared" si="5"/>
        <v>326.6078401431875</v>
      </c>
      <c r="AN17" s="59">
        <f ca="1">AVERAGE(OFFSET($AM$3,0,0,'Données projet'!$E$10+1,1))-AVERAGE(OFFSET($H$3,0,0,'Données projet'!$E$10+1,1))</f>
        <v>247.67539667223065</v>
      </c>
      <c r="AO17" s="59">
        <f t="shared" si="36"/>
        <v>174.54442616983778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2.9235042735042733</v>
      </c>
      <c r="BD17" s="12">
        <f>IF('Données projet'!$A$88&gt;35,BD16+BC17-BL16,IF(A17&lt;'Données projet'!$A$88,$BA$205^A17,IF(A17='Données projet'!$A$88,'Données projet'!$B$88,BD16+BC17-BL16)))</f>
        <v>8.0676118326430668</v>
      </c>
      <c r="BE17" s="13">
        <f>BD17*VLOOKUP('Données projet'!$B$11,Paramètres!$A$1:$I$89,3,0)*VLOOKUP('Données projet'!$B$11,Paramètres!$A$1:$I$89,5,0)</f>
        <v>8.0547036537108383</v>
      </c>
      <c r="BF17" s="13">
        <f t="shared" si="37"/>
        <v>2.9116385576363202</v>
      </c>
      <c r="BG17" s="20">
        <f t="shared" si="7"/>
        <v>19.099712684762967</v>
      </c>
      <c r="BH17" s="59">
        <f t="shared" si="8"/>
        <v>312.43304601809626</v>
      </c>
      <c r="BI17" s="59">
        <f ca="1">AVERAGE(OFFSET($BH$3,0,0,'Données projet'!$E$11+1,1))-AVERAGE(OFFSET($H$3,0,0,'Données projet'!$E$11+1,1))</f>
        <v>245.06609107649069</v>
      </c>
      <c r="BJ17" s="59">
        <f t="shared" si="38"/>
        <v>156.24531945456499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1.2727507793416999</v>
      </c>
      <c r="BY17" s="12">
        <f>IF('Données projet'!$A$114&gt;35,BY16+BX17-CG16,IF(A17&lt;'Données projet'!$A$114,$BV$205^A17,IF(A17='Données projet'!$A$114,'Données projet'!$B$114,BY16+BX17-CG16)))</f>
        <v>10.721714805148306</v>
      </c>
      <c r="BZ17" s="13">
        <f>BY17*VLOOKUP('Données projet'!$B$12,Paramètres!$A$1:$I$89,3,0)*VLOOKUP('Données projet'!$B$12,Paramètres!$A$1:$I$89,5,0)</f>
        <v>11.708112567221949</v>
      </c>
      <c r="CA17" s="13">
        <f t="shared" si="39"/>
        <v>4.0519780142816355</v>
      </c>
      <c r="CB17" s="20">
        <f t="shared" si="10"/>
        <v>27.448824429452078</v>
      </c>
      <c r="CC17" s="59">
        <f t="shared" si="11"/>
        <v>320.7821577627854</v>
      </c>
      <c r="CD17" s="59">
        <f ca="1">AVERAGE(OFFSET($CC$3,0,0,'Données projet'!$E$12+1,1))-AVERAGE(OFFSET($H$3,0,0,'Données projet'!$E$12+1,1))</f>
        <v>173.63857221119594</v>
      </c>
      <c r="CE17" s="59">
        <f t="shared" si="40"/>
        <v>52.373745617370105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21.013461538461538</v>
      </c>
      <c r="N18" s="13">
        <f>IF('Données projet'!$A$36&gt;35,N17+M18-V17,IF(A18&lt;'Données projet'!$A$36,$K$205^A18,IF(A18='Données projet'!$A$36,'Données projet'!$B$36,N17+M18-V17)))</f>
        <v>157.37884615384615</v>
      </c>
      <c r="O18" s="13">
        <f>N18*VLOOKUP('Données projet'!$B$9,Paramètres!$A$1:$I$89,3,0)*VLOOKUP('Données projet'!$B$9,Paramètres!$A$1:$I$89,5,0)</f>
        <v>94.112550000000013</v>
      </c>
      <c r="P18" s="13">
        <f t="shared" si="33"/>
        <v>25.554479054458728</v>
      </c>
      <c r="Q18" s="20">
        <f t="shared" si="2"/>
        <v>208.42007560318231</v>
      </c>
      <c r="R18" s="59">
        <f t="shared" si="0"/>
        <v>501.7534089365156</v>
      </c>
      <c r="S18" s="59">
        <f ca="1">AVERAGE(OFFSET($R$3,0,0,'Données projet'!$E$9+1,1))-AVERAGE(OFFSET($H$3,0,0,'Données projet'!$E$9+1,1))</f>
        <v>175.34314856709307</v>
      </c>
      <c r="T18" s="59">
        <f t="shared" si="34"/>
        <v>296.28950942251339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6.9994309434765514</v>
      </c>
      <c r="AB18" s="21">
        <f>EXP(-LN(2)/2)*AB17+(1-EXP(-LN(2)/2))/(LN(2)/2)*V18*Y18*VLOOKUP('Données projet'!$B$9,Paramètres!$A$1:$I$89,3,0)*0.475*44/12</f>
        <v>5.1209362131388874</v>
      </c>
      <c r="AC18" s="22">
        <f t="shared" si="3"/>
        <v>12.120367156615439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2.85</v>
      </c>
      <c r="AI18" s="13">
        <f>IF('Données projet'!$A$62&gt;35,AI17+AH18-AQ17,IF(A18&lt;'Données projet'!$A$62,$AF$205^A18,IF(A18='Données projet'!$A$62,'Données projet'!$B$62,AI17+AH18-AQ17)))</f>
        <v>20.744651426583019</v>
      </c>
      <c r="AJ18" s="13">
        <f>AI18*VLOOKUP('Données projet'!$B$10,Paramètres!$A$1:$I$89,3,0)*VLOOKUP('Données projet'!$B$10,Paramètres!$A$1:$I$89,5,0)</f>
        <v>17.475294361753537</v>
      </c>
      <c r="AK18" s="13">
        <f t="shared" si="35"/>
        <v>5.7724257189041044</v>
      </c>
      <c r="AL18" s="20">
        <f t="shared" si="4"/>
        <v>40.489779140478731</v>
      </c>
      <c r="AM18" s="59">
        <f t="shared" si="5"/>
        <v>333.82311247381205</v>
      </c>
      <c r="AN18" s="59">
        <f ca="1">AVERAGE(OFFSET($AM$3,0,0,'Données projet'!$E$10+1,1))-AVERAGE(OFFSET($H$3,0,0,'Données projet'!$E$10+1,1))</f>
        <v>247.67539667223065</v>
      </c>
      <c r="AO18" s="59">
        <f t="shared" si="36"/>
        <v>174.54442616983778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2.9235042735042733</v>
      </c>
      <c r="BD18" s="12">
        <f>IF('Données projet'!$A$88&gt;35,BD17+BC18-BL17,IF(A18&lt;'Données projet'!$A$88,$BA$205^A18,IF(A18='Données projet'!$A$88,'Données projet'!$B$88,BD17+BC18-BL17)))</f>
        <v>9.3651016121091022</v>
      </c>
      <c r="BE18" s="13">
        <f>BD18*VLOOKUP('Données projet'!$B$11,Paramètres!$A$1:$I$89,3,0)*VLOOKUP('Données projet'!$B$11,Paramètres!$A$1:$I$89,5,0)</f>
        <v>9.3501174495297281</v>
      </c>
      <c r="BF18" s="13">
        <f t="shared" si="37"/>
        <v>3.3217429701082271</v>
      </c>
      <c r="BG18" s="20">
        <f t="shared" si="7"/>
        <v>22.070156897536105</v>
      </c>
      <c r="BH18" s="59">
        <f t="shared" si="8"/>
        <v>315.40349023086941</v>
      </c>
      <c r="BI18" s="59">
        <f ca="1">AVERAGE(OFFSET($BH$3,0,0,'Données projet'!$E$11+1,1))-AVERAGE(OFFSET($H$3,0,0,'Données projet'!$E$11+1,1))</f>
        <v>245.06609107649069</v>
      </c>
      <c r="BJ18" s="59">
        <f t="shared" si="38"/>
        <v>156.24531945456499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1.2727507793416999</v>
      </c>
      <c r="BY18" s="12">
        <f>IF('Données projet'!$A$114&gt;35,BY17+BX18-CG17,IF(A18&lt;'Données projet'!$A$114,$BV$205^A18,IF(A18='Données projet'!$A$114,'Données projet'!$B$114,BY17+BX18-CG17)))</f>
        <v>11.994465584490005</v>
      </c>
      <c r="BZ18" s="13">
        <f>BY18*VLOOKUP('Données projet'!$B$12,Paramètres!$A$1:$I$89,3,0)*VLOOKUP('Données projet'!$B$12,Paramètres!$A$1:$I$89,5,0)</f>
        <v>13.097956418263085</v>
      </c>
      <c r="CA18" s="13">
        <f t="shared" si="39"/>
        <v>4.474176513619482</v>
      </c>
      <c r="CB18" s="20">
        <f t="shared" si="10"/>
        <v>30.604798189695472</v>
      </c>
      <c r="CC18" s="59">
        <f t="shared" si="11"/>
        <v>323.9381315230288</v>
      </c>
      <c r="CD18" s="59">
        <f ca="1">AVERAGE(OFFSET($CC$3,0,0,'Données projet'!$E$12+1,1))-AVERAGE(OFFSET($H$3,0,0,'Données projet'!$E$12+1,1))</f>
        <v>173.63857221119594</v>
      </c>
      <c r="CE18" s="59">
        <f t="shared" si="40"/>
        <v>52.373745617370105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178.3923076923077</v>
      </c>
      <c r="L19" s="12">
        <f>VLOOKUP(A19,'Données projet'!$A$35:$I$55,9,0)</f>
        <v>21.013461538461538</v>
      </c>
      <c r="M19" s="12">
        <f t="array" ref="M19">INDEX(L:L,MIN(IF(ISNUMBER(L19:L215),ROW(L19:L215),"")))</f>
        <v>21.013461538461538</v>
      </c>
      <c r="N19" s="13">
        <f>IF('Données projet'!$A$36&gt;35,N18+M19-V18,IF(A19&lt;'Données projet'!$A$36,$K$205^A19,IF(A19='Données projet'!$A$36,'Données projet'!$B$36,N18+M19-V18)))</f>
        <v>178.3923076923077</v>
      </c>
      <c r="O19" s="13">
        <f>N19*VLOOKUP('Données projet'!$B$9,Paramètres!$A$1:$I$89,3,0)*VLOOKUP('Données projet'!$B$9,Paramètres!$A$1:$I$89,5,0)</f>
        <v>106.6786</v>
      </c>
      <c r="P19" s="13">
        <f t="shared" si="33"/>
        <v>28.547045934024787</v>
      </c>
      <c r="Q19" s="20">
        <f t="shared" si="2"/>
        <v>235.51800000175982</v>
      </c>
      <c r="R19" s="59">
        <f t="shared" si="0"/>
        <v>528.85133333509316</v>
      </c>
      <c r="S19" s="59">
        <f ca="1">AVERAGE(OFFSET($R$3,0,0,'Données projet'!$E$9+1,1))-AVERAGE(OFFSET($H$3,0,0,'Données projet'!$E$9+1,1))</f>
        <v>175.34314856709307</v>
      </c>
      <c r="T19" s="59">
        <f t="shared" si="34"/>
        <v>296.28950942251339</v>
      </c>
      <c r="U19" s="15">
        <f>IF(ISNA(VLOOKUP(A19,'Données projet'!$A$35:$I$55,3,0)),0,VLOOKUP(A19,'Données projet'!$A$35:$I$55,3,0))</f>
        <v>2</v>
      </c>
      <c r="V19" s="15">
        <f>IF(ISNA(VLOOKUP(A19,'Données projet'!$A$35:$I$55,4,0)),0,VLOOKUP(A19,'Données projet'!$A$35:$I$55,4,0))</f>
        <v>60.576923076923073</v>
      </c>
      <c r="W19" s="16">
        <f>IF(ISNA(VLOOKUP(A19,'Données projet'!$A$35:$I$55,5,0)),0%,VLOOKUP(A19,'Données projet'!$A$35:$I$55,5,0)*VLOOKUP('Données projet'!$B$9,Paramètres!$A$1:$I$89,7,0))</f>
        <v>9.0000000000000011E-2</v>
      </c>
      <c r="X19" s="16">
        <f>IF(ISNA(VLOOKUP(A19,'Données projet'!$A$35:$I$55,6,0)),0%,VLOOKUP(A19,'Données projet'!$A$35:$I$55,6,0)*VLOOKUP('Données projet'!$B$9,Paramètres!$A$1:$I$89,7,0))</f>
        <v>0.13500000000000001</v>
      </c>
      <c r="Y19" s="16">
        <f>IF(ISNA(VLOOKUP(A19,'Données projet'!$A$35:$I$55,7,0)),0%,VLOOKUP(A19,'Données projet'!$A$35:$I$55,7,0))</f>
        <v>0.5</v>
      </c>
      <c r="Z19" s="21">
        <f>EXP(-LN(2)/35)*Z18+(1-EXP(-LN(2)/35))/(LN(2)/35)*V19*W19*VLOOKUP('Données projet'!$B$9,Paramètres!$A$1:$I$89,3,0)*0.475*44/12</f>
        <v>4.3249317658467614</v>
      </c>
      <c r="AA19" s="21">
        <f>EXP(-LN(2)/25)*AA18+(1-EXP(-LN(2)/25))/(LN(2)/25)*Calculateur!V19*Calculateur!X19*VLOOKUP('Données projet'!$B$9,Paramètres!$A$1:$I$89,3,0)*0.475*44/12</f>
        <v>13.269885428577744</v>
      </c>
      <c r="AB19" s="21">
        <f>EXP(-LN(2)/2)*AB18+(1-EXP(-LN(2)/2))/(LN(2)/2)*V19*Y19*VLOOKUP('Données projet'!$B$9,Paramètres!$A$1:$I$89,3,0)*0.475*44/12</f>
        <v>24.128606211282378</v>
      </c>
      <c r="AC19" s="22">
        <f t="shared" si="3"/>
        <v>41.723423405706882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2.85</v>
      </c>
      <c r="AI19" s="13">
        <f>IF('Données projet'!$A$62&gt;35,AI18+AH19-AQ18,IF(A19&lt;'Données projet'!$A$62,$AF$205^A19,IF(A19='Données projet'!$A$62,'Données projet'!$B$62,AI18+AH19-AQ18)))</f>
        <v>25.392173948075062</v>
      </c>
      <c r="AJ19" s="13">
        <f>AI19*VLOOKUP('Données projet'!$B$10,Paramètres!$A$1:$I$89,3,0)*VLOOKUP('Données projet'!$B$10,Paramètres!$A$1:$I$89,5,0)</f>
        <v>21.390367333858435</v>
      </c>
      <c r="AK19" s="13">
        <f t="shared" si="35"/>
        <v>6.9013317420809139</v>
      </c>
      <c r="AL19" s="20">
        <f t="shared" si="4"/>
        <v>49.274709223927694</v>
      </c>
      <c r="AM19" s="59">
        <f t="shared" si="5"/>
        <v>342.608042557261</v>
      </c>
      <c r="AN19" s="59">
        <f ca="1">AVERAGE(OFFSET($AM$3,0,0,'Données projet'!$E$10+1,1))-AVERAGE(OFFSET($H$3,0,0,'Données projet'!$E$10+1,1))</f>
        <v>247.67539667223065</v>
      </c>
      <c r="AO19" s="59">
        <f t="shared" si="36"/>
        <v>174.54442616983778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2.9235042735042733</v>
      </c>
      <c r="BD19" s="12">
        <f>IF('Données projet'!$A$88&gt;35,BD18+BC19-BL18,IF(A19&lt;'Données projet'!$A$88,$BA$205^A19,IF(A19='Données projet'!$A$88,'Données projet'!$B$88,BD18+BC19-BL18)))</f>
        <v>10.87126277571476</v>
      </c>
      <c r="BE19" s="13">
        <f>BD19*VLOOKUP('Données projet'!$B$11,Paramètres!$A$1:$I$89,3,0)*VLOOKUP('Données projet'!$B$11,Paramètres!$A$1:$I$89,5,0)</f>
        <v>10.853868755273616</v>
      </c>
      <c r="BF19" s="13">
        <f t="shared" si="37"/>
        <v>3.7896106062082286</v>
      </c>
      <c r="BG19" s="20">
        <f t="shared" si="7"/>
        <v>25.50405988791421</v>
      </c>
      <c r="BH19" s="59">
        <f t="shared" si="8"/>
        <v>318.83739322124751</v>
      </c>
      <c r="BI19" s="59">
        <f ca="1">AVERAGE(OFFSET($BH$3,0,0,'Données projet'!$E$11+1,1))-AVERAGE(OFFSET($H$3,0,0,'Données projet'!$E$11+1,1))</f>
        <v>245.06609107649069</v>
      </c>
      <c r="BJ19" s="59">
        <f t="shared" si="38"/>
        <v>156.24531945456499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1.2727507793416999</v>
      </c>
      <c r="BY19" s="12">
        <f>IF('Données projet'!$A$114&gt;35,BY18+BX19-CG18,IF(A19&lt;'Données projet'!$A$114,$BV$205^A19,IF(A19='Données projet'!$A$114,'Données projet'!$B$114,BY18+BX19-CG18)))</f>
        <v>13.267216363831704</v>
      </c>
      <c r="BZ19" s="13">
        <f>BY19*VLOOKUP('Données projet'!$B$12,Paramètres!$A$1:$I$89,3,0)*VLOOKUP('Données projet'!$B$12,Paramètres!$A$1:$I$89,5,0)</f>
        <v>14.48780026930422</v>
      </c>
      <c r="CA19" s="13">
        <f t="shared" si="39"/>
        <v>4.8911820748152621</v>
      </c>
      <c r="CB19" s="20">
        <f t="shared" si="10"/>
        <v>33.751727582674768</v>
      </c>
      <c r="CC19" s="59">
        <f t="shared" si="11"/>
        <v>327.0850609160081</v>
      </c>
      <c r="CD19" s="59">
        <f ca="1">AVERAGE(OFFSET($CC$3,0,0,'Données projet'!$E$12+1,1))-AVERAGE(OFFSET($H$3,0,0,'Données projet'!$E$12+1,1))</f>
        <v>173.63857221119594</v>
      </c>
      <c r="CE19" s="59">
        <f t="shared" si="40"/>
        <v>52.373745617370105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18.83653846153846</v>
      </c>
      <c r="N20" s="13">
        <f>IF('Données projet'!$A$36&gt;35,N19+M20-V19,IF(A20&lt;'Données projet'!$A$36,$K$205^A20,IF(A20='Données projet'!$A$36,'Données projet'!$B$36,N19+M20-V19)))</f>
        <v>136.65192307692308</v>
      </c>
      <c r="O20" s="13">
        <f>N20*VLOOKUP('Données projet'!$B$9,Paramètres!$A$1:$I$89,3,0)*VLOOKUP('Données projet'!$B$9,Paramètres!$A$1:$I$89,5,0)</f>
        <v>81.717850000000013</v>
      </c>
      <c r="P20" s="13">
        <f t="shared" si="33"/>
        <v>22.55668661364184</v>
      </c>
      <c r="Q20" s="20">
        <f t="shared" si="2"/>
        <v>181.6114846020929</v>
      </c>
      <c r="R20" s="59">
        <f t="shared" si="0"/>
        <v>474.94481793542622</v>
      </c>
      <c r="S20" s="59">
        <f ca="1">AVERAGE(OFFSET($R$3,0,0,'Données projet'!$E$9+1,1))-AVERAGE(OFFSET($H$3,0,0,'Données projet'!$E$9+1,1))</f>
        <v>175.34314856709307</v>
      </c>
      <c r="T20" s="59">
        <f t="shared" si="34"/>
        <v>296.28950942251339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4.2401224918664076</v>
      </c>
      <c r="AA20" s="21">
        <f>EXP(-LN(2)/25)*AA19+(1-EXP(-LN(2)/25))/(LN(2)/25)*Calculateur!V20*Calculateur!X20*VLOOKUP('Données projet'!$B$9,Paramètres!$A$1:$I$89,3,0)*0.475*44/12</f>
        <v>12.90701971370034</v>
      </c>
      <c r="AB20" s="21">
        <f>EXP(-LN(2)/2)*AB19+(1-EXP(-LN(2)/2))/(LN(2)/2)*V20*Y20*VLOOKUP('Données projet'!$B$9,Paramètres!$A$1:$I$89,3,0)*0.475*44/12</f>
        <v>17.06150107257762</v>
      </c>
      <c r="AC20" s="22">
        <f t="shared" si="3"/>
        <v>34.208643278144365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2.85</v>
      </c>
      <c r="AI20" s="13">
        <f>IF('Données projet'!$A$62&gt;35,AI19+AH20-AQ19,IF(A20&lt;'Données projet'!$A$62,$AF$205^A20,IF(A20='Données projet'!$A$62,'Données projet'!$B$62,AI19+AH20-AQ19)))</f>
        <v>31.080902954246678</v>
      </c>
      <c r="AJ20" s="13">
        <f>AI20*VLOOKUP('Données projet'!$B$10,Paramètres!$A$1:$I$89,3,0)*VLOOKUP('Données projet'!$B$10,Paramètres!$A$1:$I$89,5,0)</f>
        <v>26.182552648657406</v>
      </c>
      <c r="AK20" s="13">
        <f t="shared" si="35"/>
        <v>8.2510164935125143</v>
      </c>
      <c r="AL20" s="20">
        <f t="shared" si="4"/>
        <v>59.971799589279279</v>
      </c>
      <c r="AM20" s="59">
        <f t="shared" si="5"/>
        <v>353.30513292261259</v>
      </c>
      <c r="AN20" s="59">
        <f ca="1">AVERAGE(OFFSET($AM$3,0,0,'Données projet'!$E$10+1,1))-AVERAGE(OFFSET($H$3,0,0,'Données projet'!$E$10+1,1))</f>
        <v>247.67539667223065</v>
      </c>
      <c r="AO20" s="59">
        <f t="shared" si="36"/>
        <v>174.54442616983778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2.9235042735042733</v>
      </c>
      <c r="BD20" s="12">
        <f>IF('Données projet'!$A$88&gt;35,BD19+BC20-BL19,IF(A20&lt;'Données projet'!$A$88,$BA$205^A20,IF(A20='Données projet'!$A$88,'Données projet'!$B$88,BD19+BC20-BL19)))</f>
        <v>12.619655315413629</v>
      </c>
      <c r="BE20" s="13">
        <f>BD20*VLOOKUP('Données projet'!$B$11,Paramètres!$A$1:$I$89,3,0)*VLOOKUP('Données projet'!$B$11,Paramètres!$A$1:$I$89,5,0)</f>
        <v>12.59946386690897</v>
      </c>
      <c r="BF20" s="13">
        <f t="shared" si="37"/>
        <v>4.3233774183973033</v>
      </c>
      <c r="BG20" s="20">
        <f t="shared" si="7"/>
        <v>29.473948571908423</v>
      </c>
      <c r="BH20" s="59">
        <f t="shared" si="8"/>
        <v>322.80728190524172</v>
      </c>
      <c r="BI20" s="59">
        <f ca="1">AVERAGE(OFFSET($BH$3,0,0,'Données projet'!$E$11+1,1))-AVERAGE(OFFSET($H$3,0,0,'Données projet'!$E$11+1,1))</f>
        <v>245.06609107649069</v>
      </c>
      <c r="BJ20" s="59">
        <f t="shared" si="38"/>
        <v>156.24531945456499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1.2727507793416999</v>
      </c>
      <c r="BY20" s="12">
        <f>IF('Données projet'!$A$114&gt;35,BY19+BX20-CG19,IF(A20&lt;'Données projet'!$A$114,$BV$205^A20,IF(A20='Données projet'!$A$114,'Données projet'!$B$114,BY19+BX20-CG19)))</f>
        <v>14.539967143173403</v>
      </c>
      <c r="BZ20" s="13">
        <f>BY20*VLOOKUP('Données projet'!$B$12,Paramètres!$A$1:$I$89,3,0)*VLOOKUP('Données projet'!$B$12,Paramètres!$A$1:$I$89,5,0)</f>
        <v>15.877644120345353</v>
      </c>
      <c r="CA20" s="13">
        <f t="shared" si="39"/>
        <v>5.3035495480219979</v>
      </c>
      <c r="CB20" s="20">
        <f t="shared" si="10"/>
        <v>36.890578972406466</v>
      </c>
      <c r="CC20" s="59">
        <f t="shared" si="11"/>
        <v>330.22391230573976</v>
      </c>
      <c r="CD20" s="59">
        <f ca="1">AVERAGE(OFFSET($CC$3,0,0,'Données projet'!$E$12+1,1))-AVERAGE(OFFSET($H$3,0,0,'Données projet'!$E$12+1,1))</f>
        <v>173.63857221119594</v>
      </c>
      <c r="CE20" s="59">
        <f t="shared" si="40"/>
        <v>52.373745617370105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18.83653846153846</v>
      </c>
      <c r="N21" s="13">
        <f>IF('Données projet'!$A$36&gt;35,N20+M21-V20,IF(A21&lt;'Données projet'!$A$36,$K$205^A21,IF(A21='Données projet'!$A$36,'Données projet'!$B$36,N20+M21-V20)))</f>
        <v>155.48846153846154</v>
      </c>
      <c r="O21" s="13">
        <f>N21*VLOOKUP('Données projet'!$B$9,Paramètres!$A$1:$I$89,3,0)*VLOOKUP('Données projet'!$B$9,Paramètres!$A$1:$I$89,5,0)</f>
        <v>92.982100000000003</v>
      </c>
      <c r="P21" s="13">
        <f t="shared" si="33"/>
        <v>25.283065569270693</v>
      </c>
      <c r="Q21" s="20">
        <f t="shared" si="2"/>
        <v>205.97849669981312</v>
      </c>
      <c r="R21" s="59">
        <f t="shared" si="0"/>
        <v>499.31183003314641</v>
      </c>
      <c r="S21" s="59">
        <f ca="1">AVERAGE(OFFSET($R$3,0,0,'Données projet'!$E$9+1,1))-AVERAGE(OFFSET($H$3,0,0,'Données projet'!$E$9+1,1))</f>
        <v>175.34314856709307</v>
      </c>
      <c r="T21" s="59">
        <f t="shared" si="34"/>
        <v>296.28950942251339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4.1569762760202593</v>
      </c>
      <c r="AA21" s="21">
        <f>EXP(-LN(2)/25)*AA20+(1-EXP(-LN(2)/25))/(LN(2)/25)*Calculateur!V21*Calculateur!X21*VLOOKUP('Données projet'!$B$9,Paramètres!$A$1:$I$89,3,0)*0.475*44/12</f>
        <v>12.554076580878537</v>
      </c>
      <c r="AB21" s="21">
        <f>EXP(-LN(2)/2)*AB20+(1-EXP(-LN(2)/2))/(LN(2)/2)*V21*Y21*VLOOKUP('Données projet'!$B$9,Paramètres!$A$1:$I$89,3,0)*0.475*44/12</f>
        <v>12.064303105641191</v>
      </c>
      <c r="AC21" s="22">
        <f t="shared" si="3"/>
        <v>28.775355962539987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2.85</v>
      </c>
      <c r="AI21" s="13">
        <f>IF('Données projet'!$A$62&gt;35,AI20+AH21-AQ20,IF(A21&lt;'Données projet'!$A$62,$AF$205^A21,IF(A21='Données projet'!$A$62,'Données projet'!$B$62,AI20+AH21-AQ20)))</f>
        <v>38.044104865803838</v>
      </c>
      <c r="AJ21" s="13">
        <f>AI21*VLOOKUP('Données projet'!$B$10,Paramètres!$A$1:$I$89,3,0)*VLOOKUP('Données projet'!$B$10,Paramètres!$A$1:$I$89,5,0)</f>
        <v>32.048353938953156</v>
      </c>
      <c r="AK21" s="13">
        <f t="shared" si="35"/>
        <v>9.8646573908484534</v>
      </c>
      <c r="AL21" s="20">
        <f t="shared" si="4"/>
        <v>72.998494732737797</v>
      </c>
      <c r="AM21" s="59">
        <f t="shared" si="5"/>
        <v>366.33182806607113</v>
      </c>
      <c r="AN21" s="59">
        <f ca="1">AVERAGE(OFFSET($AM$3,0,0,'Données projet'!$E$10+1,1))-AVERAGE(OFFSET($H$3,0,0,'Données projet'!$E$10+1,1))</f>
        <v>247.67539667223065</v>
      </c>
      <c r="AO21" s="59">
        <f t="shared" si="36"/>
        <v>174.54442616983778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2.9235042735042733</v>
      </c>
      <c r="BD21" s="12">
        <f>IF('Données projet'!$A$88&gt;35,BD20+BC21-BL20,IF(A21&lt;'Données projet'!$A$88,$BA$205^A21,IF(A21='Données projet'!$A$88,'Données projet'!$B$88,BD20+BC21-BL20)))</f>
        <v>14.649236575865659</v>
      </c>
      <c r="BE21" s="13">
        <f>BD21*VLOOKUP('Données projet'!$B$11,Paramètres!$A$1:$I$89,3,0)*VLOOKUP('Données projet'!$B$11,Paramètres!$A$1:$I$89,5,0)</f>
        <v>14.625797797344275</v>
      </c>
      <c r="BF21" s="13">
        <f t="shared" si="37"/>
        <v>4.9323253083804239</v>
      </c>
      <c r="BG21" s="20">
        <f t="shared" si="7"/>
        <v>34.063731075803851</v>
      </c>
      <c r="BH21" s="59">
        <f t="shared" si="8"/>
        <v>327.39706440913716</v>
      </c>
      <c r="BI21" s="59">
        <f ca="1">AVERAGE(OFFSET($BH$3,0,0,'Données projet'!$E$11+1,1))-AVERAGE(OFFSET($H$3,0,0,'Données projet'!$E$11+1,1))</f>
        <v>245.06609107649069</v>
      </c>
      <c r="BJ21" s="59">
        <f t="shared" si="38"/>
        <v>156.24531945456499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1.2727507793416999</v>
      </c>
      <c r="BY21" s="12">
        <f>IF('Données projet'!$A$114&gt;35,BY20+BX21-CG20,IF(A21&lt;'Données projet'!$A$114,$BV$205^A21,IF(A21='Données projet'!$A$114,'Données projet'!$B$114,BY20+BX21-CG20)))</f>
        <v>15.812717922515102</v>
      </c>
      <c r="BZ21" s="13">
        <f>BY21*VLOOKUP('Données projet'!$B$12,Paramètres!$A$1:$I$89,3,0)*VLOOKUP('Données projet'!$B$12,Paramètres!$A$1:$I$89,5,0)</f>
        <v>17.26748797138649</v>
      </c>
      <c r="CA21" s="13">
        <f t="shared" si="39"/>
        <v>5.7117310900848208</v>
      </c>
      <c r="CB21" s="20">
        <f t="shared" si="10"/>
        <v>40.022139865395864</v>
      </c>
      <c r="CC21" s="59">
        <f t="shared" si="11"/>
        <v>333.35547319872916</v>
      </c>
      <c r="CD21" s="59">
        <f ca="1">AVERAGE(OFFSET($CC$3,0,0,'Données projet'!$E$12+1,1))-AVERAGE(OFFSET($H$3,0,0,'Données projet'!$E$12+1,1))</f>
        <v>173.63857221119594</v>
      </c>
      <c r="CE21" s="59">
        <f t="shared" si="40"/>
        <v>52.373745617370105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18.83653846153846</v>
      </c>
      <c r="N22" s="13">
        <f>IF('Données projet'!$A$36&gt;35,N21+M22-V21,IF(A22&lt;'Données projet'!$A$36,$K$205^A22,IF(A22='Données projet'!$A$36,'Données projet'!$B$36,N21+M22-V21)))</f>
        <v>174.32499999999999</v>
      </c>
      <c r="O22" s="13">
        <f>N22*VLOOKUP('Données projet'!$B$9,Paramètres!$A$1:$I$89,3,0)*VLOOKUP('Données projet'!$B$9,Paramètres!$A$1:$I$89,5,0)</f>
        <v>104.24634999999999</v>
      </c>
      <c r="P22" s="13">
        <f t="shared" si="33"/>
        <v>27.971170394054006</v>
      </c>
      <c r="Q22" s="20">
        <f t="shared" si="2"/>
        <v>230.27884801964402</v>
      </c>
      <c r="R22" s="59">
        <f t="shared" si="0"/>
        <v>523.61218135297736</v>
      </c>
      <c r="S22" s="59">
        <f ca="1">AVERAGE(OFFSET($R$3,0,0,'Données projet'!$E$9+1,1))-AVERAGE(OFFSET($H$3,0,0,'Données projet'!$E$9+1,1))</f>
        <v>175.34314856709307</v>
      </c>
      <c r="T22" s="59">
        <f t="shared" si="34"/>
        <v>296.28950942251339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4.0754605067526697</v>
      </c>
      <c r="AA22" s="21">
        <f>EXP(-LN(2)/25)*AA21+(1-EXP(-LN(2)/25))/(LN(2)/25)*Calculateur!V22*Calculateur!X22*VLOOKUP('Données projet'!$B$9,Paramètres!$A$1:$I$89,3,0)*0.475*44/12</f>
        <v>12.210784696584218</v>
      </c>
      <c r="AB22" s="21">
        <f>EXP(-LN(2)/2)*AB21+(1-EXP(-LN(2)/2))/(LN(2)/2)*V22*Y22*VLOOKUP('Données projet'!$B$9,Paramètres!$A$1:$I$89,3,0)*0.475*44/12</f>
        <v>8.5307505362888119</v>
      </c>
      <c r="AC22" s="22">
        <f t="shared" si="3"/>
        <v>24.816995739625703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2.85</v>
      </c>
      <c r="AI22" s="13">
        <f>IF('Données projet'!$A$62&gt;35,AI21+AH22-AQ21,IF(A22&lt;'Données projet'!$A$62,$AF$205^A22,IF(A22='Données projet'!$A$62,'Données projet'!$B$62,AI21+AH22-AQ21)))</f>
        <v>46.567305884609858</v>
      </c>
      <c r="AJ22" s="13">
        <f>AI22*VLOOKUP('Données projet'!$B$10,Paramètres!$A$1:$I$89,3,0)*VLOOKUP('Données projet'!$B$10,Paramètres!$A$1:$I$89,5,0)</f>
        <v>39.228298477195352</v>
      </c>
      <c r="AK22" s="13">
        <f t="shared" si="35"/>
        <v>11.793876004893901</v>
      </c>
      <c r="AL22" s="20">
        <f t="shared" si="4"/>
        <v>88.863620556305435</v>
      </c>
      <c r="AM22" s="59">
        <f t="shared" si="5"/>
        <v>382.19695388963873</v>
      </c>
      <c r="AN22" s="59">
        <f ca="1">AVERAGE(OFFSET($AM$3,0,0,'Données projet'!$E$10+1,1))-AVERAGE(OFFSET($H$3,0,0,'Données projet'!$E$10+1,1))</f>
        <v>247.67539667223065</v>
      </c>
      <c r="AO22" s="59">
        <f t="shared" si="36"/>
        <v>174.54442616983778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2.9235042735042733</v>
      </c>
      <c r="BD22" s="12">
        <f>IF('Données projet'!$A$88&gt;35,BD21+BC22-BL21,IF(A22&lt;'Données projet'!$A$88,$BA$205^A22,IF(A22='Données projet'!$A$88,'Données projet'!$B$88,BD21+BC22-BL21)))</f>
        <v>17.005229294461625</v>
      </c>
      <c r="BE22" s="13">
        <f>BD22*VLOOKUP('Données projet'!$B$11,Paramètres!$A$1:$I$89,3,0)*VLOOKUP('Données projet'!$B$11,Paramètres!$A$1:$I$89,5,0)</f>
        <v>16.978020927590485</v>
      </c>
      <c r="BF22" s="13">
        <f t="shared" si="37"/>
        <v>5.6270435341054474</v>
      </c>
      <c r="BG22" s="20">
        <f t="shared" si="7"/>
        <v>39.370487270787081</v>
      </c>
      <c r="BH22" s="59">
        <f t="shared" si="8"/>
        <v>332.70382060412038</v>
      </c>
      <c r="BI22" s="59">
        <f ca="1">AVERAGE(OFFSET($BH$3,0,0,'Données projet'!$E$11+1,1))-AVERAGE(OFFSET($H$3,0,0,'Données projet'!$E$11+1,1))</f>
        <v>245.06609107649069</v>
      </c>
      <c r="BJ22" s="59">
        <f t="shared" si="38"/>
        <v>156.24531945456499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1.2727507793416999</v>
      </c>
      <c r="BY22" s="12">
        <f>IF('Données projet'!$A$114&gt;35,BY21+BX22-CG21,IF(A22&lt;'Données projet'!$A$114,$BV$205^A22,IF(A22='Données projet'!$A$114,'Données projet'!$B$114,BY21+BX22-CG21)))</f>
        <v>17.085468701856801</v>
      </c>
      <c r="BZ22" s="13">
        <f>BY22*VLOOKUP('Données projet'!$B$12,Paramètres!$A$1:$I$89,3,0)*VLOOKUP('Données projet'!$B$12,Paramètres!$A$1:$I$89,5,0)</f>
        <v>18.657331822427626</v>
      </c>
      <c r="CA22" s="13">
        <f t="shared" si="39"/>
        <v>6.1161019273972235</v>
      </c>
      <c r="CB22" s="20">
        <f t="shared" si="10"/>
        <v>43.14706378094494</v>
      </c>
      <c r="CC22" s="59">
        <f t="shared" si="11"/>
        <v>336.48039711427828</v>
      </c>
      <c r="CD22" s="59">
        <f ca="1">AVERAGE(OFFSET($CC$3,0,0,'Données projet'!$E$12+1,1))-AVERAGE(OFFSET($H$3,0,0,'Données projet'!$E$12+1,1))</f>
        <v>173.63857221119594</v>
      </c>
      <c r="CE22" s="59">
        <f t="shared" si="40"/>
        <v>52.373745617370105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193.16153846153847</v>
      </c>
      <c r="L23" s="12">
        <f>VLOOKUP(A23,'Données projet'!$A$35:$I$55,9,0)</f>
        <v>18.83653846153846</v>
      </c>
      <c r="M23" s="12">
        <f t="array" ref="M23">INDEX(L:L,MIN(IF(ISNUMBER(L23:L219),ROW(L23:L219),"")))</f>
        <v>18.83653846153846</v>
      </c>
      <c r="N23" s="13">
        <f>IF('Données projet'!$A$36&gt;35,N22+M23-V22,IF(A23&lt;'Données projet'!$A$36,$K$205^A23,IF(A23='Données projet'!$A$36,'Données projet'!$B$36,N22+M23-V22)))</f>
        <v>193.16153846153844</v>
      </c>
      <c r="O23" s="13">
        <f>N23*VLOOKUP('Données projet'!$B$9,Paramètres!$A$1:$I$89,3,0)*VLOOKUP('Données projet'!$B$9,Paramètres!$A$1:$I$89,5,0)</f>
        <v>115.5106</v>
      </c>
      <c r="P23" s="13">
        <f t="shared" si="33"/>
        <v>30.625608218015273</v>
      </c>
      <c r="Q23" s="20">
        <f t="shared" si="2"/>
        <v>254.52056264637659</v>
      </c>
      <c r="R23" s="59">
        <f t="shared" si="0"/>
        <v>547.85389597970993</v>
      </c>
      <c r="S23" s="59">
        <f ca="1">AVERAGE(OFFSET($R$3,0,0,'Données projet'!$E$9+1,1))-AVERAGE(OFFSET($H$3,0,0,'Données projet'!$E$9+1,1))</f>
        <v>175.34314856709307</v>
      </c>
      <c r="T23" s="59">
        <f t="shared" si="34"/>
        <v>296.28950942251339</v>
      </c>
      <c r="U23" s="15">
        <f>IF(ISNA(VLOOKUP(A23,'Données projet'!$A$35:$I$55,3,0)),0,VLOOKUP(A23,'Données projet'!$A$35:$I$55,3,0))</f>
        <v>3</v>
      </c>
      <c r="V23" s="15">
        <f>IF(ISNA(VLOOKUP(A23,'Données projet'!$A$35:$I$55,4,0)),0,VLOOKUP(A23,'Données projet'!$A$35:$I$55,4,0))</f>
        <v>48.253846153846148</v>
      </c>
      <c r="W23" s="16">
        <f>IF(ISNA(VLOOKUP(A23,'Données projet'!$A$35:$I$55,5,0)),0%,VLOOKUP(A23,'Données projet'!$A$35:$I$55,5,0)*VLOOKUP('Données projet'!$B$9,Paramètres!$A$1:$I$89,7,0))</f>
        <v>0.13500000000000001</v>
      </c>
      <c r="X23" s="16">
        <f>IF(ISNA(VLOOKUP(A23,'Données projet'!$A$35:$I$55,6,0)),0%,VLOOKUP(A23,'Données projet'!$A$35:$I$55,6,0)*VLOOKUP('Données projet'!$B$9,Paramètres!$A$1:$I$89,7,0))</f>
        <v>0.1575</v>
      </c>
      <c r="Y23" s="16">
        <f>IF(ISNA(VLOOKUP(A23,'Données projet'!$A$35:$I$55,7,0)),0%,VLOOKUP(A23,'Données projet'!$A$35:$I$55,7,0))</f>
        <v>0.35</v>
      </c>
      <c r="Z23" s="21">
        <f>EXP(-LN(2)/35)*Z22+(1-EXP(-LN(2)/35))/(LN(2)/35)*V23*W23*VLOOKUP('Données projet'!$B$9,Paramètres!$A$1:$I$89,3,0)*0.475*44/12</f>
        <v>9.163218824792466</v>
      </c>
      <c r="AA23" s="21">
        <f>EXP(-LN(2)/25)*AA22+(1-EXP(-LN(2)/25))/(LN(2)/25)*Calculateur!V23*Calculateur!X23*VLOOKUP('Données projet'!$B$9,Paramètres!$A$1:$I$89,3,0)*0.475*44/12</f>
        <v>17.882096735928521</v>
      </c>
      <c r="AB23" s="21">
        <f>EXP(-LN(2)/2)*AB22+(1-EXP(-LN(2)/2))/(LN(2)/2)*V23*Y23*VLOOKUP('Données projet'!$B$9,Paramètres!$A$1:$I$89,3,0)*0.475*44/12</f>
        <v>17.46716560865806</v>
      </c>
      <c r="AC23" s="22">
        <f t="shared" si="3"/>
        <v>44.512481169379043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57</v>
      </c>
      <c r="AG23" s="12">
        <f>VLOOKUP(A23,'Données projet'!$A$61:$I$81,9,0)</f>
        <v>2.85</v>
      </c>
      <c r="AH23" s="12">
        <f t="array" ref="AH23">INDEX(AG:AG,MIN(IF(ISNUMBER(AG23:AG219),ROW(AG23:AG219),"")))</f>
        <v>2.85</v>
      </c>
      <c r="AI23" s="13">
        <f>IF('Données projet'!$A$62&gt;35,AI22+AH23-AQ22,IF(A23&lt;'Données projet'!$A$62,$AF$205^A23,IF(A23='Données projet'!$A$62,'Données projet'!$B$62,AI22+AH23-AQ22)))</f>
        <v>57</v>
      </c>
      <c r="AJ23" s="13">
        <f>AI23*VLOOKUP('Données projet'!$B$10,Paramètres!$A$1:$I$89,3,0)*VLOOKUP('Données projet'!$B$10,Paramètres!$A$1:$I$89,5,0)</f>
        <v>48.016800000000003</v>
      </c>
      <c r="AK23" s="13">
        <f t="shared" si="35"/>
        <v>14.10038947200055</v>
      </c>
      <c r="AL23" s="20">
        <f t="shared" si="4"/>
        <v>108.18743833040098</v>
      </c>
      <c r="AM23" s="59">
        <f t="shared" si="5"/>
        <v>401.52077166373431</v>
      </c>
      <c r="AN23" s="59">
        <f ca="1">AVERAGE(OFFSET($AM$3,0,0,'Données projet'!$E$10+1,1))-AVERAGE(OFFSET($H$3,0,0,'Données projet'!$E$10+1,1))</f>
        <v>247.67539667223065</v>
      </c>
      <c r="AO23" s="59">
        <f t="shared" si="36"/>
        <v>174.54442616983778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11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0.1075</v>
      </c>
      <c r="AT23" s="16">
        <f>IF(ISNA(VLOOKUP(A23,'Données projet'!$A$61:$I$81,7,0)),0%,VLOOKUP(A23,'Données projet'!$A$61:$I$81,7,0))</f>
        <v>0.25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1.0968652047913232</v>
      </c>
      <c r="AW23" s="21">
        <f>EXP(-LN(2)/2)*AW22+(1-EXP(-LN(2)/2))/(LN(2)/2)*AQ23*AT23*VLOOKUP('Données projet'!$B$10,Paramètres!$A$1:$I$89,3,0)*0.475*44/12</f>
        <v>2.1857744503748422</v>
      </c>
      <c r="AX23" s="21">
        <f t="shared" si="6"/>
        <v>3.2826396551661654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2.9235042735042733</v>
      </c>
      <c r="BD23" s="12">
        <f>IF('Données projet'!$A$88&gt;35,BD22+BC23-BL22,IF(A23&lt;'Données projet'!$A$88,$BA$205^A23,IF(A23='Données projet'!$A$88,'Données projet'!$B$88,BD22+BC23-BL22)))</f>
        <v>19.740129245617538</v>
      </c>
      <c r="BE23" s="13">
        <f>BD23*VLOOKUP('Données projet'!$B$11,Paramètres!$A$1:$I$89,3,0)*VLOOKUP('Données projet'!$B$11,Paramètres!$A$1:$I$89,5,0)</f>
        <v>19.70854503882455</v>
      </c>
      <c r="BF23" s="13">
        <f t="shared" si="37"/>
        <v>6.4196128509445325</v>
      </c>
      <c r="BG23" s="20">
        <f t="shared" si="7"/>
        <v>45.506541658014477</v>
      </c>
      <c r="BH23" s="59">
        <f t="shared" si="8"/>
        <v>338.83987499134781</v>
      </c>
      <c r="BI23" s="59">
        <f ca="1">AVERAGE(OFFSET($BH$3,0,0,'Données projet'!$E$11+1,1))-AVERAGE(OFFSET($H$3,0,0,'Données projet'!$E$11+1,1))</f>
        <v>245.06609107649069</v>
      </c>
      <c r="BJ23" s="59">
        <f t="shared" si="38"/>
        <v>156.24531945456499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18.358219481198507</v>
      </c>
      <c r="BW23" s="12">
        <f>VLOOKUP(A23,'Données projet'!$A$113:$I$133,9,0)</f>
        <v>1.2727507793416999</v>
      </c>
      <c r="BX23" s="12">
        <f t="array" ref="BX23">INDEX(BW:BW,MIN(IF(ISNUMBER(BW23:BW219),ROW(BW23:BW219),"")))</f>
        <v>1.2727507793416999</v>
      </c>
      <c r="BY23" s="12">
        <f>IF('Données projet'!$A$114&gt;35,BY22+BX23-CG22,IF(A23&lt;'Données projet'!$A$114,$BV$205^A23,IF(A23='Données projet'!$A$114,'Données projet'!$B$114,BY22+BX23-CG22)))</f>
        <v>18.3582194811985</v>
      </c>
      <c r="BZ23" s="13">
        <f>BY23*VLOOKUP('Données projet'!$B$12,Paramètres!$A$1:$I$89,3,0)*VLOOKUP('Données projet'!$B$12,Paramètres!$A$1:$I$89,5,0)</f>
        <v>20.047175673468761</v>
      </c>
      <c r="CA23" s="13">
        <f t="shared" si="39"/>
        <v>6.5169782108444219</v>
      </c>
      <c r="CB23" s="20">
        <f t="shared" si="10"/>
        <v>46.265901348512124</v>
      </c>
      <c r="CC23" s="59">
        <f t="shared" si="11"/>
        <v>339.59923468184542</v>
      </c>
      <c r="CD23" s="59">
        <f ca="1">AVERAGE(OFFSET($CC$3,0,0,'Données projet'!$E$12+1,1))-AVERAGE(OFFSET($H$3,0,0,'Données projet'!$E$12+1,1))</f>
        <v>173.63857221119594</v>
      </c>
      <c r="CE23" s="59">
        <f t="shared" si="40"/>
        <v>52.373745617370105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17.252307692307689</v>
      </c>
      <c r="N24" s="13">
        <f>IF('Données projet'!$A$36&gt;35,N23+M24-V23,IF(A24&lt;'Données projet'!$A$36,$K$205^A24,IF(A24='Données projet'!$A$36,'Données projet'!$B$36,N23+M24-V23)))</f>
        <v>162.15999999999997</v>
      </c>
      <c r="O24" s="13">
        <f>N24*VLOOKUP('Données projet'!$B$9,Paramètres!$A$1:$I$89,3,0)*VLOOKUP('Données projet'!$B$9,Paramètres!$A$1:$I$89,5,0)</f>
        <v>96.971679999999992</v>
      </c>
      <c r="P24" s="13">
        <f t="shared" si="33"/>
        <v>26.239255951745871</v>
      </c>
      <c r="Q24" s="20">
        <f t="shared" si="2"/>
        <v>214.59238011595735</v>
      </c>
      <c r="R24" s="59">
        <f t="shared" si="0"/>
        <v>507.9257134492907</v>
      </c>
      <c r="S24" s="59">
        <f ca="1">AVERAGE(OFFSET($R$3,0,0,'Données projet'!$E$9+1,1))-AVERAGE(OFFSET($H$3,0,0,'Données projet'!$E$9+1,1))</f>
        <v>175.34314856709307</v>
      </c>
      <c r="T24" s="59">
        <f t="shared" si="34"/>
        <v>296.28950942251339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8.9835336926498996</v>
      </c>
      <c r="AA24" s="21">
        <f>EXP(-LN(2)/25)*AA23+(1-EXP(-LN(2)/25))/(LN(2)/25)*Calculateur!V24*Calculateur!X24*VLOOKUP('Données projet'!$B$9,Paramètres!$A$1:$I$89,3,0)*0.475*44/12</f>
        <v>17.393109860305959</v>
      </c>
      <c r="AB24" s="21">
        <f>EXP(-LN(2)/2)*AB23+(1-EXP(-LN(2)/2))/(LN(2)/2)*V24*Y24*VLOOKUP('Données projet'!$B$9,Paramètres!$A$1:$I$89,3,0)*0.475*44/12</f>
        <v>12.351151249990565</v>
      </c>
      <c r="AC24" s="22">
        <f t="shared" si="3"/>
        <v>38.72779480294642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6.8</v>
      </c>
      <c r="AI24" s="13">
        <f>IF('Données projet'!$A$62&gt;35,AI23+AH24-AQ23,IF(A24&lt;'Données projet'!$A$62,$AF$205^A24,IF(A24='Données projet'!$A$62,'Données projet'!$B$62,AI23+AH24-AQ23)))</f>
        <v>52.8</v>
      </c>
      <c r="AJ24" s="13">
        <f>AI24*VLOOKUP('Données projet'!$B$10,Paramètres!$A$1:$I$89,3,0)*VLOOKUP('Données projet'!$B$10,Paramètres!$A$1:$I$89,5,0)</f>
        <v>44.478720000000003</v>
      </c>
      <c r="AK24" s="13">
        <f t="shared" si="35"/>
        <v>13.178300916389837</v>
      </c>
      <c r="AL24" s="20">
        <f t="shared" si="4"/>
        <v>100.41931142937896</v>
      </c>
      <c r="AM24" s="59">
        <f t="shared" si="5"/>
        <v>393.75264476271229</v>
      </c>
      <c r="AN24" s="59">
        <f ca="1">AVERAGE(OFFSET($AM$3,0,0,'Données projet'!$E$10+1,1))-AVERAGE(OFFSET($H$3,0,0,'Données projet'!$E$10+1,1))</f>
        <v>247.67539667223065</v>
      </c>
      <c r="AO24" s="59">
        <f t="shared" si="36"/>
        <v>174.54442616983778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1.0668713680846702</v>
      </c>
      <c r="AW24" s="21">
        <f>EXP(-LN(2)/2)*AW23+(1-EXP(-LN(2)/2))/(LN(2)/2)*AQ24*AT24*VLOOKUP('Données projet'!$B$10,Paramètres!$A$1:$I$89,3,0)*0.475*44/12</f>
        <v>1.5455759360043497</v>
      </c>
      <c r="AX24" s="21">
        <f t="shared" si="6"/>
        <v>2.6124473040890202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2.9235042735042733</v>
      </c>
      <c r="BD24" s="12">
        <f>IF('Données projet'!$A$88&gt;35,BD23+BC24-BL23,IF(A24&lt;'Données projet'!$A$88,$BA$205^A24,IF(A24='Données projet'!$A$88,'Données projet'!$B$88,BD23+BC24-BL23)))</f>
        <v>22.91487494147438</v>
      </c>
      <c r="BE24" s="13">
        <f>BD24*VLOOKUP('Données projet'!$B$11,Paramètres!$A$1:$I$89,3,0)*VLOOKUP('Données projet'!$B$11,Paramètres!$A$1:$I$89,5,0)</f>
        <v>22.878211141568023</v>
      </c>
      <c r="BF24" s="13">
        <f t="shared" si="37"/>
        <v>7.3238155891686576</v>
      </c>
      <c r="BG24" s="20">
        <f t="shared" si="7"/>
        <v>52.601863222699713</v>
      </c>
      <c r="BH24" s="59">
        <f t="shared" si="8"/>
        <v>345.93519655603302</v>
      </c>
      <c r="BI24" s="59">
        <f ca="1">AVERAGE(OFFSET($BH$3,0,0,'Données projet'!$E$11+1,1))-AVERAGE(OFFSET($H$3,0,0,'Données projet'!$E$11+1,1))</f>
        <v>245.06609107649069</v>
      </c>
      <c r="BJ24" s="59">
        <f t="shared" si="38"/>
        <v>156.24531945456499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1.8202290328267554</v>
      </c>
      <c r="BY24" s="12">
        <f>IF('Données projet'!$A$114&gt;35,BY23+BX24-CG23,IF(A24&lt;'Données projet'!$A$114,$BV$205^A24,IF(A24='Données projet'!$A$114,'Données projet'!$B$114,BY23+BX24-CG23)))</f>
        <v>20.178448514025256</v>
      </c>
      <c r="BZ24" s="13">
        <f>BY24*VLOOKUP('Données projet'!$B$12,Paramètres!$A$1:$I$89,3,0)*VLOOKUP('Données projet'!$B$12,Paramètres!$A$1:$I$89,5,0)</f>
        <v>22.034865777315577</v>
      </c>
      <c r="CA24" s="13">
        <f t="shared" si="39"/>
        <v>7.0847482502287376</v>
      </c>
      <c r="CB24" s="20">
        <f t="shared" si="10"/>
        <v>50.716661097973009</v>
      </c>
      <c r="CC24" s="59">
        <f t="shared" si="11"/>
        <v>344.04999443130635</v>
      </c>
      <c r="CD24" s="59">
        <f ca="1">AVERAGE(OFFSET($CC$3,0,0,'Données projet'!$E$12+1,1))-AVERAGE(OFFSET($H$3,0,0,'Données projet'!$E$12+1,1))</f>
        <v>173.63857221119594</v>
      </c>
      <c r="CE24" s="59">
        <f t="shared" si="40"/>
        <v>52.373745617370105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17.252307692307689</v>
      </c>
      <c r="N25" s="13">
        <f>IF('Données projet'!$A$36&gt;35,N24+M25-V24,IF(A25&lt;'Données projet'!$A$36,$K$205^A25,IF(A25='Données projet'!$A$36,'Données projet'!$B$36,N24+M25-V24)))</f>
        <v>179.41230769230765</v>
      </c>
      <c r="O25" s="13">
        <f>N25*VLOOKUP('Données projet'!$B$9,Paramètres!$A$1:$I$89,3,0)*VLOOKUP('Données projet'!$B$9,Paramètres!$A$1:$I$89,5,0)</f>
        <v>107.28855999999999</v>
      </c>
      <c r="P25" s="13">
        <f t="shared" si="33"/>
        <v>28.691223168446143</v>
      </c>
      <c r="Q25" s="20">
        <f t="shared" si="2"/>
        <v>236.83145568504372</v>
      </c>
      <c r="R25" s="59">
        <f t="shared" si="0"/>
        <v>530.16478901837706</v>
      </c>
      <c r="S25" s="59">
        <f ca="1">AVERAGE(OFFSET($R$3,0,0,'Données projet'!$E$9+1,1))-AVERAGE(OFFSET($H$3,0,0,'Données projet'!$E$9+1,1))</f>
        <v>175.34314856709307</v>
      </c>
      <c r="T25" s="59">
        <f t="shared" si="34"/>
        <v>296.28950942251339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8.8073720763515411</v>
      </c>
      <c r="AA25" s="21">
        <f>EXP(-LN(2)/25)*AA24+(1-EXP(-LN(2)/25))/(LN(2)/25)*Calculateur!V25*Calculateur!X25*VLOOKUP('Données projet'!$B$9,Paramètres!$A$1:$I$89,3,0)*0.475*44/12</f>
        <v>16.917494356511998</v>
      </c>
      <c r="AB25" s="21">
        <f>EXP(-LN(2)/2)*AB24+(1-EXP(-LN(2)/2))/(LN(2)/2)*V25*Y25*VLOOKUP('Données projet'!$B$9,Paramètres!$A$1:$I$89,3,0)*0.475*44/12</f>
        <v>8.733582804329032</v>
      </c>
      <c r="AC25" s="22">
        <f t="shared" si="3"/>
        <v>34.458449237192568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6.8</v>
      </c>
      <c r="AI25" s="13">
        <f>IF('Données projet'!$A$62&gt;35,AI24+AH25-AQ24,IF(A25&lt;'Données projet'!$A$62,$AF$205^A25,IF(A25='Données projet'!$A$62,'Données projet'!$B$62,AI24+AH25-AQ24)))</f>
        <v>59.599999999999994</v>
      </c>
      <c r="AJ25" s="13">
        <f>AI25*VLOOKUP('Données projet'!$B$10,Paramètres!$A$1:$I$89,3,0)*VLOOKUP('Données projet'!$B$10,Paramètres!$A$1:$I$89,5,0)</f>
        <v>50.207039999999999</v>
      </c>
      <c r="AK25" s="13">
        <f t="shared" si="35"/>
        <v>14.667215780386758</v>
      </c>
      <c r="AL25" s="20">
        <f t="shared" si="4"/>
        <v>112.98932881750693</v>
      </c>
      <c r="AM25" s="59">
        <f t="shared" si="5"/>
        <v>406.32266215084024</v>
      </c>
      <c r="AN25" s="59">
        <f ca="1">AVERAGE(OFFSET($AM$3,0,0,'Données projet'!$E$10+1,1))-AVERAGE(OFFSET($H$3,0,0,'Données projet'!$E$10+1,1))</f>
        <v>247.67539667223065</v>
      </c>
      <c r="AO25" s="59">
        <f t="shared" si="36"/>
        <v>174.54442616983778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1.0376977144200681</v>
      </c>
      <c r="AW25" s="21">
        <f>EXP(-LN(2)/2)*AW24+(1-EXP(-LN(2)/2))/(LN(2)/2)*AQ25*AT25*VLOOKUP('Données projet'!$B$10,Paramètres!$A$1:$I$89,3,0)*0.475*44/12</f>
        <v>1.0928872251874211</v>
      </c>
      <c r="AX25" s="21">
        <f t="shared" si="6"/>
        <v>2.1305849396074894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2.9235042735042733</v>
      </c>
      <c r="BD25" s="12">
        <f>IF('Données projet'!$A$88&gt;35,BD24+BC25-BL24,IF(A25&lt;'Données projet'!$A$88,$BA$205^A25,IF(A25='Données projet'!$A$88,'Données projet'!$B$88,BD24+BC25-BL24)))</f>
        <v>26.600205452048144</v>
      </c>
      <c r="BE25" s="13">
        <f>BD25*VLOOKUP('Données projet'!$B$11,Paramètres!$A$1:$I$89,3,0)*VLOOKUP('Données projet'!$B$11,Paramètres!$A$1:$I$89,5,0)</f>
        <v>26.557645123324868</v>
      </c>
      <c r="BF25" s="13">
        <f t="shared" si="37"/>
        <v>8.3553753208432084</v>
      </c>
      <c r="BG25" s="20">
        <f t="shared" si="7"/>
        <v>60.806843940259398</v>
      </c>
      <c r="BH25" s="59">
        <f t="shared" si="8"/>
        <v>354.14017727359271</v>
      </c>
      <c r="BI25" s="59">
        <f ca="1">AVERAGE(OFFSET($BH$3,0,0,'Données projet'!$E$11+1,1))-AVERAGE(OFFSET($H$3,0,0,'Données projet'!$E$11+1,1))</f>
        <v>245.06609107649069</v>
      </c>
      <c r="BJ25" s="59">
        <f t="shared" si="38"/>
        <v>156.24531945456499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1.8202290328267554</v>
      </c>
      <c r="BY25" s="12">
        <f>IF('Données projet'!$A$114&gt;35,BY24+BX25-CG24,IF(A25&lt;'Données projet'!$A$114,$BV$205^A25,IF(A25='Données projet'!$A$114,'Données projet'!$B$114,BY24+BX25-CG24)))</f>
        <v>21.998677546852011</v>
      </c>
      <c r="BZ25" s="13">
        <f>BY25*VLOOKUP('Données projet'!$B$12,Paramètres!$A$1:$I$89,3,0)*VLOOKUP('Données projet'!$B$12,Paramètres!$A$1:$I$89,5,0)</f>
        <v>24.022555881162397</v>
      </c>
      <c r="CA25" s="13">
        <f t="shared" si="39"/>
        <v>7.6465793715400521</v>
      </c>
      <c r="CB25" s="20">
        <f t="shared" si="10"/>
        <v>55.157077231790105</v>
      </c>
      <c r="CC25" s="59">
        <f t="shared" si="11"/>
        <v>348.4904105651234</v>
      </c>
      <c r="CD25" s="59">
        <f ca="1">AVERAGE(OFFSET($CC$3,0,0,'Données projet'!$E$12+1,1))-AVERAGE(OFFSET($H$3,0,0,'Données projet'!$E$12+1,1))</f>
        <v>173.63857221119594</v>
      </c>
      <c r="CE25" s="59">
        <f t="shared" si="40"/>
        <v>52.373745617370105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17.252307692307689</v>
      </c>
      <c r="N26" s="13">
        <f>IF('Données projet'!$A$36&gt;35,N25+M26-V25,IF(A26&lt;'Données projet'!$A$36,$K$205^A26,IF(A26='Données projet'!$A$36,'Données projet'!$B$36,N25+M26-V25)))</f>
        <v>196.66461538461533</v>
      </c>
      <c r="O26" s="13">
        <f>N26*VLOOKUP('Données projet'!$B$9,Paramètres!$A$1:$I$89,3,0)*VLOOKUP('Données projet'!$B$9,Paramètres!$A$1:$I$89,5,0)</f>
        <v>117.60543999999997</v>
      </c>
      <c r="P26" s="13">
        <f t="shared" si="33"/>
        <v>31.115854018389292</v>
      </c>
      <c r="Q26" s="20">
        <f t="shared" si="2"/>
        <v>259.02292041536128</v>
      </c>
      <c r="R26" s="59">
        <f t="shared" si="0"/>
        <v>552.3562537486946</v>
      </c>
      <c r="S26" s="59">
        <f ca="1">AVERAGE(OFFSET($R$3,0,0,'Données projet'!$E$9+1,1))-AVERAGE(OFFSET($H$3,0,0,'Données projet'!$E$9+1,1))</f>
        <v>175.34314856709307</v>
      </c>
      <c r="T26" s="59">
        <f t="shared" si="34"/>
        <v>296.28950942251339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8.6346648819008163</v>
      </c>
      <c r="AA26" s="21">
        <f>EXP(-LN(2)/25)*AA25+(1-EXP(-LN(2)/25))/(LN(2)/25)*Calculateur!V26*Calculateur!X26*VLOOKUP('Données projet'!$B$9,Paramètres!$A$1:$I$89,3,0)*0.475*44/12</f>
        <v>16.454884583680816</v>
      </c>
      <c r="AB26" s="21">
        <f>EXP(-LN(2)/2)*AB25+(1-EXP(-LN(2)/2))/(LN(2)/2)*V26*Y26*VLOOKUP('Données projet'!$B$9,Paramètres!$A$1:$I$89,3,0)*0.475*44/12</f>
        <v>6.1755756249952833</v>
      </c>
      <c r="AC26" s="22">
        <f t="shared" si="3"/>
        <v>31.265125090576916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6.8</v>
      </c>
      <c r="AI26" s="13">
        <f>IF('Données projet'!$A$62&gt;35,AI25+AH26-AQ25,IF(A26&lt;'Données projet'!$A$62,$AF$205^A26,IF(A26='Données projet'!$A$62,'Données projet'!$B$62,AI25+AH26-AQ25)))</f>
        <v>66.399999999999991</v>
      </c>
      <c r="AJ26" s="13">
        <f>AI26*VLOOKUP('Données projet'!$B$10,Paramètres!$A$1:$I$89,3,0)*VLOOKUP('Données projet'!$B$10,Paramètres!$A$1:$I$89,5,0)</f>
        <v>55.935359999999996</v>
      </c>
      <c r="AK26" s="13">
        <f t="shared" si="35"/>
        <v>16.136442734792755</v>
      </c>
      <c r="AL26" s="20">
        <f t="shared" si="4"/>
        <v>125.52505642976405</v>
      </c>
      <c r="AM26" s="59">
        <f t="shared" si="5"/>
        <v>418.85838976309736</v>
      </c>
      <c r="AN26" s="59">
        <f ca="1">AVERAGE(OFFSET($AM$3,0,0,'Données projet'!$E$10+1,1))-AVERAGE(OFFSET($H$3,0,0,'Données projet'!$E$10+1,1))</f>
        <v>247.67539667223065</v>
      </c>
      <c r="AO26" s="59">
        <f t="shared" si="36"/>
        <v>174.54442616983778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1.0093218158491002</v>
      </c>
      <c r="AW26" s="21">
        <f>EXP(-LN(2)/2)*AW25+(1-EXP(-LN(2)/2))/(LN(2)/2)*AQ26*AT26*VLOOKUP('Données projet'!$B$10,Paramètres!$A$1:$I$89,3,0)*0.475*44/12</f>
        <v>0.77278796800217486</v>
      </c>
      <c r="AX26" s="21">
        <f t="shared" si="6"/>
        <v>1.7821097838512752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2.9235042735042733</v>
      </c>
      <c r="BD26" s="12">
        <f>IF('Données projet'!$A$88&gt;35,BD25+BC26-BL25,IF(A26&lt;'Données projet'!$A$88,$BA$205^A26,IF(A26='Données projet'!$A$88,'Données projet'!$B$88,BD25+BC26-BL25)))</f>
        <v>30.878236599516239</v>
      </c>
      <c r="BE26" s="13">
        <f>BD26*VLOOKUP('Données projet'!$B$11,Paramètres!$A$1:$I$89,3,0)*VLOOKUP('Données projet'!$B$11,Paramètres!$A$1:$I$89,5,0)</f>
        <v>30.828831420957016</v>
      </c>
      <c r="BF26" s="13">
        <f t="shared" si="37"/>
        <v>9.5322302838158048</v>
      </c>
      <c r="BG26" s="20">
        <f t="shared" si="7"/>
        <v>70.295515802479329</v>
      </c>
      <c r="BH26" s="59">
        <f t="shared" si="8"/>
        <v>363.62884913581263</v>
      </c>
      <c r="BI26" s="59">
        <f ca="1">AVERAGE(OFFSET($BH$3,0,0,'Données projet'!$E$11+1,1))-AVERAGE(OFFSET($H$3,0,0,'Données projet'!$E$11+1,1))</f>
        <v>245.06609107649069</v>
      </c>
      <c r="BJ26" s="59">
        <f t="shared" si="38"/>
        <v>156.24531945456499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1.8202290328267554</v>
      </c>
      <c r="BY26" s="12">
        <f>IF('Données projet'!$A$114&gt;35,BY25+BX26-CG25,IF(A26&lt;'Données projet'!$A$114,$BV$205^A26,IF(A26='Données projet'!$A$114,'Données projet'!$B$114,BY25+BX26-CG25)))</f>
        <v>23.818906579678767</v>
      </c>
      <c r="BZ26" s="13">
        <f>BY26*VLOOKUP('Données projet'!$B$12,Paramètres!$A$1:$I$89,3,0)*VLOOKUP('Données projet'!$B$12,Paramètres!$A$1:$I$89,5,0)</f>
        <v>26.010245985009213</v>
      </c>
      <c r="CA26" s="13">
        <f t="shared" si="39"/>
        <v>8.2030188443069285</v>
      </c>
      <c r="CB26" s="20">
        <f t="shared" si="10"/>
        <v>59.588102911058947</v>
      </c>
      <c r="CC26" s="59">
        <f t="shared" si="11"/>
        <v>352.92143624439228</v>
      </c>
      <c r="CD26" s="59">
        <f ca="1">AVERAGE(OFFSET($CC$3,0,0,'Données projet'!$E$12+1,1))-AVERAGE(OFFSET($H$3,0,0,'Données projet'!$E$12+1,1))</f>
        <v>173.63857221119594</v>
      </c>
      <c r="CE26" s="59">
        <f t="shared" si="40"/>
        <v>52.373745617370105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17.252307692307689</v>
      </c>
      <c r="N27" s="13">
        <f>IF('Données projet'!$A$36&gt;35,N26+M27-V26,IF(A27&lt;'Données projet'!$A$36,$K$205^A27,IF(A27='Données projet'!$A$36,'Données projet'!$B$36,N26+M27-V26)))</f>
        <v>213.91692307692301</v>
      </c>
      <c r="O27" s="13">
        <f>N27*VLOOKUP('Données projet'!$B$9,Paramètres!$A$1:$I$89,3,0)*VLOOKUP('Données projet'!$B$9,Paramètres!$A$1:$I$89,5,0)</f>
        <v>127.92231999999997</v>
      </c>
      <c r="P27" s="13">
        <f t="shared" si="33"/>
        <v>33.515819245975919</v>
      </c>
      <c r="Q27" s="20">
        <f t="shared" si="2"/>
        <v>281.17142585340798</v>
      </c>
      <c r="R27" s="59">
        <f t="shared" si="0"/>
        <v>574.50475918674124</v>
      </c>
      <c r="S27" s="59">
        <f ca="1">AVERAGE(OFFSET($R$3,0,0,'Données projet'!$E$9+1,1))-AVERAGE(OFFSET($H$3,0,0,'Données projet'!$E$9+1,1))</f>
        <v>175.34314856709307</v>
      </c>
      <c r="T27" s="59">
        <f t="shared" si="34"/>
        <v>296.28950942251339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8.4653443701922839</v>
      </c>
      <c r="AA27" s="21">
        <f>EXP(-LN(2)/25)*AA26+(1-EXP(-LN(2)/25))/(LN(2)/25)*Calculateur!V27*Calculateur!X27*VLOOKUP('Données projet'!$B$9,Paramètres!$A$1:$I$89,3,0)*0.475*44/12</f>
        <v>16.004924899415293</v>
      </c>
      <c r="AB27" s="21">
        <f>EXP(-LN(2)/2)*AB26+(1-EXP(-LN(2)/2))/(LN(2)/2)*V27*Y27*VLOOKUP('Données projet'!$B$9,Paramètres!$A$1:$I$89,3,0)*0.475*44/12</f>
        <v>4.3667914021645169</v>
      </c>
      <c r="AC27" s="22">
        <f t="shared" si="3"/>
        <v>28.837060671772093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6.8</v>
      </c>
      <c r="AI27" s="13">
        <f>IF('Données projet'!$A$62&gt;35,AI26+AH27-AQ26,IF(A27&lt;'Données projet'!$A$62,$AF$205^A27,IF(A27='Données projet'!$A$62,'Données projet'!$B$62,AI26+AH27-AQ26)))</f>
        <v>73.199999999999989</v>
      </c>
      <c r="AJ27" s="13">
        <f>AI27*VLOOKUP('Données projet'!$B$10,Paramètres!$A$1:$I$89,3,0)*VLOOKUP('Données projet'!$B$10,Paramètres!$A$1:$I$89,5,0)</f>
        <v>61.663679999999999</v>
      </c>
      <c r="AK27" s="13">
        <f t="shared" si="35"/>
        <v>17.588227616923817</v>
      </c>
      <c r="AL27" s="20">
        <f t="shared" si="4"/>
        <v>138.03040576614231</v>
      </c>
      <c r="AM27" s="59">
        <f t="shared" si="5"/>
        <v>431.36373909947565</v>
      </c>
      <c r="AN27" s="59">
        <f ca="1">AVERAGE(OFFSET($AM$3,0,0,'Données projet'!$E$10+1,1))-AVERAGE(OFFSET($H$3,0,0,'Données projet'!$E$10+1,1))</f>
        <v>247.67539667223065</v>
      </c>
      <c r="AO27" s="59">
        <f t="shared" si="36"/>
        <v>174.54442616983778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0.98172185771677911</v>
      </c>
      <c r="AW27" s="21">
        <f>EXP(-LN(2)/2)*AW26+(1-EXP(-LN(2)/2))/(LN(2)/2)*AQ27*AT27*VLOOKUP('Données projet'!$B$10,Paramètres!$A$1:$I$89,3,0)*0.475*44/12</f>
        <v>0.54644361259371055</v>
      </c>
      <c r="AX27" s="21">
        <f t="shared" si="6"/>
        <v>1.5281654703104897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2.9235042735042733</v>
      </c>
      <c r="BD27" s="12">
        <f>IF('Données projet'!$A$88&gt;35,BD26+BC27-BL26,IF(A27&lt;'Données projet'!$A$88,$BA$205^A27,IF(A27='Données projet'!$A$88,'Données projet'!$B$88,BD26+BC27-BL26)))</f>
        <v>35.844290647096855</v>
      </c>
      <c r="BE27" s="13">
        <f>BD27*VLOOKUP('Données projet'!$B$11,Paramètres!$A$1:$I$89,3,0)*VLOOKUP('Données projet'!$B$11,Paramètres!$A$1:$I$89,5,0)</f>
        <v>35.786939782061502</v>
      </c>
      <c r="BF27" s="13">
        <f t="shared" si="37"/>
        <v>10.874845317484239</v>
      </c>
      <c r="BG27" s="20">
        <f t="shared" si="7"/>
        <v>81.269275715042156</v>
      </c>
      <c r="BH27" s="59">
        <f t="shared" si="8"/>
        <v>374.60260904837548</v>
      </c>
      <c r="BI27" s="59">
        <f ca="1">AVERAGE(OFFSET($BH$3,0,0,'Données projet'!$E$11+1,1))-AVERAGE(OFFSET($H$3,0,0,'Données projet'!$E$11+1,1))</f>
        <v>245.06609107649069</v>
      </c>
      <c r="BJ27" s="59">
        <f t="shared" si="38"/>
        <v>156.24531945456499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1.8202290328267554</v>
      </c>
      <c r="BY27" s="12">
        <f>IF('Données projet'!$A$114&gt;35,BY26+BX27-CG26,IF(A27&lt;'Données projet'!$A$114,$BV$205^A27,IF(A27='Données projet'!$A$114,'Données projet'!$B$114,BY26+BX27-CG26)))</f>
        <v>25.639135612505523</v>
      </c>
      <c r="BZ27" s="13">
        <f>BY27*VLOOKUP('Données projet'!$B$12,Paramètres!$A$1:$I$89,3,0)*VLOOKUP('Données projet'!$B$12,Paramètres!$A$1:$I$89,5,0)</f>
        <v>27.997936088856033</v>
      </c>
      <c r="CA27" s="13">
        <f t="shared" si="39"/>
        <v>8.7545255436302067</v>
      </c>
      <c r="CB27" s="20">
        <f t="shared" si="10"/>
        <v>64.010537343246867</v>
      </c>
      <c r="CC27" s="59">
        <f t="shared" si="11"/>
        <v>357.3438706765802</v>
      </c>
      <c r="CD27" s="59">
        <f ca="1">AVERAGE(OFFSET($CC$3,0,0,'Données projet'!$E$12+1,1))-AVERAGE(OFFSET($H$3,0,0,'Données projet'!$E$12+1,1))</f>
        <v>173.63857221119594</v>
      </c>
      <c r="CE27" s="59">
        <f t="shared" si="40"/>
        <v>52.373745617370105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231.16923076923075</v>
      </c>
      <c r="L28" s="12">
        <f>VLOOKUP(A28,'Données projet'!$A$35:$I$55,9,0)</f>
        <v>17.252307692307689</v>
      </c>
      <c r="M28" s="12">
        <f t="array" ref="M28">INDEX(L:L,MIN(IF(ISNUMBER(L28:L224),ROW(L28:L224),"")))</f>
        <v>17.252307692307689</v>
      </c>
      <c r="N28" s="13">
        <f>IF('Données projet'!$A$36&gt;35,N27+M28-V27,IF(A28&lt;'Données projet'!$A$36,$K$205^A28,IF(A28='Données projet'!$A$36,'Données projet'!$B$36,N27+M28-V27)))</f>
        <v>231.16923076923069</v>
      </c>
      <c r="O28" s="13">
        <f>N28*VLOOKUP('Données projet'!$B$9,Paramètres!$A$1:$I$89,3,0)*VLOOKUP('Données projet'!$B$9,Paramètres!$A$1:$I$89,5,0)</f>
        <v>138.23919999999998</v>
      </c>
      <c r="P28" s="13">
        <f t="shared" si="33"/>
        <v>35.893334283725153</v>
      </c>
      <c r="Q28" s="20">
        <f t="shared" si="2"/>
        <v>303.28083054415464</v>
      </c>
      <c r="R28" s="59">
        <f t="shared" si="0"/>
        <v>596.61416387748795</v>
      </c>
      <c r="S28" s="59">
        <f ca="1">AVERAGE(OFFSET($R$3,0,0,'Données projet'!$E$9+1,1))-AVERAGE(OFFSET($H$3,0,0,'Données projet'!$E$9+1,1))</f>
        <v>175.34314856709307</v>
      </c>
      <c r="T28" s="59">
        <f t="shared" si="34"/>
        <v>296.28950942251339</v>
      </c>
      <c r="U28" s="15">
        <f>IF(ISNA(VLOOKUP(A28,'Données projet'!$A$35:$I$55,3,0)),0,VLOOKUP(A28,'Données projet'!$A$35:$I$55,3,0))</f>
        <v>4</v>
      </c>
      <c r="V28" s="15">
        <f>IF(ISNA(VLOOKUP(A28,'Données projet'!$A$35:$I$55,4,0)),0,VLOOKUP(A28,'Données projet'!$A$35:$I$55,4,0))</f>
        <v>56.130769230769225</v>
      </c>
      <c r="W28" s="16">
        <f>IF(ISNA(VLOOKUP(A28,'Données projet'!$A$35:$I$55,5,0)),0%,VLOOKUP(A28,'Données projet'!$A$35:$I$55,5,0)*VLOOKUP('Données projet'!$B$9,Paramètres!$A$1:$I$89,7,0))</f>
        <v>0.18000000000000002</v>
      </c>
      <c r="X28" s="16">
        <f>IF(ISNA(VLOOKUP(A28,'Données projet'!$A$35:$I$55,6,0)),0%,VLOOKUP(A28,'Données projet'!$A$35:$I$55,6,0)*VLOOKUP('Données projet'!$B$9,Paramètres!$A$1:$I$89,7,0))</f>
        <v>0.13500000000000001</v>
      </c>
      <c r="Y28" s="16">
        <f>IF(ISNA(VLOOKUP(A28,'Données projet'!$A$35:$I$55,7,0)),0%,VLOOKUP(A28,'Données projet'!$A$35:$I$55,7,0))</f>
        <v>0.3</v>
      </c>
      <c r="Z28" s="21">
        <f>EXP(-LN(2)/35)*Z27+(1-EXP(-LN(2)/35))/(LN(2)/35)*V28*W28*VLOOKUP('Données projet'!$B$9,Paramètres!$A$1:$I$89,3,0)*0.475*44/12</f>
        <v>16.314335138794483</v>
      </c>
      <c r="AA28" s="21">
        <f>EXP(-LN(2)/25)*AA27+(1-EXP(-LN(2)/25))/(LN(2)/25)*Calculateur!V28*Calculateur!X28*VLOOKUP('Données projet'!$B$9,Paramètres!$A$1:$I$89,3,0)*0.475*44/12</f>
        <v>21.554844087478784</v>
      </c>
      <c r="AB28" s="21">
        <f>EXP(-LN(2)/2)*AB27+(1-EXP(-LN(2)/2))/(LN(2)/2)*V28*Y28*VLOOKUP('Données projet'!$B$9,Paramètres!$A$1:$I$89,3,0)*0.475*44/12</f>
        <v>14.489208536067498</v>
      </c>
      <c r="AC28" s="22">
        <f t="shared" si="3"/>
        <v>52.358387762340769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6.8</v>
      </c>
      <c r="AI28" s="13">
        <f>IF('Données projet'!$A$62&gt;35,AI27+AH28-AQ27,IF(A28&lt;'Données projet'!$A$62,$AF$205^A28,IF(A28='Données projet'!$A$62,'Données projet'!$B$62,AI27+AH28-AQ27)))</f>
        <v>79.999999999999986</v>
      </c>
      <c r="AJ28" s="13">
        <f>AI28*VLOOKUP('Données projet'!$B$10,Paramètres!$A$1:$I$89,3,0)*VLOOKUP('Données projet'!$B$10,Paramètres!$A$1:$I$89,5,0)</f>
        <v>67.391999999999996</v>
      </c>
      <c r="AK28" s="13">
        <f t="shared" si="35"/>
        <v>19.02437502991798</v>
      </c>
      <c r="AL28" s="20">
        <f t="shared" si="4"/>
        <v>150.5085198437738</v>
      </c>
      <c r="AM28" s="59">
        <f t="shared" si="5"/>
        <v>443.84185317710711</v>
      </c>
      <c r="AN28" s="59">
        <f ca="1">AVERAGE(OFFSET($AM$3,0,0,'Données projet'!$E$10+1,1))-AVERAGE(OFFSET($H$3,0,0,'Données projet'!$E$10+1,1))</f>
        <v>247.67539667223065</v>
      </c>
      <c r="AO28" s="59">
        <f t="shared" si="36"/>
        <v>174.54442616983778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0.95487662189100508</v>
      </c>
      <c r="AW28" s="21">
        <f>EXP(-LN(2)/2)*AW27+(1-EXP(-LN(2)/2))/(LN(2)/2)*AQ28*AT28*VLOOKUP('Données projet'!$B$10,Paramètres!$A$1:$I$89,3,0)*0.475*44/12</f>
        <v>0.38639398400108743</v>
      </c>
      <c r="AX28" s="21">
        <f t="shared" si="6"/>
        <v>1.3412706058920925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2.9235042735042733</v>
      </c>
      <c r="BD28" s="12">
        <f>IF('Données projet'!$A$88&gt;35,BD27+BC28-BL27,IF(A28&lt;'Données projet'!$A$88,$BA$205^A28,IF(A28='Données projet'!$A$88,'Données projet'!$B$88,BD27+BC28-BL27)))</f>
        <v>41.609020251295185</v>
      </c>
      <c r="BE28" s="13">
        <f>BD28*VLOOKUP('Données projet'!$B$11,Paramètres!$A$1:$I$89,3,0)*VLOOKUP('Données projet'!$B$11,Paramètres!$A$1:$I$89,5,0)</f>
        <v>41.542445818893114</v>
      </c>
      <c r="BF28" s="13">
        <f t="shared" si="37"/>
        <v>12.40656773473037</v>
      </c>
      <c r="BG28" s="20">
        <f t="shared" si="7"/>
        <v>93.961198605894239</v>
      </c>
      <c r="BH28" s="59">
        <f t="shared" si="8"/>
        <v>387.29453193922757</v>
      </c>
      <c r="BI28" s="59">
        <f ca="1">AVERAGE(OFFSET($BH$3,0,0,'Données projet'!$E$11+1,1))-AVERAGE(OFFSET($H$3,0,0,'Données projet'!$E$11+1,1))</f>
        <v>245.06609107649069</v>
      </c>
      <c r="BJ28" s="59">
        <f t="shared" si="38"/>
        <v>156.24531945456499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1.8202290328267554</v>
      </c>
      <c r="BY28" s="12">
        <f>IF('Données projet'!$A$114&gt;35,BY27+BX28-CG27,IF(A28&lt;'Données projet'!$A$114,$BV$205^A28,IF(A28='Données projet'!$A$114,'Données projet'!$B$114,BY27+BX28-CG27)))</f>
        <v>27.459364645332279</v>
      </c>
      <c r="BZ28" s="13">
        <f>BY28*VLOOKUP('Données projet'!$B$12,Paramètres!$A$1:$I$89,3,0)*VLOOKUP('Données projet'!$B$12,Paramètres!$A$1:$I$89,5,0)</f>
        <v>29.985626192702846</v>
      </c>
      <c r="CA28" s="13">
        <f t="shared" si="39"/>
        <v>9.301489498333579</v>
      </c>
      <c r="CB28" s="20">
        <f t="shared" si="10"/>
        <v>68.425059828555106</v>
      </c>
      <c r="CC28" s="59">
        <f t="shared" si="11"/>
        <v>361.75839316188842</v>
      </c>
      <c r="CD28" s="59">
        <f ca="1">AVERAGE(OFFSET($CC$3,0,0,'Données projet'!$E$12+1,1))-AVERAGE(OFFSET($H$3,0,0,'Données projet'!$E$12+1,1))</f>
        <v>173.63857221119594</v>
      </c>
      <c r="CE28" s="59">
        <f t="shared" si="40"/>
        <v>52.373745617370105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16.078461538461539</v>
      </c>
      <c r="N29" s="13">
        <f>IF('Données projet'!$A$36&gt;35,N28+M29-V28,IF(A29&lt;'Données projet'!$A$36,$K$205^A29,IF(A29='Données projet'!$A$36,'Données projet'!$B$36,N28+M29-V28)))</f>
        <v>191.116923076923</v>
      </c>
      <c r="O29" s="13">
        <f>N29*VLOOKUP('Données projet'!$B$9,Paramètres!$A$1:$I$89,3,0)*VLOOKUP('Données projet'!$B$9,Paramètres!$A$1:$I$89,5,0)</f>
        <v>114.28791999999997</v>
      </c>
      <c r="P29" s="13">
        <f t="shared" si="33"/>
        <v>30.338992554488691</v>
      </c>
      <c r="Q29" s="20">
        <f t="shared" si="2"/>
        <v>251.8918726990677</v>
      </c>
      <c r="R29" s="59">
        <f t="shared" si="0"/>
        <v>545.22520603240105</v>
      </c>
      <c r="S29" s="59">
        <f ca="1">AVERAGE(OFFSET($R$3,0,0,'Données projet'!$E$9+1,1))-AVERAGE(OFFSET($H$3,0,0,'Données projet'!$E$9+1,1))</f>
        <v>175.34314856709307</v>
      </c>
      <c r="T29" s="59">
        <f t="shared" si="34"/>
        <v>296.28950942251339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15.994420977484602</v>
      </c>
      <c r="AA29" s="21">
        <f>EXP(-LN(2)/25)*AA28+(1-EXP(-LN(2)/25))/(LN(2)/25)*Calculateur!V29*Calculateur!X29*VLOOKUP('Données projet'!$B$9,Paramètres!$A$1:$I$89,3,0)*0.475*44/12</f>
        <v>20.965425742386692</v>
      </c>
      <c r="AB29" s="21">
        <f>EXP(-LN(2)/2)*AB28+(1-EXP(-LN(2)/2))/(LN(2)/2)*V29*Y29*VLOOKUP('Données projet'!$B$9,Paramètres!$A$1:$I$89,3,0)*0.475*44/12</f>
        <v>10.245417609879338</v>
      </c>
      <c r="AC29" s="22">
        <f t="shared" si="3"/>
        <v>47.205264329750634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6.8</v>
      </c>
      <c r="AI29" s="13">
        <f>IF('Données projet'!$A$62&gt;35,AI28+AH29-AQ28,IF(A29&lt;'Données projet'!$A$62,$AF$205^A29,IF(A29='Données projet'!$A$62,'Données projet'!$B$62,AI28+AH29-AQ28)))</f>
        <v>86.799999999999983</v>
      </c>
      <c r="AJ29" s="13">
        <f>AI29*VLOOKUP('Données projet'!$B$10,Paramètres!$A$1:$I$89,3,0)*VLOOKUP('Données projet'!$B$10,Paramètres!$A$1:$I$89,5,0)</f>
        <v>73.120319999999992</v>
      </c>
      <c r="AK29" s="13">
        <f t="shared" si="35"/>
        <v>20.446365280074801</v>
      </c>
      <c r="AL29" s="20">
        <f t="shared" si="4"/>
        <v>162.96197686279694</v>
      </c>
      <c r="AM29" s="59">
        <f t="shared" si="5"/>
        <v>456.29531019613023</v>
      </c>
      <c r="AN29" s="59">
        <f ca="1">AVERAGE(OFFSET($AM$3,0,0,'Données projet'!$E$10+1,1))-AVERAGE(OFFSET($H$3,0,0,'Données projet'!$E$10+1,1))</f>
        <v>247.67539667223065</v>
      </c>
      <c r="AO29" s="59">
        <f t="shared" si="36"/>
        <v>174.54442616983778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0.92876547045061641</v>
      </c>
      <c r="AW29" s="21">
        <f>EXP(-LN(2)/2)*AW28+(1-EXP(-LN(2)/2))/(LN(2)/2)*AQ29*AT29*VLOOKUP('Données projet'!$B$10,Paramètres!$A$1:$I$89,3,0)*0.475*44/12</f>
        <v>0.27322180629685527</v>
      </c>
      <c r="AX29" s="21">
        <f t="shared" si="6"/>
        <v>1.2019872767474717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2.9235042735042733</v>
      </c>
      <c r="BD29" s="12">
        <f>IF('Données projet'!$A$88&gt;35,BD28+BC29-BL28,IF(A29&lt;'Données projet'!$A$88,$BA$205^A29,IF(A29='Données projet'!$A$88,'Données projet'!$B$88,BD28+BC29-BL28)))</f>
        <v>48.30087400300993</v>
      </c>
      <c r="BE29" s="13">
        <f>BD29*VLOOKUP('Données projet'!$B$11,Paramètres!$A$1:$I$89,3,0)*VLOOKUP('Données projet'!$B$11,Paramètres!$A$1:$I$89,5,0)</f>
        <v>48.223592604605116</v>
      </c>
      <c r="BF29" s="13">
        <f t="shared" si="37"/>
        <v>14.154033318430759</v>
      </c>
      <c r="BG29" s="20">
        <f t="shared" si="7"/>
        <v>108.64103181595415</v>
      </c>
      <c r="BH29" s="59">
        <f t="shared" si="8"/>
        <v>401.97436514928745</v>
      </c>
      <c r="BI29" s="59">
        <f ca="1">AVERAGE(OFFSET($BH$3,0,0,'Données projet'!$E$11+1,1))-AVERAGE(OFFSET($H$3,0,0,'Données projet'!$E$11+1,1))</f>
        <v>245.06609107649069</v>
      </c>
      <c r="BJ29" s="59">
        <f t="shared" si="38"/>
        <v>156.24531945456499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1.8202290328267554</v>
      </c>
      <c r="BY29" s="12">
        <f>IF('Données projet'!$A$114&gt;35,BY28+BX29-CG28,IF(A29&lt;'Données projet'!$A$114,$BV$205^A29,IF(A29='Données projet'!$A$114,'Données projet'!$B$114,BY28+BX29-CG28)))</f>
        <v>29.279593678159035</v>
      </c>
      <c r="BZ29" s="13">
        <f>BY29*VLOOKUP('Données projet'!$B$12,Paramètres!$A$1:$I$89,3,0)*VLOOKUP('Données projet'!$B$12,Paramètres!$A$1:$I$89,5,0)</f>
        <v>31.973316296549665</v>
      </c>
      <c r="CA29" s="13">
        <f t="shared" si="39"/>
        <v>9.8442461036169302</v>
      </c>
      <c r="CB29" s="20">
        <f t="shared" si="10"/>
        <v>72.832254513623482</v>
      </c>
      <c r="CC29" s="59">
        <f t="shared" si="11"/>
        <v>366.16558784695678</v>
      </c>
      <c r="CD29" s="59">
        <f ca="1">AVERAGE(OFFSET($CC$3,0,0,'Données projet'!$E$12+1,1))-AVERAGE(OFFSET($H$3,0,0,'Données projet'!$E$12+1,1))</f>
        <v>173.63857221119594</v>
      </c>
      <c r="CE29" s="59">
        <f t="shared" si="40"/>
        <v>52.373745617370105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16.078461538461539</v>
      </c>
      <c r="N30" s="13">
        <f>IF('Données projet'!$A$36&gt;35,N29+M30-V29,IF(A30&lt;'Données projet'!$A$36,$K$205^A30,IF(A30='Données projet'!$A$36,'Données projet'!$B$36,N29+M30-V29)))</f>
        <v>207.19538461538454</v>
      </c>
      <c r="O30" s="13">
        <f>N30*VLOOKUP('Données projet'!$B$9,Paramètres!$A$1:$I$89,3,0)*VLOOKUP('Données projet'!$B$9,Paramètres!$A$1:$I$89,5,0)</f>
        <v>123.90283999999997</v>
      </c>
      <c r="P30" s="13">
        <f t="shared" si="33"/>
        <v>32.583570098781784</v>
      </c>
      <c r="Q30" s="20">
        <f t="shared" si="2"/>
        <v>272.54716425537822</v>
      </c>
      <c r="R30" s="59">
        <f t="shared" si="0"/>
        <v>565.88049758871148</v>
      </c>
      <c r="S30" s="59">
        <f ca="1">AVERAGE(OFFSET($R$3,0,0,'Données projet'!$E$9+1,1))-AVERAGE(OFFSET($H$3,0,0,'Données projet'!$E$9+1,1))</f>
        <v>175.34314856709307</v>
      </c>
      <c r="T30" s="59">
        <f t="shared" si="34"/>
        <v>296.28950942251339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15.680780137749636</v>
      </c>
      <c r="AA30" s="21">
        <f>EXP(-LN(2)/25)*AA29+(1-EXP(-LN(2)/25))/(LN(2)/25)*Calculateur!V30*Calculateur!X30*VLOOKUP('Données projet'!$B$9,Paramètres!$A$1:$I$89,3,0)*0.475*44/12</f>
        <v>20.392125072937304</v>
      </c>
      <c r="AB30" s="21">
        <f>EXP(-LN(2)/2)*AB29+(1-EXP(-LN(2)/2))/(LN(2)/2)*V30*Y30*VLOOKUP('Données projet'!$B$9,Paramètres!$A$1:$I$89,3,0)*0.475*44/12</f>
        <v>7.2446042680337506</v>
      </c>
      <c r="AC30" s="22">
        <f t="shared" si="3"/>
        <v>43.317509478720694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6.8</v>
      </c>
      <c r="AI30" s="13">
        <f>IF('Données projet'!$A$62&gt;35,AI29+AH30-AQ29,IF(A30&lt;'Données projet'!$A$62,$AF$205^A30,IF(A30='Données projet'!$A$62,'Données projet'!$B$62,AI29+AH30-AQ29)))</f>
        <v>93.59999999999998</v>
      </c>
      <c r="AJ30" s="13">
        <f>AI30*VLOOKUP('Données projet'!$B$10,Paramètres!$A$1:$I$89,3,0)*VLOOKUP('Données projet'!$B$10,Paramètres!$A$1:$I$89,5,0)</f>
        <v>78.848639999999989</v>
      </c>
      <c r="AK30" s="13">
        <f t="shared" si="35"/>
        <v>21.855433550732144</v>
      </c>
      <c r="AL30" s="20">
        <f t="shared" si="4"/>
        <v>175.39292810085843</v>
      </c>
      <c r="AM30" s="59">
        <f t="shared" si="5"/>
        <v>468.72626143419177</v>
      </c>
      <c r="AN30" s="59">
        <f ca="1">AVERAGE(OFFSET($AM$3,0,0,'Données projet'!$E$10+1,1))-AVERAGE(OFFSET($H$3,0,0,'Données projet'!$E$10+1,1))</f>
        <v>247.67539667223065</v>
      </c>
      <c r="AO30" s="59">
        <f t="shared" si="36"/>
        <v>174.54442616983778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0.90336832981949089</v>
      </c>
      <c r="AW30" s="21">
        <f>EXP(-LN(2)/2)*AW29+(1-EXP(-LN(2)/2))/(LN(2)/2)*AQ30*AT30*VLOOKUP('Données projet'!$B$10,Paramètres!$A$1:$I$89,3,0)*0.475*44/12</f>
        <v>0.19319699200054372</v>
      </c>
      <c r="AX30" s="21">
        <f t="shared" si="6"/>
        <v>1.0965653218200346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2.9235042735042733</v>
      </c>
      <c r="BD30" s="12">
        <f>IF('Données projet'!$A$88&gt;35,BD29+BC30-BL29,IF(A30&lt;'Données projet'!$A$88,$BA$205^A30,IF(A30='Données projet'!$A$88,'Données projet'!$B$88,BD29+BC30-BL29)))</f>
        <v>56.068958494210662</v>
      </c>
      <c r="BE30" s="13">
        <f>BD30*VLOOKUP('Données projet'!$B$11,Paramètres!$A$1:$I$89,3,0)*VLOOKUP('Données projet'!$B$11,Paramètres!$A$1:$I$89,5,0)</f>
        <v>55.979248160619932</v>
      </c>
      <c r="BF30" s="13">
        <f t="shared" si="37"/>
        <v>16.147629502592803</v>
      </c>
      <c r="BG30" s="20">
        <f t="shared" si="7"/>
        <v>125.6209785967622</v>
      </c>
      <c r="BH30" s="59">
        <f t="shared" si="8"/>
        <v>418.95431193009551</v>
      </c>
      <c r="BI30" s="59">
        <f ca="1">AVERAGE(OFFSET($BH$3,0,0,'Données projet'!$E$11+1,1))-AVERAGE(OFFSET($H$3,0,0,'Données projet'!$E$11+1,1))</f>
        <v>245.06609107649069</v>
      </c>
      <c r="BJ30" s="59">
        <f t="shared" si="38"/>
        <v>156.24531945456499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1.8202290328267554</v>
      </c>
      <c r="BY30" s="12">
        <f>IF('Données projet'!$A$114&gt;35,BY29+BX30-CG29,IF(A30&lt;'Données projet'!$A$114,$BV$205^A30,IF(A30='Données projet'!$A$114,'Données projet'!$B$114,BY29+BX30-CG29)))</f>
        <v>31.099822710985791</v>
      </c>
      <c r="BZ30" s="13">
        <f>BY30*VLOOKUP('Données projet'!$B$12,Paramètres!$A$1:$I$89,3,0)*VLOOKUP('Données projet'!$B$12,Paramètres!$A$1:$I$89,5,0)</f>
        <v>33.961006400396485</v>
      </c>
      <c r="CA30" s="13">
        <f t="shared" si="39"/>
        <v>10.383086696734935</v>
      </c>
      <c r="CB30" s="20">
        <f t="shared" si="10"/>
        <v>77.232628810837227</v>
      </c>
      <c r="CC30" s="59">
        <f t="shared" si="11"/>
        <v>370.56596214417056</v>
      </c>
      <c r="CD30" s="59">
        <f ca="1">AVERAGE(OFFSET($CC$3,0,0,'Données projet'!$E$12+1,1))-AVERAGE(OFFSET($H$3,0,0,'Données projet'!$E$12+1,1))</f>
        <v>173.63857221119594</v>
      </c>
      <c r="CE30" s="59">
        <f t="shared" si="40"/>
        <v>52.373745617370105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16.078461538461539</v>
      </c>
      <c r="N31" s="13">
        <f>IF('Données projet'!$A$36&gt;35,N30+M31-V30,IF(A31&lt;'Données projet'!$A$36,$K$205^A31,IF(A31='Données projet'!$A$36,'Données projet'!$B$36,N30+M31-V30)))</f>
        <v>223.27384615384608</v>
      </c>
      <c r="O31" s="13">
        <f>N31*VLOOKUP('Données projet'!$B$9,Paramètres!$A$1:$I$89,3,0)*VLOOKUP('Données projet'!$B$9,Paramètres!$A$1:$I$89,5,0)</f>
        <v>133.51775999999995</v>
      </c>
      <c r="P31" s="13">
        <f t="shared" si="33"/>
        <v>34.807942955558616</v>
      </c>
      <c r="Q31" s="20">
        <f t="shared" si="2"/>
        <v>293.16726598093118</v>
      </c>
      <c r="R31" s="59">
        <f t="shared" si="0"/>
        <v>586.50059931426449</v>
      </c>
      <c r="S31" s="59">
        <f ca="1">AVERAGE(OFFSET($R$3,0,0,'Données projet'!$E$9+1,1))-AVERAGE(OFFSET($H$3,0,0,'Données projet'!$E$9+1,1))</f>
        <v>175.34314856709307</v>
      </c>
      <c r="T31" s="59">
        <f t="shared" si="34"/>
        <v>296.28950942251339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15.373289603579851</v>
      </c>
      <c r="AA31" s="21">
        <f>EXP(-LN(2)/25)*AA30+(1-EXP(-LN(2)/25))/(LN(2)/25)*Calculateur!V31*Calculateur!X31*VLOOKUP('Données projet'!$B$9,Paramètres!$A$1:$I$89,3,0)*0.475*44/12</f>
        <v>19.834501340442582</v>
      </c>
      <c r="AB31" s="21">
        <f>EXP(-LN(2)/2)*AB30+(1-EXP(-LN(2)/2))/(LN(2)/2)*V31*Y31*VLOOKUP('Données projet'!$B$9,Paramètres!$A$1:$I$89,3,0)*0.475*44/12</f>
        <v>5.1227088049396698</v>
      </c>
      <c r="AC31" s="22">
        <f t="shared" si="3"/>
        <v>40.330499748962104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6.8</v>
      </c>
      <c r="AI31" s="13">
        <f>IF('Données projet'!$A$62&gt;35,AI30+AH31-AQ30,IF(A31&lt;'Données projet'!$A$62,$AF$205^A31,IF(A31='Données projet'!$A$62,'Données projet'!$B$62,AI30+AH31-AQ30)))</f>
        <v>100.39999999999998</v>
      </c>
      <c r="AJ31" s="13">
        <f>AI31*VLOOKUP('Données projet'!$B$10,Paramètres!$A$1:$I$89,3,0)*VLOOKUP('Données projet'!$B$10,Paramètres!$A$1:$I$89,5,0)</f>
        <v>84.57696</v>
      </c>
      <c r="AK31" s="13">
        <f t="shared" si="35"/>
        <v>23.252625379447668</v>
      </c>
      <c r="AL31" s="20">
        <f t="shared" si="4"/>
        <v>187.80319453587131</v>
      </c>
      <c r="AM31" s="59">
        <f t="shared" si="5"/>
        <v>481.13652786920466</v>
      </c>
      <c r="AN31" s="59">
        <f ca="1">AVERAGE(OFFSET($AM$3,0,0,'Données projet'!$E$10+1,1))-AVERAGE(OFFSET($H$3,0,0,'Données projet'!$E$10+1,1))</f>
        <v>247.67539667223065</v>
      </c>
      <c r="AO31" s="59">
        <f t="shared" si="36"/>
        <v>174.54442616983778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0.87866567533450113</v>
      </c>
      <c r="AW31" s="21">
        <f>EXP(-LN(2)/2)*AW30+(1-EXP(-LN(2)/2))/(LN(2)/2)*AQ31*AT31*VLOOKUP('Données projet'!$B$10,Paramètres!$A$1:$I$89,3,0)*0.475*44/12</f>
        <v>0.13661090314842764</v>
      </c>
      <c r="AX31" s="21">
        <f t="shared" si="6"/>
        <v>1.0152765784829287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2.9235042735042733</v>
      </c>
      <c r="BD31" s="12">
        <f>IF('Données projet'!$A$88&gt;35,BD30+BC31-BL30,IF(A31&lt;'Données projet'!$A$88,$BA$205^A31,IF(A31='Données projet'!$A$88,'Données projet'!$B$88,BD30+BC31-BL30)))</f>
        <v>65.086360682202411</v>
      </c>
      <c r="BE31" s="13">
        <f>BD31*VLOOKUP('Données projet'!$B$11,Paramètres!$A$1:$I$89,3,0)*VLOOKUP('Données projet'!$B$11,Paramètres!$A$1:$I$89,5,0)</f>
        <v>64.982222505110897</v>
      </c>
      <c r="BF31" s="13">
        <f t="shared" si="37"/>
        <v>18.422023792573217</v>
      </c>
      <c r="BG31" s="20">
        <f t="shared" si="7"/>
        <v>145.26239563513315</v>
      </c>
      <c r="BH31" s="59">
        <f t="shared" si="8"/>
        <v>438.59572896846646</v>
      </c>
      <c r="BI31" s="59">
        <f ca="1">AVERAGE(OFFSET($BH$3,0,0,'Données projet'!$E$11+1,1))-AVERAGE(OFFSET($H$3,0,0,'Données projet'!$E$11+1,1))</f>
        <v>245.06609107649069</v>
      </c>
      <c r="BJ31" s="59">
        <f t="shared" si="38"/>
        <v>156.24531945456499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1.8202290328267554</v>
      </c>
      <c r="BY31" s="12">
        <f>IF('Données projet'!$A$114&gt;35,BY30+BX31-CG30,IF(A31&lt;'Données projet'!$A$114,$BV$205^A31,IF(A31='Données projet'!$A$114,'Données projet'!$B$114,BY30+BX31-CG30)))</f>
        <v>32.920051743812543</v>
      </c>
      <c r="BZ31" s="13">
        <f>BY31*VLOOKUP('Données projet'!$B$12,Paramètres!$A$1:$I$89,3,0)*VLOOKUP('Données projet'!$B$12,Paramètres!$A$1:$I$89,5,0)</f>
        <v>35.948696504243294</v>
      </c>
      <c r="CA31" s="13">
        <f t="shared" si="39"/>
        <v>10.918266585364805</v>
      </c>
      <c r="CB31" s="20">
        <f t="shared" si="10"/>
        <v>81.626627381067422</v>
      </c>
      <c r="CC31" s="59">
        <f t="shared" si="11"/>
        <v>374.95996071440072</v>
      </c>
      <c r="CD31" s="59">
        <f ca="1">AVERAGE(OFFSET($CC$3,0,0,'Données projet'!$E$12+1,1))-AVERAGE(OFFSET($H$3,0,0,'Données projet'!$E$12+1,1))</f>
        <v>173.63857221119594</v>
      </c>
      <c r="CE31" s="59">
        <f t="shared" si="40"/>
        <v>52.373745617370105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16.078461538461539</v>
      </c>
      <c r="N32" s="13">
        <f>IF('Données projet'!$A$36&gt;35,N31+M32-V31,IF(A32&lt;'Données projet'!$A$36,$K$205^A32,IF(A32='Données projet'!$A$36,'Données projet'!$B$36,N31+M32-V31)))</f>
        <v>239.35230769230762</v>
      </c>
      <c r="O32" s="13">
        <f>N32*VLOOKUP('Données projet'!$B$9,Paramètres!$A$1:$I$89,3,0)*VLOOKUP('Données projet'!$B$9,Paramètres!$A$1:$I$89,5,0)</f>
        <v>143.13267999999997</v>
      </c>
      <c r="P32" s="13">
        <f t="shared" si="33"/>
        <v>37.01373158459522</v>
      </c>
      <c r="Q32" s="20">
        <f t="shared" si="2"/>
        <v>313.75500017650324</v>
      </c>
      <c r="R32" s="59">
        <f t="shared" si="0"/>
        <v>607.0883335098365</v>
      </c>
      <c r="S32" s="59">
        <f ca="1">AVERAGE(OFFSET($R$3,0,0,'Données projet'!$E$9+1,1))-AVERAGE(OFFSET($H$3,0,0,'Données projet'!$E$9+1,1))</f>
        <v>175.34314856709307</v>
      </c>
      <c r="T32" s="59">
        <f t="shared" si="34"/>
        <v>296.28950942251339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15.071828771234427</v>
      </c>
      <c r="AA32" s="21">
        <f>EXP(-LN(2)/25)*AA31+(1-EXP(-LN(2)/25))/(LN(2)/25)*Calculateur!V32*Calculateur!X32*VLOOKUP('Données projet'!$B$9,Paramètres!$A$1:$I$89,3,0)*0.475*44/12</f>
        <v>19.292125858237085</v>
      </c>
      <c r="AB32" s="21">
        <f>EXP(-LN(2)/2)*AB31+(1-EXP(-LN(2)/2))/(LN(2)/2)*V32*Y32*VLOOKUP('Données projet'!$B$9,Paramètres!$A$1:$I$89,3,0)*0.475*44/12</f>
        <v>3.6223021340168757</v>
      </c>
      <c r="AC32" s="22">
        <f t="shared" si="3"/>
        <v>37.986256763488392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6.8</v>
      </c>
      <c r="AI32" s="13">
        <f>IF('Données projet'!$A$62&gt;35,AI31+AH32-AQ31,IF(A32&lt;'Données projet'!$A$62,$AF$205^A32,IF(A32='Données projet'!$A$62,'Données projet'!$B$62,AI31+AH32-AQ31)))</f>
        <v>107.19999999999997</v>
      </c>
      <c r="AJ32" s="13">
        <f>AI32*VLOOKUP('Données projet'!$B$10,Paramètres!$A$1:$I$89,3,0)*VLOOKUP('Données projet'!$B$10,Paramètres!$A$1:$I$89,5,0)</f>
        <v>90.305279999999982</v>
      </c>
      <c r="AK32" s="13">
        <f t="shared" si="35"/>
        <v>24.638836662227757</v>
      </c>
      <c r="AL32" s="20">
        <f t="shared" si="4"/>
        <v>200.19433652004662</v>
      </c>
      <c r="AM32" s="59">
        <f t="shared" si="5"/>
        <v>493.52766985337996</v>
      </c>
      <c r="AN32" s="59">
        <f ca="1">AVERAGE(OFFSET($AM$3,0,0,'Données projet'!$E$10+1,1))-AVERAGE(OFFSET($H$3,0,0,'Données projet'!$E$10+1,1))</f>
        <v>247.67539667223065</v>
      </c>
      <c r="AO32" s="59">
        <f t="shared" si="36"/>
        <v>174.54442616983778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0.8546385162354595</v>
      </c>
      <c r="AW32" s="21">
        <f>EXP(-LN(2)/2)*AW31+(1-EXP(-LN(2)/2))/(LN(2)/2)*AQ32*AT32*VLOOKUP('Données projet'!$B$10,Paramètres!$A$1:$I$89,3,0)*0.475*44/12</f>
        <v>9.6598496000271858E-2</v>
      </c>
      <c r="AX32" s="21">
        <f t="shared" si="6"/>
        <v>0.95123701223573132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2.9235042735042733</v>
      </c>
      <c r="BD32" s="12">
        <f>IF('Données projet'!$A$88&gt;35,BD31+BC32-BL31,IF(A32&lt;'Données projet'!$A$88,$BA$205^A32,IF(A32='Données projet'!$A$88,'Données projet'!$B$88,BD31+BC32-BL31)))</f>
        <v>75.55400457975604</v>
      </c>
      <c r="BE32" s="13">
        <f>BD32*VLOOKUP('Données projet'!$B$11,Paramètres!$A$1:$I$89,3,0)*VLOOKUP('Données projet'!$B$11,Paramètres!$A$1:$I$89,5,0)</f>
        <v>75.433118172428436</v>
      </c>
      <c r="BF32" s="13">
        <f t="shared" si="37"/>
        <v>21.016766613306388</v>
      </c>
      <c r="BG32" s="20">
        <f t="shared" si="7"/>
        <v>167.98354933515483</v>
      </c>
      <c r="BH32" s="59">
        <f t="shared" si="8"/>
        <v>461.31688266848812</v>
      </c>
      <c r="BI32" s="59">
        <f ca="1">AVERAGE(OFFSET($BH$3,0,0,'Données projet'!$E$11+1,1))-AVERAGE(OFFSET($H$3,0,0,'Données projet'!$E$11+1,1))</f>
        <v>245.06609107649069</v>
      </c>
      <c r="BJ32" s="59">
        <f t="shared" si="38"/>
        <v>156.24531945456499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1.8202290328267554</v>
      </c>
      <c r="BY32" s="12">
        <f>IF('Données projet'!$A$114&gt;35,BY31+BX32-CG31,IF(A32&lt;'Données projet'!$A$114,$BV$205^A32,IF(A32='Données projet'!$A$114,'Données projet'!$B$114,BY31+BX32-CG31)))</f>
        <v>34.740280776639295</v>
      </c>
      <c r="BZ32" s="13">
        <f>BY32*VLOOKUP('Données projet'!$B$12,Paramètres!$A$1:$I$89,3,0)*VLOOKUP('Données projet'!$B$12,Paramètres!$A$1:$I$89,5,0)</f>
        <v>37.93638660809011</v>
      </c>
      <c r="CA32" s="13">
        <f t="shared" si="39"/>
        <v>11.450011249461227</v>
      </c>
      <c r="CB32" s="20">
        <f t="shared" si="10"/>
        <v>86.014642935235244</v>
      </c>
      <c r="CC32" s="59">
        <f t="shared" si="11"/>
        <v>379.34797626856857</v>
      </c>
      <c r="CD32" s="59">
        <f ca="1">AVERAGE(OFFSET($CC$3,0,0,'Données projet'!$E$12+1,1))-AVERAGE(OFFSET($H$3,0,0,'Données projet'!$E$12+1,1))</f>
        <v>173.63857221119594</v>
      </c>
      <c r="CE32" s="59">
        <f t="shared" si="40"/>
        <v>52.373745617370105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255.43076923076922</v>
      </c>
      <c r="L33" s="12">
        <f>VLOOKUP(A33,'Données projet'!$A$35:$I$55,9,0)</f>
        <v>16.078461538461539</v>
      </c>
      <c r="M33" s="12">
        <f t="array" ref="M33">INDEX(L:L,MIN(IF(ISNUMBER(L33:L229),ROW(L33:L229),"")))</f>
        <v>16.078461538461539</v>
      </c>
      <c r="N33" s="13">
        <f>IF('Données projet'!$A$36&gt;35,N32+M33-V32,IF(A33&lt;'Données projet'!$A$36,$K$205^A33,IF(A33='Données projet'!$A$36,'Données projet'!$B$36,N32+M33-V32)))</f>
        <v>255.43076923076916</v>
      </c>
      <c r="O33" s="13">
        <f>N33*VLOOKUP('Données projet'!$B$9,Paramètres!$A$1:$I$89,3,0)*VLOOKUP('Données projet'!$B$9,Paramètres!$A$1:$I$89,5,0)</f>
        <v>152.74759999999995</v>
      </c>
      <c r="P33" s="13">
        <f t="shared" si="33"/>
        <v>39.202326418749088</v>
      </c>
      <c r="Q33" s="20">
        <f t="shared" si="2"/>
        <v>334.31278851265455</v>
      </c>
      <c r="R33" s="59">
        <f t="shared" si="0"/>
        <v>627.64612184598786</v>
      </c>
      <c r="S33" s="59">
        <f ca="1">AVERAGE(OFFSET($R$3,0,0,'Données projet'!$E$9+1,1))-AVERAGE(OFFSET($H$3,0,0,'Données projet'!$E$9+1,1))</f>
        <v>175.34314856709307</v>
      </c>
      <c r="T33" s="59">
        <f t="shared" si="34"/>
        <v>296.28950942251339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14.776279401938346</v>
      </c>
      <c r="AA33" s="21">
        <f>EXP(-LN(2)/25)*AA32+(1-EXP(-LN(2)/25))/(LN(2)/25)*Calculateur!V33*Calculateur!X33*VLOOKUP('Données projet'!$B$9,Paramètres!$A$1:$I$89,3,0)*0.475*44/12</f>
        <v>18.764581662114786</v>
      </c>
      <c r="AB33" s="21">
        <f>EXP(-LN(2)/2)*AB32+(1-EXP(-LN(2)/2))/(LN(2)/2)*V33*Y33*VLOOKUP('Données projet'!$B$9,Paramètres!$A$1:$I$89,3,0)*0.475*44/12</f>
        <v>2.5613544024698354</v>
      </c>
      <c r="AC33" s="22">
        <f t="shared" si="3"/>
        <v>36.102215466522971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114</v>
      </c>
      <c r="AG33" s="12">
        <f>VLOOKUP(A33,'Données projet'!$A$61:$I$81,9,0)</f>
        <v>6.8</v>
      </c>
      <c r="AH33" s="12">
        <f t="array" ref="AH33">INDEX(AG:AG,MIN(IF(ISNUMBER(AG33:AG229),ROW(AG33:AG229),"")))</f>
        <v>6.8</v>
      </c>
      <c r="AI33" s="13">
        <f>IF('Données projet'!$A$62&gt;35,AI32+AH33-AQ32,IF(A33&lt;'Données projet'!$A$62,$AF$205^A33,IF(A33='Données projet'!$A$62,'Données projet'!$B$62,AI32+AH33-AQ32)))</f>
        <v>113.99999999999997</v>
      </c>
      <c r="AJ33" s="13">
        <f>AI33*VLOOKUP('Données projet'!$B$10,Paramètres!$A$1:$I$89,3,0)*VLOOKUP('Données projet'!$B$10,Paramètres!$A$1:$I$89,5,0)</f>
        <v>96.033599999999979</v>
      </c>
      <c r="AK33" s="13">
        <f t="shared" si="35"/>
        <v>26.014843211471206</v>
      </c>
      <c r="AL33" s="20">
        <f t="shared" si="4"/>
        <v>212.56770525997896</v>
      </c>
      <c r="AM33" s="59">
        <f t="shared" si="5"/>
        <v>505.90103859331225</v>
      </c>
      <c r="AN33" s="59">
        <f ca="1">AVERAGE(OFFSET($AM$3,0,0,'Données projet'!$E$10+1,1))-AVERAGE(OFFSET($H$3,0,0,'Données projet'!$E$10+1,1))</f>
        <v>247.67539667223065</v>
      </c>
      <c r="AO33" s="59">
        <f t="shared" si="36"/>
        <v>174.54442616983778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32</v>
      </c>
      <c r="AR33" s="16">
        <f>IF(ISNA(VLOOKUP(A33,'Données projet'!$A$61:$I$81,5,0)),0%,VLOOKUP(A33,'Données projet'!$A$61:$I$81,5,0)*VLOOKUP('Données projet'!$B$10,Paramètres!$A$1:$I$89,7,0))</f>
        <v>4.3000000000000003E-2</v>
      </c>
      <c r="AS33" s="16">
        <f>IF(ISNA(VLOOKUP(A33,'Données projet'!$A$61:$I$81,6,0)),0%,VLOOKUP(A33,'Données projet'!$A$61:$I$81,6,0)*VLOOKUP('Données projet'!$B$10,Paramètres!$A$1:$I$89,7,0))</f>
        <v>0.19350000000000001</v>
      </c>
      <c r="AT33" s="16">
        <f>IF(ISNA(VLOOKUP(A33,'Données projet'!$A$61:$I$81,7,0)),0%,VLOOKUP(A33,'Données projet'!$A$61:$I$81,7,0))</f>
        <v>0.45</v>
      </c>
      <c r="AU33" s="21">
        <f>EXP(-LN(2)/35)*AU32+(1-EXP(-LN(2)/35))/(LN(2)/35)*AQ33*AR33*VLOOKUP('Données projet'!$B$10,Paramètres!$A$1:$I$89,3,0)*0.475*44/12</f>
        <v>1.2813975888607347</v>
      </c>
      <c r="AV33" s="21">
        <f>EXP(-LN(2)/25)*AV32+(1-EXP(-LN(2)/25))/(LN(2)/25)*Calculateur!AQ33*Calculateur!AS33*VLOOKUP('Données projet'!$B$10,Paramètres!$A$1:$I$89,3,0)*0.475*44/12</f>
        <v>6.5748534534273526</v>
      </c>
      <c r="AW33" s="21">
        <f>EXP(-LN(2)/2)*AW32+(1-EXP(-LN(2)/2))/(LN(2)/2)*AQ33*AT33*VLOOKUP('Données projet'!$B$10,Paramètres!$A$1:$I$89,3,0)*0.475*44/12</f>
        <v>11.513815300809753</v>
      </c>
      <c r="AX33" s="21">
        <f t="shared" si="6"/>
        <v>19.370066343097839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87.705128205128204</v>
      </c>
      <c r="BB33" s="12">
        <f>VLOOKUP(A33,'Données projet'!$A$87:$I$107,9,0)</f>
        <v>2.9235042735042733</v>
      </c>
      <c r="BC33" s="12">
        <f t="array" ref="BC33">INDEX(BB:BB,MIN(IF(ISNUMBER(BB33:BB229),ROW(BB33:BB229),"")))</f>
        <v>2.9235042735042733</v>
      </c>
      <c r="BD33" s="12">
        <f>IF('Données projet'!$A$88&gt;35,BD32+BC33-BL32,IF(A33&lt;'Données projet'!$A$88,$BA$205^A33,IF(A33='Données projet'!$A$88,'Données projet'!$B$88,BD32+BC33-BL32)))</f>
        <v>87.705128205128204</v>
      </c>
      <c r="BE33" s="13">
        <f>BD33*VLOOKUP('Données projet'!$B$11,Paramètres!$A$1:$I$89,3,0)*VLOOKUP('Données projet'!$B$11,Paramètres!$A$1:$I$89,5,0)</f>
        <v>87.564800000000005</v>
      </c>
      <c r="BF33" s="13">
        <f t="shared" si="37"/>
        <v>23.976979068730795</v>
      </c>
      <c r="BG33" s="20">
        <f t="shared" si="7"/>
        <v>194.26859854470615</v>
      </c>
      <c r="BH33" s="59">
        <f t="shared" si="8"/>
        <v>487.60193187803947</v>
      </c>
      <c r="BI33" s="59">
        <f ca="1">AVERAGE(OFFSET($BH$3,0,0,'Données projet'!$E$11+1,1))-AVERAGE(OFFSET($H$3,0,0,'Données projet'!$E$11+1,1))</f>
        <v>245.06609107649069</v>
      </c>
      <c r="BJ33" s="59">
        <f t="shared" si="38"/>
        <v>156.24531945456499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0.215</v>
      </c>
      <c r="BO33" s="16">
        <f>IF(ISNA(VLOOKUP(A33,'Données projet'!$A$87:$I$107,7,0)),0%,VLOOKUP(A33,'Données projet'!$A$87:$I$107,7,0))</f>
        <v>0.5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36.560509809466062</v>
      </c>
      <c r="BW33" s="12">
        <f>VLOOKUP(A33,'Données projet'!$A$113:$I$133,9,0)</f>
        <v>1.8202290328267554</v>
      </c>
      <c r="BX33" s="12">
        <f t="array" ref="BX33">INDEX(BW:BW,MIN(IF(ISNUMBER(BW33:BW229),ROW(BW33:BW229),"")))</f>
        <v>1.8202290328267554</v>
      </c>
      <c r="BY33" s="12">
        <f>IF('Données projet'!$A$114&gt;35,BY32+BX33-CG32,IF(A33&lt;'Données projet'!$A$114,$BV$205^A33,IF(A33='Données projet'!$A$114,'Données projet'!$B$114,BY32+BX33-CG32)))</f>
        <v>36.560509809466048</v>
      </c>
      <c r="BZ33" s="13">
        <f>BY33*VLOOKUP('Données projet'!$B$12,Paramètres!$A$1:$I$89,3,0)*VLOOKUP('Données projet'!$B$12,Paramètres!$A$1:$I$89,5,0)</f>
        <v>39.924076711936927</v>
      </c>
      <c r="CA33" s="13">
        <f t="shared" si="39"/>
        <v>11.97852120625137</v>
      </c>
      <c r="CB33" s="20">
        <f t="shared" si="10"/>
        <v>90.397024707511278</v>
      </c>
      <c r="CC33" s="59">
        <f t="shared" si="11"/>
        <v>383.73035804084458</v>
      </c>
      <c r="CD33" s="59">
        <f ca="1">AVERAGE(OFFSET($CC$3,0,0,'Données projet'!$E$12+1,1))-AVERAGE(OFFSET($H$3,0,0,'Données projet'!$E$12+1,1))</f>
        <v>173.63857221119594</v>
      </c>
      <c r="CE33" s="59">
        <f t="shared" si="40"/>
        <v>52.373745617370105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16.079999999999995</v>
      </c>
      <c r="N34" s="13">
        <f>IF('Données projet'!$A$36&gt;35,N33+M34-V33,IF(A34&lt;'Données projet'!$A$36,$K$205^A34,IF(A34='Données projet'!$A$36,'Données projet'!$B$36,N33+M34-V33)))</f>
        <v>271.51076923076914</v>
      </c>
      <c r="O34" s="13">
        <f>N34*VLOOKUP('Données projet'!$B$9,Paramètres!$A$1:$I$89,3,0)*VLOOKUP('Données projet'!$B$9,Paramètres!$A$1:$I$89,5,0)</f>
        <v>162.36343999999997</v>
      </c>
      <c r="P34" s="13">
        <f t="shared" si="33"/>
        <v>41.375140105551061</v>
      </c>
      <c r="Q34" s="20">
        <f t="shared" si="2"/>
        <v>354.84469368383469</v>
      </c>
      <c r="R34" s="59">
        <f t="shared" si="0"/>
        <v>648.17802701716801</v>
      </c>
      <c r="S34" s="59">
        <f ca="1">AVERAGE(OFFSET($R$3,0,0,'Données projet'!$E$9+1,1))-AVERAGE(OFFSET($H$3,0,0,'Données projet'!$E$9+1,1))</f>
        <v>175.34314856709307</v>
      </c>
      <c r="T34" s="59">
        <f t="shared" si="34"/>
        <v>296.28950942251339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14.486525575506846</v>
      </c>
      <c r="AA34" s="21">
        <f>EXP(-LN(2)/25)*AA33+(1-EXP(-LN(2)/25))/(LN(2)/25)*Calculateur!V34*Calculateur!X34*VLOOKUP('Données projet'!$B$9,Paramètres!$A$1:$I$89,3,0)*0.475*44/12</f>
        <v>18.251463189777795</v>
      </c>
      <c r="AB34" s="21">
        <f>EXP(-LN(2)/2)*AB33+(1-EXP(-LN(2)/2))/(LN(2)/2)*V34*Y34*VLOOKUP('Données projet'!$B$9,Paramètres!$A$1:$I$89,3,0)*0.475*44/12</f>
        <v>1.8111510670084381</v>
      </c>
      <c r="AC34" s="22">
        <f t="shared" si="3"/>
        <v>34.549139832293079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7.4</v>
      </c>
      <c r="AI34" s="13">
        <f>IF('Données projet'!$A$62&gt;35,AI33+AH34-AQ33,IF(A34&lt;'Données projet'!$A$62,$AF$205^A34,IF(A34='Données projet'!$A$62,'Données projet'!$B$62,AI33+AH34-AQ33)))</f>
        <v>89.399999999999977</v>
      </c>
      <c r="AJ34" s="13">
        <f>AI34*VLOOKUP('Données projet'!$B$10,Paramètres!$A$1:$I$89,3,0)*VLOOKUP('Données projet'!$B$10,Paramètres!$A$1:$I$89,5,0)</f>
        <v>75.310559999999981</v>
      </c>
      <c r="AK34" s="13">
        <f t="shared" si="35"/>
        <v>20.986591916584235</v>
      </c>
      <c r="AL34" s="20">
        <f t="shared" si="4"/>
        <v>167.71753958805084</v>
      </c>
      <c r="AM34" s="59">
        <f t="shared" si="5"/>
        <v>461.05087292138415</v>
      </c>
      <c r="AN34" s="59">
        <f ca="1">AVERAGE(OFFSET($AM$3,0,0,'Données projet'!$E$10+1,1))-AVERAGE(OFFSET($H$3,0,0,'Données projet'!$E$10+1,1))</f>
        <v>247.67539667223065</v>
      </c>
      <c r="AO34" s="59">
        <f t="shared" si="36"/>
        <v>174.54442616983778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1.2562701637185307</v>
      </c>
      <c r="AV34" s="21">
        <f>EXP(-LN(2)/25)*AV33+(1-EXP(-LN(2)/25))/(LN(2)/25)*Calculateur!AQ34*Calculateur!AS34*VLOOKUP('Données projet'!$B$10,Paramètres!$A$1:$I$89,3,0)*0.475*44/12</f>
        <v>6.3950637399868659</v>
      </c>
      <c r="AW34" s="21">
        <f>EXP(-LN(2)/2)*AW33+(1-EXP(-LN(2)/2))/(LN(2)/2)*AQ34*AT34*VLOOKUP('Données projet'!$B$10,Paramètres!$A$1:$I$89,3,0)*0.475*44/12</f>
        <v>8.1414968765320062</v>
      </c>
      <c r="AX34" s="21">
        <f t="shared" si="6"/>
        <v>15.792830780237402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5.3369963369963358</v>
      </c>
      <c r="BD34" s="12">
        <f>IF('Données projet'!$A$88&gt;35,BD33+BC34-BL33,IF(A34&lt;'Données projet'!$A$88,$BA$205^A34,IF(A34='Données projet'!$A$88,'Données projet'!$B$88,BD33+BC34-BL33)))</f>
        <v>93.04212454212454</v>
      </c>
      <c r="BE34" s="13">
        <f>BD34*VLOOKUP('Données projet'!$B$11,Paramètres!$A$1:$I$89,3,0)*VLOOKUP('Données projet'!$B$11,Paramètres!$A$1:$I$89,5,0)</f>
        <v>92.893257142857138</v>
      </c>
      <c r="BF34" s="13">
        <f t="shared" si="37"/>
        <v>25.261718770157074</v>
      </c>
      <c r="BG34" s="20">
        <f t="shared" si="7"/>
        <v>205.78658304849975</v>
      </c>
      <c r="BH34" s="59">
        <f t="shared" si="8"/>
        <v>499.11991638183304</v>
      </c>
      <c r="BI34" s="59">
        <f ca="1">AVERAGE(OFFSET($BH$3,0,0,'Données projet'!$E$11+1,1))-AVERAGE(OFFSET($H$3,0,0,'Données projet'!$E$11+1,1))</f>
        <v>245.06609107649069</v>
      </c>
      <c r="BJ34" s="59">
        <f t="shared" si="38"/>
        <v>156.24531945456499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2.2709162873211426</v>
      </c>
      <c r="BY34" s="12">
        <f>IF('Données projet'!$A$114&gt;35,BY33+BX34-CG33,IF(A34&lt;'Données projet'!$A$114,$BV$205^A34,IF(A34='Données projet'!$A$114,'Données projet'!$B$114,BY33+BX34-CG33)))</f>
        <v>38.83142609678719</v>
      </c>
      <c r="BZ34" s="13">
        <f>BY34*VLOOKUP('Données projet'!$B$12,Paramètres!$A$1:$I$89,3,0)*VLOOKUP('Données projet'!$B$12,Paramètres!$A$1:$I$89,5,0)</f>
        <v>42.403917297691606</v>
      </c>
      <c r="CA34" s="13">
        <f t="shared" si="39"/>
        <v>12.63362517539537</v>
      </c>
      <c r="CB34" s="20">
        <f t="shared" si="10"/>
        <v>95.857053140626476</v>
      </c>
      <c r="CC34" s="59">
        <f t="shared" si="11"/>
        <v>389.19038647395979</v>
      </c>
      <c r="CD34" s="59">
        <f ca="1">AVERAGE(OFFSET($CC$3,0,0,'Données projet'!$E$12+1,1))-AVERAGE(OFFSET($H$3,0,0,'Données projet'!$E$12+1,1))</f>
        <v>173.63857221119594</v>
      </c>
      <c r="CE34" s="59">
        <f t="shared" si="40"/>
        <v>52.373745617370105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16.079999999999995</v>
      </c>
      <c r="N35" s="13">
        <f>IF('Données projet'!$A$36&gt;35,N34+M35-V34,IF(A35&lt;'Données projet'!$A$36,$K$205^A35,IF(A35='Données projet'!$A$36,'Données projet'!$B$36,N34+M35-V34)))</f>
        <v>287.59076923076913</v>
      </c>
      <c r="O35" s="13">
        <f>N35*VLOOKUP('Données projet'!$B$9,Paramètres!$A$1:$I$89,3,0)*VLOOKUP('Données projet'!$B$9,Paramètres!$A$1:$I$89,5,0)</f>
        <v>171.97927999999993</v>
      </c>
      <c r="P35" s="13">
        <f t="shared" si="33"/>
        <v>43.533017376057153</v>
      </c>
      <c r="Q35" s="20">
        <f t="shared" ref="Q35:Q66" si="53">(O35+P35)*0.475*44/12</f>
        <v>375.3505845966327</v>
      </c>
      <c r="R35" s="59">
        <f t="shared" si="0"/>
        <v>668.68391792996601</v>
      </c>
      <c r="S35" s="59">
        <f ca="1">AVERAGE(OFFSET($R$3,0,0,'Données projet'!$E$9+1,1))-AVERAGE(OFFSET($H$3,0,0,'Données projet'!$E$9+1,1))</f>
        <v>175.34314856709307</v>
      </c>
      <c r="T35" s="59">
        <f t="shared" si="34"/>
        <v>296.28950942251339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14.202453644879284</v>
      </c>
      <c r="AA35" s="21">
        <f>EXP(-LN(2)/25)*AA34+(1-EXP(-LN(2)/25))/(LN(2)/25)*Calculateur!V35*Calculateur!X35*VLOOKUP('Données projet'!$B$9,Paramètres!$A$1:$I$89,3,0)*0.475*44/12</f>
        <v>17.752375969050586</v>
      </c>
      <c r="AB35" s="21">
        <f>EXP(-LN(2)/2)*AB34+(1-EXP(-LN(2)/2))/(LN(2)/2)*V35*Y35*VLOOKUP('Données projet'!$B$9,Paramètres!$A$1:$I$89,3,0)*0.475*44/12</f>
        <v>1.2806772012349177</v>
      </c>
      <c r="AC35" s="22">
        <f t="shared" si="3"/>
        <v>33.23550681516479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7.4</v>
      </c>
      <c r="AI35" s="13">
        <f>IF('Données projet'!$A$62&gt;35,AI34+AH35-AQ34,IF(A35&lt;'Données projet'!$A$62,$AF$205^A35,IF(A35='Données projet'!$A$62,'Données projet'!$B$62,AI34+AH35-AQ34)))</f>
        <v>96.799999999999983</v>
      </c>
      <c r="AJ35" s="13">
        <f>AI35*VLOOKUP('Données projet'!$B$10,Paramètres!$A$1:$I$89,3,0)*VLOOKUP('Données projet'!$B$10,Paramètres!$A$1:$I$89,5,0)</f>
        <v>81.544319999999985</v>
      </c>
      <c r="AK35" s="13">
        <f t="shared" si="35"/>
        <v>22.51435718940575</v>
      </c>
      <c r="AL35" s="20">
        <f t="shared" si="4"/>
        <v>181.23552943821497</v>
      </c>
      <c r="AM35" s="59">
        <f t="shared" si="5"/>
        <v>474.56886277154831</v>
      </c>
      <c r="AN35" s="59">
        <f ca="1">AVERAGE(OFFSET($AM$3,0,0,'Données projet'!$E$10+1,1))-AVERAGE(OFFSET($H$3,0,0,'Données projet'!$E$10+1,1))</f>
        <v>247.67539667223065</v>
      </c>
      <c r="AO35" s="59">
        <f t="shared" si="36"/>
        <v>174.54442616983778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1.2316354720571494</v>
      </c>
      <c r="AV35" s="21">
        <f>EXP(-LN(2)/25)*AV34+(1-EXP(-LN(2)/25))/(LN(2)/25)*Calculateur!AQ35*Calculateur!AS35*VLOOKUP('Données projet'!$B$10,Paramètres!$A$1:$I$89,3,0)*0.475*44/12</f>
        <v>6.2201903857151395</v>
      </c>
      <c r="AW35" s="21">
        <f>EXP(-LN(2)/2)*AW34+(1-EXP(-LN(2)/2))/(LN(2)/2)*AQ35*AT35*VLOOKUP('Données projet'!$B$10,Paramètres!$A$1:$I$89,3,0)*0.475*44/12</f>
        <v>5.7569076504048775</v>
      </c>
      <c r="AX35" s="21">
        <f t="shared" si="6"/>
        <v>13.208733508177167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5.3369963369963358</v>
      </c>
      <c r="BD35" s="12">
        <f>IF('Données projet'!$A$88&gt;35,BD34+BC35-BL34,IF(A35&lt;'Données projet'!$A$88,$BA$205^A35,IF(A35='Données projet'!$A$88,'Données projet'!$B$88,BD34+BC35-BL34)))</f>
        <v>98.379120879120876</v>
      </c>
      <c r="BE35" s="13">
        <f>BD35*VLOOKUP('Données projet'!$B$11,Paramètres!$A$1:$I$89,3,0)*VLOOKUP('Données projet'!$B$11,Paramètres!$A$1:$I$89,5,0)</f>
        <v>98.221714285714285</v>
      </c>
      <c r="BF35" s="13">
        <f t="shared" si="37"/>
        <v>26.537904105806287</v>
      </c>
      <c r="BG35" s="20">
        <f t="shared" si="7"/>
        <v>217.28966869856501</v>
      </c>
      <c r="BH35" s="59">
        <f t="shared" si="8"/>
        <v>510.6230020318983</v>
      </c>
      <c r="BI35" s="59">
        <f ca="1">AVERAGE(OFFSET($BH$3,0,0,'Données projet'!$E$11+1,1))-AVERAGE(OFFSET($H$3,0,0,'Données projet'!$E$11+1,1))</f>
        <v>245.06609107649069</v>
      </c>
      <c r="BJ35" s="59">
        <f t="shared" si="38"/>
        <v>156.24531945456499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2.2709162873211426</v>
      </c>
      <c r="BY35" s="12">
        <f>IF('Données projet'!$A$114&gt;35,BY34+BX35-CG34,IF(A35&lt;'Données projet'!$A$114,$BV$205^A35,IF(A35='Données projet'!$A$114,'Données projet'!$B$114,BY34+BX35-CG34)))</f>
        <v>41.102342384108333</v>
      </c>
      <c r="BZ35" s="13">
        <f>BY35*VLOOKUP('Données projet'!$B$12,Paramètres!$A$1:$I$89,3,0)*VLOOKUP('Données projet'!$B$12,Paramètres!$A$1:$I$89,5,0)</f>
        <v>44.8837578834463</v>
      </c>
      <c r="CA35" s="13">
        <f t="shared" si="39"/>
        <v>13.284282166061946</v>
      </c>
      <c r="CB35" s="20">
        <f t="shared" si="10"/>
        <v>101.30933641956021</v>
      </c>
      <c r="CC35" s="59">
        <f t="shared" si="11"/>
        <v>394.64266975289354</v>
      </c>
      <c r="CD35" s="59">
        <f ca="1">AVERAGE(OFFSET($CC$3,0,0,'Données projet'!$E$12+1,1))-AVERAGE(OFFSET($H$3,0,0,'Données projet'!$E$12+1,1))</f>
        <v>173.63857221119594</v>
      </c>
      <c r="CE35" s="59">
        <f t="shared" si="40"/>
        <v>52.373745617370105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16.079999999999995</v>
      </c>
      <c r="N36" s="13">
        <f>IF('Données projet'!$A$36&gt;35,N35+M36-V35,IF(A36&lt;'Données projet'!$A$36,$K$205^A36,IF(A36='Données projet'!$A$36,'Données projet'!$B$36,N35+M36-V35)))</f>
        <v>303.67076923076911</v>
      </c>
      <c r="O36" s="13">
        <f>N36*VLOOKUP('Données projet'!$B$9,Paramètres!$A$1:$I$89,3,0)*VLOOKUP('Données projet'!$B$9,Paramètres!$A$1:$I$89,5,0)</f>
        <v>181.59511999999995</v>
      </c>
      <c r="P36" s="13">
        <f t="shared" si="33"/>
        <v>45.676888545227534</v>
      </c>
      <c r="Q36" s="20">
        <f t="shared" si="53"/>
        <v>395.83208154960454</v>
      </c>
      <c r="R36" s="59">
        <f t="shared" si="0"/>
        <v>689.16541488293785</v>
      </c>
      <c r="S36" s="59">
        <f ca="1">AVERAGE(OFFSET($R$3,0,0,'Données projet'!$E$9+1,1))-AVERAGE(OFFSET($H$3,0,0,'Données projet'!$E$9+1,1))</f>
        <v>175.34314856709307</v>
      </c>
      <c r="T36" s="59">
        <f t="shared" si="34"/>
        <v>296.28950942251339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13.92395219154456</v>
      </c>
      <c r="AA36" s="21">
        <f>EXP(-LN(2)/25)*AA35+(1-EXP(-LN(2)/25))/(LN(2)/25)*Calculateur!V36*Calculateur!X36*VLOOKUP('Données projet'!$B$9,Paramètres!$A$1:$I$89,3,0)*0.475*44/12</f>
        <v>17.266936314620018</v>
      </c>
      <c r="AB36" s="21">
        <f>EXP(-LN(2)/2)*AB35+(1-EXP(-LN(2)/2))/(LN(2)/2)*V36*Y36*VLOOKUP('Données projet'!$B$9,Paramètres!$A$1:$I$89,3,0)*0.475*44/12</f>
        <v>0.90557553350421904</v>
      </c>
      <c r="AC36" s="22">
        <f t="shared" si="3"/>
        <v>32.096464039668795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7.4</v>
      </c>
      <c r="AI36" s="13">
        <f>IF('Données projet'!$A$62&gt;35,AI35+AH36-AQ35,IF(A36&lt;'Données projet'!$A$62,$AF$205^A36,IF(A36='Données projet'!$A$62,'Données projet'!$B$62,AI35+AH36-AQ35)))</f>
        <v>104.19999999999999</v>
      </c>
      <c r="AJ36" s="13">
        <f>AI36*VLOOKUP('Données projet'!$B$10,Paramètres!$A$1:$I$89,3,0)*VLOOKUP('Données projet'!$B$10,Paramètres!$A$1:$I$89,5,0)</f>
        <v>87.778080000000003</v>
      </c>
      <c r="AK36" s="13">
        <f t="shared" si="35"/>
        <v>24.028574260451634</v>
      </c>
      <c r="AL36" s="20">
        <f t="shared" si="4"/>
        <v>194.72992283695325</v>
      </c>
      <c r="AM36" s="59">
        <f t="shared" si="5"/>
        <v>488.06325617028654</v>
      </c>
      <c r="AN36" s="59">
        <f ca="1">AVERAGE(OFFSET($AM$3,0,0,'Données projet'!$E$10+1,1))-AVERAGE(OFFSET($H$3,0,0,'Données projet'!$E$10+1,1))</f>
        <v>247.67539667223065</v>
      </c>
      <c r="AO36" s="59">
        <f t="shared" si="36"/>
        <v>174.54442616983778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1.2074838516735695</v>
      </c>
      <c r="AV36" s="21">
        <f>EXP(-LN(2)/25)*AV35+(1-EXP(-LN(2)/25))/(LN(2)/25)*Calculateur!AQ36*Calculateur!AS36*VLOOKUP('Données projet'!$B$10,Paramètres!$A$1:$I$89,3,0)*0.475*44/12</f>
        <v>6.0500989525121627</v>
      </c>
      <c r="AW36" s="21">
        <f>EXP(-LN(2)/2)*AW35+(1-EXP(-LN(2)/2))/(LN(2)/2)*AQ36*AT36*VLOOKUP('Données projet'!$B$10,Paramètres!$A$1:$I$89,3,0)*0.475*44/12</f>
        <v>4.0707484382660031</v>
      </c>
      <c r="AX36" s="21">
        <f t="shared" si="6"/>
        <v>11.328331242451736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5.3369963369963358</v>
      </c>
      <c r="BD36" s="12">
        <f>IF('Données projet'!$A$88&gt;35,BD35+BC36-BL35,IF(A36&lt;'Données projet'!$A$88,$BA$205^A36,IF(A36='Données projet'!$A$88,'Données projet'!$B$88,BD35+BC36-BL35)))</f>
        <v>103.71611721611721</v>
      </c>
      <c r="BE36" s="13">
        <f>BD36*VLOOKUP('Données projet'!$B$11,Paramètres!$A$1:$I$89,3,0)*VLOOKUP('Données projet'!$B$11,Paramètres!$A$1:$I$89,5,0)</f>
        <v>103.55017142857143</v>
      </c>
      <c r="BF36" s="13">
        <f t="shared" si="37"/>
        <v>27.806052049579183</v>
      </c>
      <c r="BG36" s="20">
        <f t="shared" si="7"/>
        <v>228.7787558911123</v>
      </c>
      <c r="BH36" s="59">
        <f t="shared" si="8"/>
        <v>522.11208922444564</v>
      </c>
      <c r="BI36" s="59">
        <f ca="1">AVERAGE(OFFSET($BH$3,0,0,'Données projet'!$E$11+1,1))-AVERAGE(OFFSET($H$3,0,0,'Données projet'!$E$11+1,1))</f>
        <v>245.06609107649069</v>
      </c>
      <c r="BJ36" s="59">
        <f t="shared" si="38"/>
        <v>156.24531945456499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2.2709162873211426</v>
      </c>
      <c r="BY36" s="12">
        <f>IF('Données projet'!$A$114&gt;35,BY35+BX36-CG35,IF(A36&lt;'Données projet'!$A$114,$BV$205^A36,IF(A36='Données projet'!$A$114,'Données projet'!$B$114,BY35+BX36-CG35)))</f>
        <v>43.373258671429475</v>
      </c>
      <c r="BZ36" s="13">
        <f>BY36*VLOOKUP('Données projet'!$B$12,Paramètres!$A$1:$I$89,3,0)*VLOOKUP('Données projet'!$B$12,Paramètres!$A$1:$I$89,5,0)</f>
        <v>47.36359846920098</v>
      </c>
      <c r="CA36" s="13">
        <f t="shared" si="39"/>
        <v>13.930765880067684</v>
      </c>
      <c r="CB36" s="20">
        <f t="shared" si="10"/>
        <v>106.75435124164291</v>
      </c>
      <c r="CC36" s="59">
        <f t="shared" si="11"/>
        <v>400.08768457497621</v>
      </c>
      <c r="CD36" s="59">
        <f ca="1">AVERAGE(OFFSET($CC$3,0,0,'Données projet'!$E$12+1,1))-AVERAGE(OFFSET($H$3,0,0,'Données projet'!$E$12+1,1))</f>
        <v>173.63857221119594</v>
      </c>
      <c r="CE36" s="59">
        <f t="shared" si="40"/>
        <v>52.373745617370105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16.079999999999995</v>
      </c>
      <c r="N37" s="13">
        <f>IF('Données projet'!$A$36&gt;35,N36+M37-V36,IF(A37&lt;'Données projet'!$A$36,$K$205^A37,IF(A37='Données projet'!$A$36,'Données projet'!$B$36,N36+M37-V36)))</f>
        <v>319.75076923076909</v>
      </c>
      <c r="O37" s="13">
        <f>N37*VLOOKUP('Données projet'!$B$9,Paramètres!$A$1:$I$89,3,0)*VLOOKUP('Données projet'!$B$9,Paramètres!$A$1:$I$89,5,0)</f>
        <v>191.21095999999994</v>
      </c>
      <c r="P37" s="13">
        <f t="shared" si="33"/>
        <v>47.80757983922782</v>
      </c>
      <c r="Q37" s="20">
        <f t="shared" si="53"/>
        <v>416.29062355332167</v>
      </c>
      <c r="R37" s="59">
        <f t="shared" si="0"/>
        <v>709.62395688665492</v>
      </c>
      <c r="S37" s="59">
        <f ca="1">AVERAGE(OFFSET($R$3,0,0,'Données projet'!$E$9+1,1))-AVERAGE(OFFSET($H$3,0,0,'Données projet'!$E$9+1,1))</f>
        <v>175.34314856709307</v>
      </c>
      <c r="T37" s="59">
        <f t="shared" si="34"/>
        <v>296.28950942251339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13.650911981840617</v>
      </c>
      <c r="AA37" s="21">
        <f>EXP(-LN(2)/25)*AA36+(1-EXP(-LN(2)/25))/(LN(2)/25)*Calculateur!V37*Calculateur!X37*VLOOKUP('Données projet'!$B$9,Paramètres!$A$1:$I$89,3,0)*0.475*44/12</f>
        <v>16.794771033068017</v>
      </c>
      <c r="AB37" s="21">
        <f>EXP(-LN(2)/2)*AB36+(1-EXP(-LN(2)/2))/(LN(2)/2)*V37*Y37*VLOOKUP('Données projet'!$B$9,Paramètres!$A$1:$I$89,3,0)*0.475*44/12</f>
        <v>0.64033860061745884</v>
      </c>
      <c r="AC37" s="22">
        <f t="shared" si="3"/>
        <v>31.086021615526089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7.4</v>
      </c>
      <c r="AI37" s="13">
        <f>IF('Données projet'!$A$62&gt;35,AI36+AH37-AQ36,IF(A37&lt;'Données projet'!$A$62,$AF$205^A37,IF(A37='Données projet'!$A$62,'Données projet'!$B$62,AI36+AH37-AQ36)))</f>
        <v>111.6</v>
      </c>
      <c r="AJ37" s="13">
        <f>AI37*VLOOKUP('Données projet'!$B$10,Paramètres!$A$1:$I$89,3,0)*VLOOKUP('Données projet'!$B$10,Paramètres!$A$1:$I$89,5,0)</f>
        <v>94.011840000000007</v>
      </c>
      <c r="AK37" s="13">
        <f t="shared" si="35"/>
        <v>25.53031471922851</v>
      </c>
      <c r="AL37" s="20">
        <f t="shared" si="4"/>
        <v>208.20258613598969</v>
      </c>
      <c r="AM37" s="59">
        <f t="shared" si="5"/>
        <v>501.53591946932301</v>
      </c>
      <c r="AN37" s="59">
        <f ca="1">AVERAGE(OFFSET($AM$3,0,0,'Données projet'!$E$10+1,1))-AVERAGE(OFFSET($H$3,0,0,'Données projet'!$E$10+1,1))</f>
        <v>247.67539667223065</v>
      </c>
      <c r="AO37" s="59">
        <f t="shared" si="36"/>
        <v>174.54442616983778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1.1838058298346779</v>
      </c>
      <c r="AV37" s="21">
        <f>EXP(-LN(2)/25)*AV36+(1-EXP(-LN(2)/25))/(LN(2)/25)*Calculateur!AQ37*Calculateur!AS37*VLOOKUP('Données projet'!$B$10,Paramètres!$A$1:$I$89,3,0)*0.475*44/12</f>
        <v>5.8846586784948416</v>
      </c>
      <c r="AW37" s="21">
        <f>EXP(-LN(2)/2)*AW36+(1-EXP(-LN(2)/2))/(LN(2)/2)*AQ37*AT37*VLOOKUP('Données projet'!$B$10,Paramètres!$A$1:$I$89,3,0)*0.475*44/12</f>
        <v>2.8784538252024388</v>
      </c>
      <c r="AX37" s="21">
        <f t="shared" si="6"/>
        <v>9.9469183335319578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5.3369963369963358</v>
      </c>
      <c r="BD37" s="12">
        <f>IF('Données projet'!$A$88&gt;35,BD36+BC37-BL36,IF(A37&lt;'Données projet'!$A$88,$BA$205^A37,IF(A37='Données projet'!$A$88,'Données projet'!$B$88,BD36+BC37-BL36)))</f>
        <v>109.05311355311355</v>
      </c>
      <c r="BE37" s="13">
        <f>BD37*VLOOKUP('Données projet'!$B$11,Paramètres!$A$1:$I$89,3,0)*VLOOKUP('Données projet'!$B$11,Paramètres!$A$1:$I$89,5,0)</f>
        <v>108.87862857142858</v>
      </c>
      <c r="BF37" s="13">
        <f t="shared" si="37"/>
        <v>29.066623365607999</v>
      </c>
      <c r="BG37" s="20">
        <f t="shared" si="7"/>
        <v>240.25464712367202</v>
      </c>
      <c r="BH37" s="59">
        <f t="shared" si="8"/>
        <v>533.5879804570053</v>
      </c>
      <c r="BI37" s="59">
        <f ca="1">AVERAGE(OFFSET($BH$3,0,0,'Données projet'!$E$11+1,1))-AVERAGE(OFFSET($H$3,0,0,'Données projet'!$E$11+1,1))</f>
        <v>245.06609107649069</v>
      </c>
      <c r="BJ37" s="59">
        <f t="shared" si="38"/>
        <v>156.24531945456499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2.2709162873211426</v>
      </c>
      <c r="BY37" s="12">
        <f>IF('Données projet'!$A$114&gt;35,BY36+BX37-CG36,IF(A37&lt;'Données projet'!$A$114,$BV$205^A37,IF(A37='Données projet'!$A$114,'Données projet'!$B$114,BY36+BX37-CG36)))</f>
        <v>45.644174958750618</v>
      </c>
      <c r="BZ37" s="13">
        <f>BY37*VLOOKUP('Données projet'!$B$12,Paramètres!$A$1:$I$89,3,0)*VLOOKUP('Données projet'!$B$12,Paramètres!$A$1:$I$89,5,0)</f>
        <v>49.843439054955674</v>
      </c>
      <c r="CA37" s="13">
        <f t="shared" si="39"/>
        <v>14.573319739765791</v>
      </c>
      <c r="CB37" s="20">
        <f t="shared" si="10"/>
        <v>112.19252156747319</v>
      </c>
      <c r="CC37" s="59">
        <f t="shared" si="11"/>
        <v>405.52585490080651</v>
      </c>
      <c r="CD37" s="59">
        <f ca="1">AVERAGE(OFFSET($CC$3,0,0,'Données projet'!$E$12+1,1))-AVERAGE(OFFSET($H$3,0,0,'Données projet'!$E$12+1,1))</f>
        <v>173.63857221119594</v>
      </c>
      <c r="CE37" s="59">
        <f t="shared" si="40"/>
        <v>52.373745617370105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335.83076923076919</v>
      </c>
      <c r="L38" s="12">
        <f>VLOOKUP(A38,'Données projet'!$A$35:$I$55,9,0)</f>
        <v>16.079999999999995</v>
      </c>
      <c r="M38" s="12">
        <f t="array" ref="M38">INDEX(L:L,MIN(IF(ISNUMBER(L38:L234),ROW(L38:L234),"")))</f>
        <v>16.079999999999995</v>
      </c>
      <c r="N38" s="13">
        <f>IF('Données projet'!$A$36&gt;35,N37+M38-V37,IF(A38&lt;'Données projet'!$A$36,$K$205^A38,IF(A38='Données projet'!$A$36,'Données projet'!$B$36,N37+M38-V37)))</f>
        <v>335.83076923076908</v>
      </c>
      <c r="O38" s="13">
        <f>N38*VLOOKUP('Données projet'!$B$9,Paramètres!$A$1:$I$89,3,0)*VLOOKUP('Données projet'!$B$9,Paramètres!$A$1:$I$89,5,0)</f>
        <v>200.82679999999991</v>
      </c>
      <c r="P38" s="13">
        <f t="shared" si="33"/>
        <v>49.925829689592703</v>
      </c>
      <c r="Q38" s="20">
        <f t="shared" si="53"/>
        <v>436.72749670937372</v>
      </c>
      <c r="R38" s="59">
        <f t="shared" si="0"/>
        <v>730.06083004270704</v>
      </c>
      <c r="S38" s="59">
        <f ca="1">AVERAGE(OFFSET($R$3,0,0,'Données projet'!$E$9+1,1))-AVERAGE(OFFSET($H$3,0,0,'Données projet'!$E$9+1,1))</f>
        <v>175.34314856709307</v>
      </c>
      <c r="T38" s="59">
        <f t="shared" si="34"/>
        <v>296.28950942251339</v>
      </c>
      <c r="U38" s="15">
        <f>IF(ISNA(VLOOKUP(A38,'Données projet'!$A$35:$I$55,3,0)),0,VLOOKUP(A38,'Données projet'!$A$35:$I$55,3,0))</f>
        <v>5</v>
      </c>
      <c r="V38" s="15">
        <f>IF(ISNA(VLOOKUP(A38,'Données projet'!$A$35:$I$55,4,0)),0,VLOOKUP(A38,'Données projet'!$A$35:$I$55,4,0))</f>
        <v>335.83076923076919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13.383225924110883</v>
      </c>
      <c r="AA38" s="21">
        <f>EXP(-LN(2)/25)*AA37+(1-EXP(-LN(2)/25))/(LN(2)/25)*Calculateur!V38*Calculateur!X38*VLOOKUP('Données projet'!$B$9,Paramètres!$A$1:$I$89,3,0)*0.475*44/12</f>
        <v>16.335517135970147</v>
      </c>
      <c r="AB38" s="21">
        <f>EXP(-LN(2)/2)*AB37+(1-EXP(-LN(2)/2))/(LN(2)/2)*V38*Y38*VLOOKUP('Données projet'!$B$9,Paramètres!$A$1:$I$89,3,0)*0.475*44/12</f>
        <v>0.45278776675210952</v>
      </c>
      <c r="AC38" s="22">
        <f t="shared" si="3"/>
        <v>30.171530826833141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7.4</v>
      </c>
      <c r="AI38" s="13">
        <f>IF('Données projet'!$A$62&gt;35,AI37+AH38-AQ37,IF(A38&lt;'Données projet'!$A$62,$AF$205^A38,IF(A38='Données projet'!$A$62,'Données projet'!$B$62,AI37+AH38-AQ37)))</f>
        <v>119</v>
      </c>
      <c r="AJ38" s="13">
        <f>AI38*VLOOKUP('Données projet'!$B$10,Paramètres!$A$1:$I$89,3,0)*VLOOKUP('Données projet'!$B$10,Paramètres!$A$1:$I$89,5,0)</f>
        <v>100.24560000000001</v>
      </c>
      <c r="AK38" s="13">
        <f t="shared" si="35"/>
        <v>27.020500005754961</v>
      </c>
      <c r="AL38" s="20">
        <f t="shared" si="4"/>
        <v>221.6551241766899</v>
      </c>
      <c r="AM38" s="59">
        <f t="shared" si="5"/>
        <v>514.98845751002318</v>
      </c>
      <c r="AN38" s="59">
        <f ca="1">AVERAGE(OFFSET($AM$3,0,0,'Données projet'!$E$10+1,1))-AVERAGE(OFFSET($H$3,0,0,'Données projet'!$E$10+1,1))</f>
        <v>247.67539667223065</v>
      </c>
      <c r="AO38" s="59">
        <f t="shared" si="36"/>
        <v>174.54442616983778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1.1605921195618796</v>
      </c>
      <c r="AV38" s="21">
        <f>EXP(-LN(2)/25)*AV37+(1-EXP(-LN(2)/25))/(LN(2)/25)*Calculateur!AQ38*Calculateur!AS38*VLOOKUP('Données projet'!$B$10,Paramètres!$A$1:$I$89,3,0)*0.475*44/12</f>
        <v>5.72374237747065</v>
      </c>
      <c r="AW38" s="21">
        <f>EXP(-LN(2)/2)*AW37+(1-EXP(-LN(2)/2))/(LN(2)/2)*AQ38*AT38*VLOOKUP('Données projet'!$B$10,Paramètres!$A$1:$I$89,3,0)*0.475*44/12</f>
        <v>2.0353742191330015</v>
      </c>
      <c r="AX38" s="21">
        <f t="shared" si="6"/>
        <v>8.9197087161655304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5.3369963369963358</v>
      </c>
      <c r="BD38" s="12">
        <f>IF('Données projet'!$A$88&gt;35,BD37+BC38-BL37,IF(A38&lt;'Données projet'!$A$88,$BA$205^A38,IF(A38='Données projet'!$A$88,'Données projet'!$B$88,BD37+BC38-BL37)))</f>
        <v>114.39010989010988</v>
      </c>
      <c r="BE38" s="13">
        <f>BD38*VLOOKUP('Données projet'!$B$11,Paramètres!$A$1:$I$89,3,0)*VLOOKUP('Données projet'!$B$11,Paramètres!$A$1:$I$89,5,0)</f>
        <v>114.20708571428572</v>
      </c>
      <c r="BF38" s="13">
        <f t="shared" si="37"/>
        <v>30.320031171055618</v>
      </c>
      <c r="BG38" s="20">
        <f t="shared" si="7"/>
        <v>251.71806190863617</v>
      </c>
      <c r="BH38" s="59">
        <f t="shared" si="8"/>
        <v>545.05139524196943</v>
      </c>
      <c r="BI38" s="59">
        <f ca="1">AVERAGE(OFFSET($BH$3,0,0,'Données projet'!$E$11+1,1))-AVERAGE(OFFSET($H$3,0,0,'Données projet'!$E$11+1,1))</f>
        <v>245.06609107649069</v>
      </c>
      <c r="BJ38" s="59">
        <f t="shared" si="38"/>
        <v>156.24531945456499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2.2709162873211426</v>
      </c>
      <c r="BY38" s="12">
        <f>IF('Données projet'!$A$114&gt;35,BY37+BX38-CG37,IF(A38&lt;'Données projet'!$A$114,$BV$205^A38,IF(A38='Données projet'!$A$114,'Données projet'!$B$114,BY37+BX38-CG37)))</f>
        <v>47.915091246071761</v>
      </c>
      <c r="BZ38" s="13">
        <f>BY38*VLOOKUP('Données projet'!$B$12,Paramètres!$A$1:$I$89,3,0)*VLOOKUP('Données projet'!$B$12,Paramètres!$A$1:$I$89,5,0)</f>
        <v>52.323279640710361</v>
      </c>
      <c r="CA38" s="13">
        <f t="shared" si="39"/>
        <v>15.212161577411079</v>
      </c>
      <c r="CB38" s="20">
        <f t="shared" si="10"/>
        <v>117.62422678822816</v>
      </c>
      <c r="CC38" s="59">
        <f t="shared" si="11"/>
        <v>410.95756012156147</v>
      </c>
      <c r="CD38" s="59">
        <f ca="1">AVERAGE(OFFSET($CC$3,0,0,'Données projet'!$E$12+1,1))-AVERAGE(OFFSET($H$3,0,0,'Données projet'!$E$12+1,1))</f>
        <v>173.63857221119594</v>
      </c>
      <c r="CE38" s="59">
        <f t="shared" si="40"/>
        <v>52.373745617370105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-1.1368683772161603E-13</v>
      </c>
      <c r="O39" s="13">
        <f>N39*VLOOKUP('Données projet'!$B$9,Paramètres!$A$1:$I$89,3,0)*VLOOKUP('Données projet'!$B$9,Paramètres!$A$1:$I$89,5,0)</f>
        <v>-6.7984728957526396E-14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175.34314856709307</v>
      </c>
      <c r="T39" s="59">
        <f t="shared" si="34"/>
        <v>296.28950942251339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13.120789026700857</v>
      </c>
      <c r="AA39" s="21">
        <f>EXP(-LN(2)/25)*AA38+(1-EXP(-LN(2)/25))/(LN(2)/25)*Calculateur!V39*Calculateur!X39*VLOOKUP('Données projet'!$B$9,Paramètres!$A$1:$I$89,3,0)*0.475*44/12</f>
        <v>15.888821560839531</v>
      </c>
      <c r="AB39" s="21">
        <f>EXP(-LN(2)/2)*AB38+(1-EXP(-LN(2)/2))/(LN(2)/2)*V39*Y39*VLOOKUP('Données projet'!$B$9,Paramètres!$A$1:$I$89,3,0)*0.475*44/12</f>
        <v>0.32016930030872942</v>
      </c>
      <c r="AC39" s="22">
        <f t="shared" si="3"/>
        <v>29.329779887849117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7.4</v>
      </c>
      <c r="AI39" s="13">
        <f>IF('Données projet'!$A$62&gt;35,AI38+AH39-AQ38,IF(A39&lt;'Données projet'!$A$62,$AF$205^A39,IF(A39='Données projet'!$A$62,'Données projet'!$B$62,AI38+AH39-AQ38)))</f>
        <v>126.4</v>
      </c>
      <c r="AJ39" s="13">
        <f>AI39*VLOOKUP('Données projet'!$B$10,Paramètres!$A$1:$I$89,3,0)*VLOOKUP('Données projet'!$B$10,Paramètres!$A$1:$I$89,5,0)</f>
        <v>106.47936000000003</v>
      </c>
      <c r="AK39" s="13">
        <f t="shared" si="35"/>
        <v>28.499930483982503</v>
      </c>
      <c r="AL39" s="20">
        <f t="shared" si="4"/>
        <v>235.08893092626957</v>
      </c>
      <c r="AM39" s="59">
        <f t="shared" si="5"/>
        <v>528.42226425960291</v>
      </c>
      <c r="AN39" s="59">
        <f ca="1">AVERAGE(OFFSET($AM$3,0,0,'Données projet'!$E$10+1,1))-AVERAGE(OFFSET($H$3,0,0,'Données projet'!$E$10+1,1))</f>
        <v>247.67539667223065</v>
      </c>
      <c r="AO39" s="59">
        <f t="shared" si="36"/>
        <v>174.54442616983778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1.1378336159885656</v>
      </c>
      <c r="AV39" s="21">
        <f>EXP(-LN(2)/25)*AV38+(1-EXP(-LN(2)/25))/(LN(2)/25)*Calculateur!AQ39*Calculateur!AS39*VLOOKUP('Données projet'!$B$10,Paramètres!$A$1:$I$89,3,0)*0.475*44/12</f>
        <v>5.5672263411601852</v>
      </c>
      <c r="AW39" s="21">
        <f>EXP(-LN(2)/2)*AW38+(1-EXP(-LN(2)/2))/(LN(2)/2)*AQ39*AT39*VLOOKUP('Données projet'!$B$10,Paramètres!$A$1:$I$89,3,0)*0.475*44/12</f>
        <v>1.4392269126012194</v>
      </c>
      <c r="AX39" s="21">
        <f t="shared" si="6"/>
        <v>8.1442868697499708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5.3369963369963358</v>
      </c>
      <c r="BD39" s="12">
        <f>IF('Données projet'!$A$88&gt;35,BD38+BC39-BL38,IF(A39&lt;'Données projet'!$A$88,$BA$205^A39,IF(A39='Données projet'!$A$88,'Données projet'!$B$88,BD38+BC39-BL38)))</f>
        <v>119.72710622710622</v>
      </c>
      <c r="BE39" s="13">
        <f>BD39*VLOOKUP('Données projet'!$B$11,Paramètres!$A$1:$I$89,3,0)*VLOOKUP('Données projet'!$B$11,Paramètres!$A$1:$I$89,5,0)</f>
        <v>119.53554285714286</v>
      </c>
      <c r="BF39" s="13">
        <f t="shared" si="37"/>
        <v>31.566647855658704</v>
      </c>
      <c r="BG39" s="20">
        <f t="shared" si="7"/>
        <v>263.16964882479607</v>
      </c>
      <c r="BH39" s="59">
        <f t="shared" si="8"/>
        <v>556.50298215812938</v>
      </c>
      <c r="BI39" s="59">
        <f ca="1">AVERAGE(OFFSET($BH$3,0,0,'Données projet'!$E$11+1,1))-AVERAGE(OFFSET($H$3,0,0,'Données projet'!$E$11+1,1))</f>
        <v>245.06609107649069</v>
      </c>
      <c r="BJ39" s="59">
        <f t="shared" si="38"/>
        <v>156.24531945456499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2.2709162873211426</v>
      </c>
      <c r="BY39" s="12">
        <f>IF('Données projet'!$A$114&gt;35,BY38+BX39-CG38,IF(A39&lt;'Données projet'!$A$114,$BV$205^A39,IF(A39='Données projet'!$A$114,'Données projet'!$B$114,BY38+BX39-CG38)))</f>
        <v>50.186007533392903</v>
      </c>
      <c r="BZ39" s="13">
        <f>BY39*VLOOKUP('Données projet'!$B$12,Paramètres!$A$1:$I$89,3,0)*VLOOKUP('Données projet'!$B$12,Paramètres!$A$1:$I$89,5,0)</f>
        <v>54.803120226465055</v>
      </c>
      <c r="CA39" s="13">
        <f t="shared" si="39"/>
        <v>15.847487410340799</v>
      </c>
      <c r="CB39" s="20">
        <f t="shared" si="10"/>
        <v>123.04980830077018</v>
      </c>
      <c r="CC39" s="59">
        <f t="shared" si="11"/>
        <v>416.38314163410348</v>
      </c>
      <c r="CD39" s="59">
        <f ca="1">AVERAGE(OFFSET($CC$3,0,0,'Données projet'!$E$12+1,1))-AVERAGE(OFFSET($H$3,0,0,'Données projet'!$E$12+1,1))</f>
        <v>173.63857221119594</v>
      </c>
      <c r="CE39" s="59">
        <f t="shared" si="40"/>
        <v>52.373745617370105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-1.1368683772161603E-13</v>
      </c>
      <c r="O40" s="13">
        <f>N40*VLOOKUP('Données projet'!$B$9,Paramètres!$A$1:$I$89,3,0)*VLOOKUP('Données projet'!$B$9,Paramètres!$A$1:$I$89,5,0)</f>
        <v>-6.7984728957526396E-14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175.34314856709307</v>
      </c>
      <c r="T40" s="59">
        <f t="shared" si="34"/>
        <v>296.28950942251339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12.86349835677834</v>
      </c>
      <c r="AA40" s="21">
        <f>EXP(-LN(2)/25)*AA39+(1-EXP(-LN(2)/25))/(LN(2)/25)*Calculateur!V40*Calculateur!X40*VLOOKUP('Données projet'!$B$9,Paramètres!$A$1:$I$89,3,0)*0.475*44/12</f>
        <v>15.454340899701563</v>
      </c>
      <c r="AB40" s="21">
        <f>EXP(-LN(2)/2)*AB39+(1-EXP(-LN(2)/2))/(LN(2)/2)*V40*Y40*VLOOKUP('Données projet'!$B$9,Paramètres!$A$1:$I$89,3,0)*0.475*44/12</f>
        <v>0.22639388337605476</v>
      </c>
      <c r="AC40" s="22">
        <f t="shared" si="3"/>
        <v>28.544233139855958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7.4</v>
      </c>
      <c r="AI40" s="13">
        <f>IF('Données projet'!$A$62&gt;35,AI39+AH40-AQ39,IF(A40&lt;'Données projet'!$A$62,$AF$205^A40,IF(A40='Données projet'!$A$62,'Données projet'!$B$62,AI39+AH40-AQ39)))</f>
        <v>133.80000000000001</v>
      </c>
      <c r="AJ40" s="13">
        <f>AI40*VLOOKUP('Données projet'!$B$10,Paramètres!$A$1:$I$89,3,0)*VLOOKUP('Données projet'!$B$10,Paramètres!$A$1:$I$89,5,0)</f>
        <v>112.71312000000002</v>
      </c>
      <c r="AK40" s="13">
        <f t="shared" si="35"/>
        <v>29.969307510561769</v>
      </c>
      <c r="AL40" s="20">
        <f t="shared" si="4"/>
        <v>248.50522791422847</v>
      </c>
      <c r="AM40" s="59">
        <f t="shared" si="5"/>
        <v>541.83856124756176</v>
      </c>
      <c r="AN40" s="59">
        <f ca="1">AVERAGE(OFFSET($AM$3,0,0,'Données projet'!$E$10+1,1))-AVERAGE(OFFSET($H$3,0,0,'Données projet'!$E$10+1,1))</f>
        <v>247.67539667223065</v>
      </c>
      <c r="AO40" s="59">
        <f t="shared" si="36"/>
        <v>174.54442616983778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1.1155213927890077</v>
      </c>
      <c r="AV40" s="21">
        <f>EXP(-LN(2)/25)*AV39+(1-EXP(-LN(2)/25))/(LN(2)/25)*Calculateur!AQ40*Calculateur!AS40*VLOOKUP('Données projet'!$B$10,Paramètres!$A$1:$I$89,3,0)*0.475*44/12</f>
        <v>5.4149902440934508</v>
      </c>
      <c r="AW40" s="21">
        <f>EXP(-LN(2)/2)*AW39+(1-EXP(-LN(2)/2))/(LN(2)/2)*AQ40*AT40*VLOOKUP('Données projet'!$B$10,Paramètres!$A$1:$I$89,3,0)*0.475*44/12</f>
        <v>1.0176871095665008</v>
      </c>
      <c r="AX40" s="21">
        <f t="shared" si="6"/>
        <v>7.5481987464489588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5.3369963369963358</v>
      </c>
      <c r="BD40" s="12">
        <f>IF('Données projet'!$A$88&gt;35,BD39+BC40-BL39,IF(A40&lt;'Données projet'!$A$88,$BA$205^A40,IF(A40='Données projet'!$A$88,'Données projet'!$B$88,BD39+BC40-BL39)))</f>
        <v>125.06410256410255</v>
      </c>
      <c r="BE40" s="13">
        <f>BD40*VLOOKUP('Données projet'!$B$11,Paramètres!$A$1:$I$89,3,0)*VLOOKUP('Données projet'!$B$11,Paramètres!$A$1:$I$89,5,0)</f>
        <v>124.864</v>
      </c>
      <c r="BF40" s="13">
        <f t="shared" si="37"/>
        <v>32.806810732632123</v>
      </c>
      <c r="BG40" s="20">
        <f t="shared" si="7"/>
        <v>274.60999535933428</v>
      </c>
      <c r="BH40" s="59">
        <f t="shared" si="8"/>
        <v>567.94332869266759</v>
      </c>
      <c r="BI40" s="59">
        <f ca="1">AVERAGE(OFFSET($BH$3,0,0,'Données projet'!$E$11+1,1))-AVERAGE(OFFSET($H$3,0,0,'Données projet'!$E$11+1,1))</f>
        <v>245.06609107649069</v>
      </c>
      <c r="BJ40" s="59">
        <f t="shared" si="38"/>
        <v>156.24531945456499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2.2709162873211426</v>
      </c>
      <c r="BY40" s="12">
        <f>IF('Données projet'!$A$114&gt;35,BY39+BX40-CG39,IF(A40&lt;'Données projet'!$A$114,$BV$205^A40,IF(A40='Données projet'!$A$114,'Données projet'!$B$114,BY39+BX40-CG39)))</f>
        <v>52.456923820714046</v>
      </c>
      <c r="BZ40" s="13">
        <f>BY40*VLOOKUP('Données projet'!$B$12,Paramètres!$A$1:$I$89,3,0)*VLOOKUP('Données projet'!$B$12,Paramètres!$A$1:$I$89,5,0)</f>
        <v>57.282960812219734</v>
      </c>
      <c r="CA40" s="13">
        <f t="shared" si="39"/>
        <v>16.479474513536239</v>
      </c>
      <c r="CB40" s="20">
        <f t="shared" si="10"/>
        <v>128.46957485902496</v>
      </c>
      <c r="CC40" s="59">
        <f t="shared" si="11"/>
        <v>421.80290819235825</v>
      </c>
      <c r="CD40" s="59">
        <f ca="1">AVERAGE(OFFSET($CC$3,0,0,'Données projet'!$E$12+1,1))-AVERAGE(OFFSET($H$3,0,0,'Données projet'!$E$12+1,1))</f>
        <v>173.63857221119594</v>
      </c>
      <c r="CE40" s="59">
        <f t="shared" si="40"/>
        <v>52.373745617370105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-1.1368683772161603E-13</v>
      </c>
      <c r="O41" s="13">
        <f>N41*VLOOKUP('Données projet'!$B$9,Paramètres!$A$1:$I$89,3,0)*VLOOKUP('Données projet'!$B$9,Paramètres!$A$1:$I$89,5,0)</f>
        <v>-6.7984728957526396E-14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175.34314856709307</v>
      </c>
      <c r="T41" s="59">
        <f t="shared" si="34"/>
        <v>296.28950942251339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12.61125299996119</v>
      </c>
      <c r="AA41" s="21">
        <f>EXP(-LN(2)/25)*AA40+(1-EXP(-LN(2)/25))/(LN(2)/25)*Calculateur!V41*Calculateur!X41*VLOOKUP('Données projet'!$B$9,Paramètres!$A$1:$I$89,3,0)*0.475*44/12</f>
        <v>15.031741135090757</v>
      </c>
      <c r="AB41" s="21">
        <f>EXP(-LN(2)/2)*AB40+(1-EXP(-LN(2)/2))/(LN(2)/2)*V41*Y41*VLOOKUP('Données projet'!$B$9,Paramètres!$A$1:$I$89,3,0)*0.475*44/12</f>
        <v>0.16008465015436471</v>
      </c>
      <c r="AC41" s="22">
        <f t="shared" si="3"/>
        <v>27.80307878520631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7.4</v>
      </c>
      <c r="AI41" s="13">
        <f>IF('Données projet'!$A$62&gt;35,AI40+AH41-AQ40,IF(A41&lt;'Données projet'!$A$62,$AF$205^A41,IF(A41='Données projet'!$A$62,'Données projet'!$B$62,AI40+AH41-AQ40)))</f>
        <v>141.20000000000002</v>
      </c>
      <c r="AJ41" s="13">
        <f>AI41*VLOOKUP('Données projet'!$B$10,Paramètres!$A$1:$I$89,3,0)*VLOOKUP('Données projet'!$B$10,Paramètres!$A$1:$I$89,5,0)</f>
        <v>118.94688000000004</v>
      </c>
      <c r="AK41" s="13">
        <f t="shared" si="35"/>
        <v>31.429250481525276</v>
      </c>
      <c r="AL41" s="20">
        <f t="shared" si="4"/>
        <v>261.90509392198993</v>
      </c>
      <c r="AM41" s="59">
        <f t="shared" si="5"/>
        <v>555.23842725532324</v>
      </c>
      <c r="AN41" s="59">
        <f ca="1">AVERAGE(OFFSET($AM$3,0,0,'Données projet'!$E$10+1,1))-AVERAGE(OFFSET($H$3,0,0,'Données projet'!$E$10+1,1))</f>
        <v>247.67539667223065</v>
      </c>
      <c r="AO41" s="59">
        <f t="shared" si="36"/>
        <v>174.54442616983778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1.0936466986772808</v>
      </c>
      <c r="AV41" s="21">
        <f>EXP(-LN(2)/25)*AV40+(1-EXP(-LN(2)/25))/(LN(2)/25)*Calculateur!AQ41*Calculateur!AS41*VLOOKUP('Données projet'!$B$10,Paramètres!$A$1:$I$89,3,0)*0.475*44/12</f>
        <v>5.2669170511067547</v>
      </c>
      <c r="AW41" s="21">
        <f>EXP(-LN(2)/2)*AW40+(1-EXP(-LN(2)/2))/(LN(2)/2)*AQ41*AT41*VLOOKUP('Données projet'!$B$10,Paramètres!$A$1:$I$89,3,0)*0.475*44/12</f>
        <v>0.71961345630060969</v>
      </c>
      <c r="AX41" s="21">
        <f t="shared" si="6"/>
        <v>7.0801772060846453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5.3369963369963358</v>
      </c>
      <c r="BD41" s="12">
        <f>IF('Données projet'!$A$88&gt;35,BD40+BC41-BL40,IF(A41&lt;'Données projet'!$A$88,$BA$205^A41,IF(A41='Données projet'!$A$88,'Données projet'!$B$88,BD40+BC41-BL40)))</f>
        <v>130.40109890109889</v>
      </c>
      <c r="BE41" s="13">
        <f>BD41*VLOOKUP('Données projet'!$B$11,Paramètres!$A$1:$I$89,3,0)*VLOOKUP('Données projet'!$B$11,Paramètres!$A$1:$I$89,5,0)</f>
        <v>130.19245714285714</v>
      </c>
      <c r="BF41" s="13">
        <f t="shared" si="37"/>
        <v>34.040826697784055</v>
      </c>
      <c r="BG41" s="20">
        <f t="shared" si="7"/>
        <v>286.03963602245011</v>
      </c>
      <c r="BH41" s="59">
        <f t="shared" si="8"/>
        <v>579.37296935578343</v>
      </c>
      <c r="BI41" s="59">
        <f ca="1">AVERAGE(OFFSET($BH$3,0,0,'Données projet'!$E$11+1,1))-AVERAGE(OFFSET($H$3,0,0,'Données projet'!$E$11+1,1))</f>
        <v>245.06609107649069</v>
      </c>
      <c r="BJ41" s="59">
        <f t="shared" si="38"/>
        <v>156.24531945456499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2.2709162873211426</v>
      </c>
      <c r="BY41" s="12">
        <f>IF('Données projet'!$A$114&gt;35,BY40+BX41-CG40,IF(A41&lt;'Données projet'!$A$114,$BV$205^A41,IF(A41='Données projet'!$A$114,'Données projet'!$B$114,BY40+BX41-CG40)))</f>
        <v>54.727840108035188</v>
      </c>
      <c r="BZ41" s="13">
        <f>BY41*VLOOKUP('Données projet'!$B$12,Paramètres!$A$1:$I$89,3,0)*VLOOKUP('Données projet'!$B$12,Paramètres!$A$1:$I$89,5,0)</f>
        <v>59.762801397974421</v>
      </c>
      <c r="CA41" s="13">
        <f t="shared" si="39"/>
        <v>17.108283945115737</v>
      </c>
      <c r="CB41" s="20">
        <f t="shared" si="10"/>
        <v>133.88380697254868</v>
      </c>
      <c r="CC41" s="59">
        <f t="shared" si="11"/>
        <v>427.21714030588203</v>
      </c>
      <c r="CD41" s="59">
        <f ca="1">AVERAGE(OFFSET($CC$3,0,0,'Données projet'!$E$12+1,1))-AVERAGE(OFFSET($H$3,0,0,'Données projet'!$E$12+1,1))</f>
        <v>173.63857221119594</v>
      </c>
      <c r="CE41" s="59">
        <f t="shared" si="40"/>
        <v>52.373745617370105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-1.1368683772161603E-13</v>
      </c>
      <c r="O42" s="13">
        <f>N42*VLOOKUP('Données projet'!$B$9,Paramètres!$A$1:$I$89,3,0)*VLOOKUP('Données projet'!$B$9,Paramètres!$A$1:$I$89,5,0)</f>
        <v>-6.7984728957526396E-14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175.34314856709307</v>
      </c>
      <c r="T42" s="59">
        <f t="shared" si="34"/>
        <v>296.28950942251339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12.363954020736749</v>
      </c>
      <c r="AA42" s="21">
        <f>EXP(-LN(2)/25)*AA41+(1-EXP(-LN(2)/25))/(LN(2)/25)*Calculateur!V42*Calculateur!X42*VLOOKUP('Données projet'!$B$9,Paramètres!$A$1:$I$89,3,0)*0.475*44/12</f>
        <v>14.620697383266789</v>
      </c>
      <c r="AB42" s="21">
        <f>EXP(-LN(2)/2)*AB41+(1-EXP(-LN(2)/2))/(LN(2)/2)*V42*Y42*VLOOKUP('Données projet'!$B$9,Paramètres!$A$1:$I$89,3,0)*0.475*44/12</f>
        <v>0.11319694168802738</v>
      </c>
      <c r="AC42" s="22">
        <f t="shared" si="3"/>
        <v>27.097848345691563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7.4</v>
      </c>
      <c r="AI42" s="13">
        <f>IF('Données projet'!$A$62&gt;35,AI41+AH42-AQ41,IF(A42&lt;'Données projet'!$A$62,$AF$205^A42,IF(A42='Données projet'!$A$62,'Données projet'!$B$62,AI41+AH42-AQ41)))</f>
        <v>148.60000000000002</v>
      </c>
      <c r="AJ42" s="13">
        <f>AI42*VLOOKUP('Données projet'!$B$10,Paramètres!$A$1:$I$89,3,0)*VLOOKUP('Données projet'!$B$10,Paramètres!$A$1:$I$89,5,0)</f>
        <v>125.18064000000003</v>
      </c>
      <c r="AK42" s="13">
        <f t="shared" si="35"/>
        <v>32.88031020353543</v>
      </c>
      <c r="AL42" s="20">
        <f t="shared" si="4"/>
        <v>275.28948827115761</v>
      </c>
      <c r="AM42" s="59">
        <f t="shared" si="5"/>
        <v>568.62282160449092</v>
      </c>
      <c r="AN42" s="59">
        <f ca="1">AVERAGE(OFFSET($AM$3,0,0,'Données projet'!$E$10+1,1))-AVERAGE(OFFSET($H$3,0,0,'Données projet'!$E$10+1,1))</f>
        <v>247.67539667223065</v>
      </c>
      <c r="AO42" s="59">
        <f t="shared" si="36"/>
        <v>174.54442616983778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1.0722009539748389</v>
      </c>
      <c r="AV42" s="21">
        <f>EXP(-LN(2)/25)*AV41+(1-EXP(-LN(2)/25))/(LN(2)/25)*Calculateur!AQ42*Calculateur!AS42*VLOOKUP('Données projet'!$B$10,Paramètres!$A$1:$I$89,3,0)*0.475*44/12</f>
        <v>5.1228929273691106</v>
      </c>
      <c r="AW42" s="21">
        <f>EXP(-LN(2)/2)*AW41+(1-EXP(-LN(2)/2))/(LN(2)/2)*AQ42*AT42*VLOOKUP('Données projet'!$B$10,Paramètres!$A$1:$I$89,3,0)*0.475*44/12</f>
        <v>0.50884355478325038</v>
      </c>
      <c r="AX42" s="21">
        <f t="shared" si="6"/>
        <v>6.7039374361271999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5.3369963369963358</v>
      </c>
      <c r="BD42" s="12">
        <f>IF('Données projet'!$A$88&gt;35,BD41+BC42-BL41,IF(A42&lt;'Données projet'!$A$88,$BA$205^A42,IF(A42='Données projet'!$A$88,'Données projet'!$B$88,BD41+BC42-BL41)))</f>
        <v>135.73809523809524</v>
      </c>
      <c r="BE42" s="13">
        <f>BD42*VLOOKUP('Données projet'!$B$11,Paramètres!$A$1:$I$89,3,0)*VLOOKUP('Données projet'!$B$11,Paramètres!$A$1:$I$89,5,0)</f>
        <v>135.5209142857143</v>
      </c>
      <c r="BF42" s="13">
        <f t="shared" si="37"/>
        <v>35.268976104404672</v>
      </c>
      <c r="BG42" s="20">
        <f t="shared" si="7"/>
        <v>297.45905909612384</v>
      </c>
      <c r="BH42" s="59">
        <f t="shared" si="8"/>
        <v>590.7923924294571</v>
      </c>
      <c r="BI42" s="59">
        <f ca="1">AVERAGE(OFFSET($BH$3,0,0,'Données projet'!$E$11+1,1))-AVERAGE(OFFSET($H$3,0,0,'Données projet'!$E$11+1,1))</f>
        <v>245.06609107649069</v>
      </c>
      <c r="BJ42" s="59">
        <f t="shared" si="38"/>
        <v>156.24531945456499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2.2709162873211426</v>
      </c>
      <c r="BY42" s="12">
        <f>IF('Données projet'!$A$114&gt;35,BY41+BX42-CG41,IF(A42&lt;'Données projet'!$A$114,$BV$205^A42,IF(A42='Données projet'!$A$114,'Données projet'!$B$114,BY41+BX42-CG41)))</f>
        <v>56.998756395356331</v>
      </c>
      <c r="BZ42" s="13">
        <f>BY42*VLOOKUP('Données projet'!$B$12,Paramètres!$A$1:$I$89,3,0)*VLOOKUP('Données projet'!$B$12,Paramètres!$A$1:$I$89,5,0)</f>
        <v>62.242641983729115</v>
      </c>
      <c r="CA42" s="13">
        <f t="shared" si="39"/>
        <v>17.734062640838829</v>
      </c>
      <c r="CB42" s="20">
        <f t="shared" si="10"/>
        <v>139.29276055445584</v>
      </c>
      <c r="CC42" s="59">
        <f t="shared" si="11"/>
        <v>432.62609388778912</v>
      </c>
      <c r="CD42" s="59">
        <f ca="1">AVERAGE(OFFSET($CC$3,0,0,'Données projet'!$E$12+1,1))-AVERAGE(OFFSET($H$3,0,0,'Données projet'!$E$12+1,1))</f>
        <v>173.63857221119594</v>
      </c>
      <c r="CE42" s="59">
        <f t="shared" si="40"/>
        <v>52.373745617370105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-1.1368683772161603E-13</v>
      </c>
      <c r="O43" s="13">
        <f>N43*VLOOKUP('Données projet'!$B$9,Paramètres!$A$1:$I$89,3,0)*VLOOKUP('Données projet'!$B$9,Paramètres!$A$1:$I$89,5,0)</f>
        <v>-6.7984728957526396E-14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175.34314856709307</v>
      </c>
      <c r="T43" s="59">
        <f t="shared" si="34"/>
        <v>296.28950942251339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12.121504423657415</v>
      </c>
      <c r="AA43" s="21">
        <f>EXP(-LN(2)/25)*AA42+(1-EXP(-LN(2)/25))/(LN(2)/25)*Calculateur!V43*Calculateur!X43*VLOOKUP('Données projet'!$B$9,Paramètres!$A$1:$I$89,3,0)*0.475*44/12</f>
        <v>14.2208936444523</v>
      </c>
      <c r="AB43" s="21">
        <f>EXP(-LN(2)/2)*AB42+(1-EXP(-LN(2)/2))/(LN(2)/2)*V43*Y43*VLOOKUP('Données projet'!$B$9,Paramètres!$A$1:$I$89,3,0)*0.475*44/12</f>
        <v>8.0042325077182355E-2</v>
      </c>
      <c r="AC43" s="22">
        <f t="shared" si="3"/>
        <v>26.4224403931869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156</v>
      </c>
      <c r="AG43" s="12">
        <f>VLOOKUP(A43,'Données projet'!$A$61:$I$81,9,0)</f>
        <v>7.4</v>
      </c>
      <c r="AH43" s="12">
        <f t="array" ref="AH43">INDEX(AG:AG,MIN(IF(ISNUMBER(AG43:AG239),ROW(AG43:AG239),"")))</f>
        <v>7.4</v>
      </c>
      <c r="AI43" s="13">
        <f>IF('Données projet'!$A$62&gt;35,AI42+AH43-AQ42,IF(A43&lt;'Données projet'!$A$62,$AF$205^A43,IF(A43='Données projet'!$A$62,'Données projet'!$B$62,AI42+AH43-AQ42)))</f>
        <v>156.00000000000003</v>
      </c>
      <c r="AJ43" s="13">
        <f>AI43*VLOOKUP('Données projet'!$B$10,Paramètres!$A$1:$I$89,3,0)*VLOOKUP('Données projet'!$B$10,Paramètres!$A$1:$I$89,5,0)</f>
        <v>131.41440000000003</v>
      </c>
      <c r="AK43" s="13">
        <f t="shared" si="35"/>
        <v>34.32297952601067</v>
      </c>
      <c r="AL43" s="20">
        <f t="shared" si="4"/>
        <v>288.65926934113526</v>
      </c>
      <c r="AM43" s="59">
        <f t="shared" si="5"/>
        <v>581.99260267446857</v>
      </c>
      <c r="AN43" s="59">
        <f ca="1">AVERAGE(OFFSET($AM$3,0,0,'Données projet'!$E$10+1,1))-AVERAGE(OFFSET($H$3,0,0,'Données projet'!$E$10+1,1))</f>
        <v>247.67539667223065</v>
      </c>
      <c r="AO43" s="59">
        <f t="shared" si="36"/>
        <v>174.54442616983778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39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1.0511757472453993</v>
      </c>
      <c r="AV43" s="21">
        <f>EXP(-LN(2)/25)*AV42+(1-EXP(-LN(2)/25))/(LN(2)/25)*Calculateur!AQ43*Calculateur!AS43*VLOOKUP('Données projet'!$B$10,Paramètres!$A$1:$I$89,3,0)*0.475*44/12</f>
        <v>4.9828071508689717</v>
      </c>
      <c r="AW43" s="21">
        <f>EXP(-LN(2)/2)*AW42+(1-EXP(-LN(2)/2))/(LN(2)/2)*AQ43*AT43*VLOOKUP('Données projet'!$B$10,Paramètres!$A$1:$I$89,3,0)*0.475*44/12</f>
        <v>0.35980672815030484</v>
      </c>
      <c r="AX43" s="21">
        <f t="shared" si="6"/>
        <v>6.3937896262646765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5.3369963369963358</v>
      </c>
      <c r="BD43" s="12">
        <f>IF('Données projet'!$A$88&gt;35,BD42+BC43-BL42,IF(A43&lt;'Données projet'!$A$88,$BA$205^A43,IF(A43='Données projet'!$A$88,'Données projet'!$B$88,BD42+BC43-BL42)))</f>
        <v>141.07509157509156</v>
      </c>
      <c r="BE43" s="13">
        <f>BD43*VLOOKUP('Données projet'!$B$11,Paramètres!$A$1:$I$89,3,0)*VLOOKUP('Données projet'!$B$11,Paramètres!$A$1:$I$89,5,0)</f>
        <v>140.84937142857143</v>
      </c>
      <c r="BF43" s="13">
        <f t="shared" si="37"/>
        <v>36.491516011589702</v>
      </c>
      <c r="BG43" s="20">
        <f t="shared" si="7"/>
        <v>308.86871229161397</v>
      </c>
      <c r="BH43" s="59">
        <f t="shared" si="8"/>
        <v>602.20204562494723</v>
      </c>
      <c r="BI43" s="59">
        <f ca="1">AVERAGE(OFFSET($BH$3,0,0,'Données projet'!$E$11+1,1))-AVERAGE(OFFSET($H$3,0,0,'Données projet'!$E$11+1,1))</f>
        <v>245.06609107649069</v>
      </c>
      <c r="BJ43" s="59">
        <f t="shared" si="38"/>
        <v>156.24531945456499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59.269672682677488</v>
      </c>
      <c r="BW43" s="12">
        <f>VLOOKUP(A43,'Données projet'!$A$113:$I$133,9,0)</f>
        <v>2.2709162873211426</v>
      </c>
      <c r="BX43" s="12">
        <f t="array" ref="BX43">INDEX(BW:BW,MIN(IF(ISNUMBER(BW43:BW239),ROW(BW43:BW239),"")))</f>
        <v>2.2709162873211426</v>
      </c>
      <c r="BY43" s="12">
        <f>IF('Données projet'!$A$114&gt;35,BY42+BX43-CG42,IF(A43&lt;'Données projet'!$A$114,$BV$205^A43,IF(A43='Données projet'!$A$114,'Données projet'!$B$114,BY42+BX43-CG42)))</f>
        <v>59.269672682677474</v>
      </c>
      <c r="BZ43" s="13">
        <f>BY43*VLOOKUP('Données projet'!$B$12,Paramètres!$A$1:$I$89,3,0)*VLOOKUP('Données projet'!$B$12,Paramètres!$A$1:$I$89,5,0)</f>
        <v>64.722482569483802</v>
      </c>
      <c r="CA43" s="13">
        <f t="shared" si="39"/>
        <v>18.356945165422601</v>
      </c>
      <c r="CB43" s="20">
        <f t="shared" si="10"/>
        <v>144.69666997162864</v>
      </c>
      <c r="CC43" s="59">
        <f t="shared" si="11"/>
        <v>438.03000330496195</v>
      </c>
      <c r="CD43" s="59">
        <f ca="1">AVERAGE(OFFSET($CC$3,0,0,'Données projet'!$E$12+1,1))-AVERAGE(OFFSET($H$3,0,0,'Données projet'!$E$12+1,1))</f>
        <v>173.63857221119594</v>
      </c>
      <c r="CE43" s="59">
        <f t="shared" si="40"/>
        <v>52.373745617370105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-1.1368683772161603E-13</v>
      </c>
      <c r="O44" s="13">
        <f>N44*VLOOKUP('Données projet'!$B$9,Paramètres!$A$1:$I$89,3,0)*VLOOKUP('Données projet'!$B$9,Paramètres!$A$1:$I$89,5,0)</f>
        <v>-6.7984728957526396E-14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175.34314856709307</v>
      </c>
      <c r="T44" s="59">
        <f t="shared" si="34"/>
        <v>296.28950942251339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11.883809115297154</v>
      </c>
      <c r="AA44" s="21">
        <f>EXP(-LN(2)/25)*AA43+(1-EXP(-LN(2)/25))/(LN(2)/25)*Calculateur!V44*Calculateur!X44*VLOOKUP('Données projet'!$B$9,Paramètres!$A$1:$I$89,3,0)*0.475*44/12</f>
        <v>13.832022559900457</v>
      </c>
      <c r="AB44" s="21">
        <f>EXP(-LN(2)/2)*AB43+(1-EXP(-LN(2)/2))/(LN(2)/2)*V44*Y44*VLOOKUP('Données projet'!$B$9,Paramètres!$A$1:$I$89,3,0)*0.475*44/12</f>
        <v>5.659847084401369E-2</v>
      </c>
      <c r="AC44" s="22">
        <f t="shared" si="3"/>
        <v>25.772430146041625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7.5</v>
      </c>
      <c r="AI44" s="13">
        <f>IF('Données projet'!$A$62&gt;35,AI43+AH44-AQ43,IF(A44&lt;'Données projet'!$A$62,$AF$205^A44,IF(A44='Données projet'!$A$62,'Données projet'!$B$62,AI43+AH44-AQ43)))</f>
        <v>124.50000000000003</v>
      </c>
      <c r="AJ44" s="13">
        <f>AI44*VLOOKUP('Données projet'!$B$10,Paramètres!$A$1:$I$89,3,0)*VLOOKUP('Données projet'!$B$10,Paramètres!$A$1:$I$89,5,0)</f>
        <v>104.87880000000003</v>
      </c>
      <c r="AK44" s="13">
        <f t="shared" si="35"/>
        <v>28.121062464047416</v>
      </c>
      <c r="AL44" s="20">
        <f t="shared" si="4"/>
        <v>231.64142712488263</v>
      </c>
      <c r="AM44" s="59">
        <f t="shared" si="5"/>
        <v>524.974760458216</v>
      </c>
      <c r="AN44" s="59">
        <f ca="1">AVERAGE(OFFSET($AM$3,0,0,'Données projet'!$E$10+1,1))-AVERAGE(OFFSET($H$3,0,0,'Données projet'!$E$10+1,1))</f>
        <v>247.67539667223065</v>
      </c>
      <c r="AO44" s="59">
        <f t="shared" si="36"/>
        <v>174.54442616983778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1.0305628319958142</v>
      </c>
      <c r="AV44" s="21">
        <f>EXP(-LN(2)/25)*AV43+(1-EXP(-LN(2)/25))/(LN(2)/25)*Calculateur!AQ44*Calculateur!AS44*VLOOKUP('Données projet'!$B$10,Paramètres!$A$1:$I$89,3,0)*0.475*44/12</f>
        <v>4.8465520272940203</v>
      </c>
      <c r="AW44" s="21">
        <f>EXP(-LN(2)/2)*AW43+(1-EXP(-LN(2)/2))/(LN(2)/2)*AQ44*AT44*VLOOKUP('Données projet'!$B$10,Paramètres!$A$1:$I$89,3,0)*0.475*44/12</f>
        <v>0.25442177739162519</v>
      </c>
      <c r="AX44" s="21">
        <f t="shared" si="6"/>
        <v>6.1315366366814601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5.3369963369963358</v>
      </c>
      <c r="BD44" s="12">
        <f>IF('Données projet'!$A$88&gt;35,BD43+BC44-BL43,IF(A44&lt;'Données projet'!$A$88,$BA$205^A44,IF(A44='Données projet'!$A$88,'Données projet'!$B$88,BD43+BC44-BL43)))</f>
        <v>146.41208791208788</v>
      </c>
      <c r="BE44" s="13">
        <f>BD44*VLOOKUP('Données projet'!$B$11,Paramètres!$A$1:$I$89,3,0)*VLOOKUP('Données projet'!$B$11,Paramètres!$A$1:$I$89,5,0)</f>
        <v>146.17782857142856</v>
      </c>
      <c r="BF44" s="13">
        <f t="shared" si="37"/>
        <v>37.708682927193792</v>
      </c>
      <c r="BG44" s="20">
        <f t="shared" si="7"/>
        <v>320.26900752676721</v>
      </c>
      <c r="BH44" s="59">
        <f t="shared" si="8"/>
        <v>613.60234086010053</v>
      </c>
      <c r="BI44" s="59">
        <f ca="1">AVERAGE(OFFSET($BH$3,0,0,'Données projet'!$E$11+1,1))-AVERAGE(OFFSET($H$3,0,0,'Données projet'!$E$11+1,1))</f>
        <v>245.06609107649069</v>
      </c>
      <c r="BJ44" s="59">
        <f t="shared" si="38"/>
        <v>156.24531945456499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2.6372976949420099</v>
      </c>
      <c r="BY44" s="12">
        <f>IF('Données projet'!$A$114&gt;35,BY43+BX44-CG43,IF(A44&lt;'Données projet'!$A$114,$BV$205^A44,IF(A44='Données projet'!$A$114,'Données projet'!$B$114,BY43+BX44-CG43)))</f>
        <v>61.906970377619487</v>
      </c>
      <c r="BZ44" s="13">
        <f>BY44*VLOOKUP('Données projet'!$B$12,Paramètres!$A$1:$I$89,3,0)*VLOOKUP('Données projet'!$B$12,Paramètres!$A$1:$I$89,5,0)</f>
        <v>67.602411652360473</v>
      </c>
      <c r="CA44" s="13">
        <f t="shared" si="39"/>
        <v>19.076849578994388</v>
      </c>
      <c r="CB44" s="20">
        <f t="shared" si="10"/>
        <v>150.96637997794303</v>
      </c>
      <c r="CC44" s="59">
        <f t="shared" si="11"/>
        <v>444.29971331127638</v>
      </c>
      <c r="CD44" s="59">
        <f ca="1">AVERAGE(OFFSET($CC$3,0,0,'Données projet'!$E$12+1,1))-AVERAGE(OFFSET($H$3,0,0,'Données projet'!$E$12+1,1))</f>
        <v>173.63857221119594</v>
      </c>
      <c r="CE44" s="59">
        <f t="shared" si="40"/>
        <v>52.373745617370105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-1.1368683772161603E-13</v>
      </c>
      <c r="O45" s="13">
        <f>N45*VLOOKUP('Données projet'!$B$9,Paramètres!$A$1:$I$89,3,0)*VLOOKUP('Données projet'!$B$9,Paramètres!$A$1:$I$89,5,0)</f>
        <v>-6.7984728957526396E-14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175.34314856709307</v>
      </c>
      <c r="T45" s="59">
        <f t="shared" si="34"/>
        <v>296.28950942251339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11.650774866954016</v>
      </c>
      <c r="AA45" s="21">
        <f>EXP(-LN(2)/25)*AA44+(1-EXP(-LN(2)/25))/(LN(2)/25)*Calculateur!V45*Calculateur!X45*VLOOKUP('Données projet'!$B$9,Paramètres!$A$1:$I$89,3,0)*0.475*44/12</f>
        <v>13.453785175605526</v>
      </c>
      <c r="AB45" s="21">
        <f>EXP(-LN(2)/2)*AB44+(1-EXP(-LN(2)/2))/(LN(2)/2)*V45*Y45*VLOOKUP('Données projet'!$B$9,Paramètres!$A$1:$I$89,3,0)*0.475*44/12</f>
        <v>4.0021162538591178E-2</v>
      </c>
      <c r="AC45" s="22">
        <f t="shared" si="3"/>
        <v>25.144581205098131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7.5</v>
      </c>
      <c r="AI45" s="13">
        <f>IF('Données projet'!$A$62&gt;35,AI44+AH45-AQ44,IF(A45&lt;'Données projet'!$A$62,$AF$205^A45,IF(A45='Données projet'!$A$62,'Données projet'!$B$62,AI44+AH45-AQ44)))</f>
        <v>132.00000000000003</v>
      </c>
      <c r="AJ45" s="13">
        <f>AI45*VLOOKUP('Données projet'!$B$10,Paramètres!$A$1:$I$89,3,0)*VLOOKUP('Données projet'!$B$10,Paramètres!$A$1:$I$89,5,0)</f>
        <v>111.19680000000002</v>
      </c>
      <c r="AK45" s="13">
        <f t="shared" si="35"/>
        <v>29.612782154697133</v>
      </c>
      <c r="AL45" s="20">
        <f t="shared" si="4"/>
        <v>245.24335558609755</v>
      </c>
      <c r="AM45" s="59">
        <f t="shared" si="5"/>
        <v>538.57668891943081</v>
      </c>
      <c r="AN45" s="59">
        <f ca="1">AVERAGE(OFFSET($AM$3,0,0,'Données projet'!$E$10+1,1))-AVERAGE(OFFSET($H$3,0,0,'Données projet'!$E$10+1,1))</f>
        <v>247.67539667223065</v>
      </c>
      <c r="AO45" s="59">
        <f t="shared" si="36"/>
        <v>174.54442616983778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1.0103541234416367</v>
      </c>
      <c r="AV45" s="21">
        <f>EXP(-LN(2)/25)*AV44+(1-EXP(-LN(2)/25))/(LN(2)/25)*Calculateur!AQ45*Calculateur!AS45*VLOOKUP('Données projet'!$B$10,Paramètres!$A$1:$I$89,3,0)*0.475*44/12</f>
        <v>4.714022807238571</v>
      </c>
      <c r="AW45" s="21">
        <f>EXP(-LN(2)/2)*AW44+(1-EXP(-LN(2)/2))/(LN(2)/2)*AQ45*AT45*VLOOKUP('Données projet'!$B$10,Paramètres!$A$1:$I$89,3,0)*0.475*44/12</f>
        <v>0.17990336407515242</v>
      </c>
      <c r="AX45" s="21">
        <f t="shared" si="6"/>
        <v>5.9042802947553605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5.3369963369963358</v>
      </c>
      <c r="BD45" s="12">
        <f>IF('Données projet'!$A$88&gt;35,BD44+BC45-BL44,IF(A45&lt;'Données projet'!$A$88,$BA$205^A45,IF(A45='Données projet'!$A$88,'Données projet'!$B$88,BD44+BC45-BL44)))</f>
        <v>151.74908424908421</v>
      </c>
      <c r="BE45" s="13">
        <f>BD45*VLOOKUP('Données projet'!$B$11,Paramètres!$A$1:$I$89,3,0)*VLOOKUP('Données projet'!$B$11,Paramètres!$A$1:$I$89,5,0)</f>
        <v>151.50628571428567</v>
      </c>
      <c r="BF45" s="13">
        <f t="shared" si="37"/>
        <v>38.920695139599829</v>
      </c>
      <c r="BG45" s="20">
        <f t="shared" si="7"/>
        <v>331.66032498718386</v>
      </c>
      <c r="BH45" s="59">
        <f t="shared" si="8"/>
        <v>624.99365832051717</v>
      </c>
      <c r="BI45" s="59">
        <f ca="1">AVERAGE(OFFSET($BH$3,0,0,'Données projet'!$E$11+1,1))-AVERAGE(OFFSET($H$3,0,0,'Données projet'!$E$11+1,1))</f>
        <v>245.06609107649069</v>
      </c>
      <c r="BJ45" s="59">
        <f t="shared" si="38"/>
        <v>156.24531945456499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2.6372976949420099</v>
      </c>
      <c r="BY45" s="12">
        <f>IF('Données projet'!$A$114&gt;35,BY44+BX45-CG44,IF(A45&lt;'Données projet'!$A$114,$BV$205^A45,IF(A45='Données projet'!$A$114,'Données projet'!$B$114,BY44+BX45-CG44)))</f>
        <v>64.544268072561493</v>
      </c>
      <c r="BZ45" s="13">
        <f>BY45*VLOOKUP('Données projet'!$B$12,Paramètres!$A$1:$I$89,3,0)*VLOOKUP('Données projet'!$B$12,Paramètres!$A$1:$I$89,5,0)</f>
        <v>70.482340735237145</v>
      </c>
      <c r="CA45" s="13">
        <f t="shared" si="39"/>
        <v>19.793191862009976</v>
      </c>
      <c r="CB45" s="20">
        <f t="shared" si="10"/>
        <v>157.22988594020538</v>
      </c>
      <c r="CC45" s="59">
        <f t="shared" si="11"/>
        <v>450.56321927353872</v>
      </c>
      <c r="CD45" s="59">
        <f ca="1">AVERAGE(OFFSET($CC$3,0,0,'Données projet'!$E$12+1,1))-AVERAGE(OFFSET($H$3,0,0,'Données projet'!$E$12+1,1))</f>
        <v>173.63857221119594</v>
      </c>
      <c r="CE45" s="59">
        <f t="shared" si="40"/>
        <v>52.373745617370105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-1.1368683772161603E-13</v>
      </c>
      <c r="O46" s="13">
        <f>N46*VLOOKUP('Données projet'!$B$9,Paramètres!$A$1:$I$89,3,0)*VLOOKUP('Données projet'!$B$9,Paramètres!$A$1:$I$89,5,0)</f>
        <v>-6.7984728957526396E-14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175.34314856709307</v>
      </c>
      <c r="T46" s="59">
        <f t="shared" si="34"/>
        <v>296.28950942251339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11.422310278084032</v>
      </c>
      <c r="AA46" s="21">
        <f>EXP(-LN(2)/25)*AA45+(1-EXP(-LN(2)/25))/(LN(2)/25)*Calculateur!V46*Calculateur!X46*VLOOKUP('Données projet'!$B$9,Paramètres!$A$1:$I$89,3,0)*0.475*44/12</f>
        <v>13.085890712474781</v>
      </c>
      <c r="AB46" s="21">
        <f>EXP(-LN(2)/2)*AB45+(1-EXP(-LN(2)/2))/(LN(2)/2)*V46*Y46*VLOOKUP('Données projet'!$B$9,Paramètres!$A$1:$I$89,3,0)*0.475*44/12</f>
        <v>2.8299235422006845E-2</v>
      </c>
      <c r="AC46" s="22">
        <f t="shared" si="3"/>
        <v>24.53650022598082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7.5</v>
      </c>
      <c r="AI46" s="13">
        <f>IF('Données projet'!$A$62&gt;35,AI45+AH46-AQ45,IF(A46&lt;'Données projet'!$A$62,$AF$205^A46,IF(A46='Données projet'!$A$62,'Données projet'!$B$62,AI45+AH46-AQ45)))</f>
        <v>139.50000000000003</v>
      </c>
      <c r="AJ46" s="13">
        <f>AI46*VLOOKUP('Données projet'!$B$10,Paramètres!$A$1:$I$89,3,0)*VLOOKUP('Données projet'!$B$10,Paramètres!$A$1:$I$89,5,0)</f>
        <v>117.51480000000005</v>
      </c>
      <c r="AK46" s="13">
        <f t="shared" si="35"/>
        <v>31.094663118298502</v>
      </c>
      <c r="AL46" s="20">
        <f t="shared" si="4"/>
        <v>258.82814826436999</v>
      </c>
      <c r="AM46" s="59">
        <f t="shared" si="5"/>
        <v>552.1614815977033</v>
      </c>
      <c r="AN46" s="59">
        <f ca="1">AVERAGE(OFFSET($AM$3,0,0,'Données projet'!$E$10+1,1))-AVERAGE(OFFSET($H$3,0,0,'Données projet'!$E$10+1,1))</f>
        <v>247.67539667223065</v>
      </c>
      <c r="AO46" s="59">
        <f t="shared" si="36"/>
        <v>174.54442616983778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0.99054169533611136</v>
      </c>
      <c r="AV46" s="21">
        <f>EXP(-LN(2)/25)*AV45+(1-EXP(-LN(2)/25))/(LN(2)/25)*Calculateur!AQ46*Calculateur!AS46*VLOOKUP('Données projet'!$B$10,Paramètres!$A$1:$I$89,3,0)*0.475*44/12</f>
        <v>4.585117605674947</v>
      </c>
      <c r="AW46" s="21">
        <f>EXP(-LN(2)/2)*AW45+(1-EXP(-LN(2)/2))/(LN(2)/2)*AQ46*AT46*VLOOKUP('Données projet'!$B$10,Paramètres!$A$1:$I$89,3,0)*0.475*44/12</f>
        <v>0.1272108886958126</v>
      </c>
      <c r="AX46" s="21">
        <f t="shared" si="6"/>
        <v>5.7028701897068714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5.3369963369963358</v>
      </c>
      <c r="BD46" s="12">
        <f>IF('Données projet'!$A$88&gt;35,BD45+BC46-BL45,IF(A46&lt;'Données projet'!$A$88,$BA$205^A46,IF(A46='Données projet'!$A$88,'Données projet'!$B$88,BD45+BC46-BL45)))</f>
        <v>157.08608058608053</v>
      </c>
      <c r="BE46" s="13">
        <f>BD46*VLOOKUP('Données projet'!$B$11,Paramètres!$A$1:$I$89,3,0)*VLOOKUP('Données projet'!$B$11,Paramètres!$A$1:$I$89,5,0)</f>
        <v>156.8347428571428</v>
      </c>
      <c r="BF46" s="13">
        <f t="shared" si="37"/>
        <v>40.127754712239053</v>
      </c>
      <c r="BG46" s="20">
        <f t="shared" si="7"/>
        <v>343.04301660000675</v>
      </c>
      <c r="BH46" s="59">
        <f t="shared" si="8"/>
        <v>636.37634993334007</v>
      </c>
      <c r="BI46" s="59">
        <f ca="1">AVERAGE(OFFSET($BH$3,0,0,'Données projet'!$E$11+1,1))-AVERAGE(OFFSET($H$3,0,0,'Données projet'!$E$11+1,1))</f>
        <v>245.06609107649069</v>
      </c>
      <c r="BJ46" s="59">
        <f t="shared" si="38"/>
        <v>156.24531945456499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2.6372976949420099</v>
      </c>
      <c r="BY46" s="12">
        <f>IF('Données projet'!$A$114&gt;35,BY45+BX46-CG45,IF(A46&lt;'Données projet'!$A$114,$BV$205^A46,IF(A46='Données projet'!$A$114,'Données projet'!$B$114,BY45+BX46-CG45)))</f>
        <v>67.1815657675035</v>
      </c>
      <c r="BZ46" s="13">
        <f>BY46*VLOOKUP('Données projet'!$B$12,Paramètres!$A$1:$I$89,3,0)*VLOOKUP('Données projet'!$B$12,Paramètres!$A$1:$I$89,5,0)</f>
        <v>73.362269818113816</v>
      </c>
      <c r="CA46" s="13">
        <f t="shared" si="39"/>
        <v>20.506134212361626</v>
      </c>
      <c r="CB46" s="20">
        <f t="shared" si="10"/>
        <v>163.48747035307807</v>
      </c>
      <c r="CC46" s="59">
        <f t="shared" si="11"/>
        <v>456.82080368641141</v>
      </c>
      <c r="CD46" s="59">
        <f ca="1">AVERAGE(OFFSET($CC$3,0,0,'Données projet'!$E$12+1,1))-AVERAGE(OFFSET($H$3,0,0,'Données projet'!$E$12+1,1))</f>
        <v>173.63857221119594</v>
      </c>
      <c r="CE46" s="59">
        <f t="shared" si="40"/>
        <v>52.373745617370105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-1.1368683772161603E-13</v>
      </c>
      <c r="O47" s="13">
        <f>N47*VLOOKUP('Données projet'!$B$9,Paramètres!$A$1:$I$89,3,0)*VLOOKUP('Données projet'!$B$9,Paramètres!$A$1:$I$89,5,0)</f>
        <v>-6.7984728957526396E-14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175.34314856709307</v>
      </c>
      <c r="T47" s="59">
        <f t="shared" si="34"/>
        <v>296.28950942251339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11.198325740452146</v>
      </c>
      <c r="AA47" s="21">
        <f>EXP(-LN(2)/25)*AA46+(1-EXP(-LN(2)/25))/(LN(2)/25)*Calculateur!V47*Calculateur!X47*VLOOKUP('Données projet'!$B$9,Paramètres!$A$1:$I$89,3,0)*0.475*44/12</f>
        <v>12.728056342785074</v>
      </c>
      <c r="AB47" s="21">
        <f>EXP(-LN(2)/2)*AB46+(1-EXP(-LN(2)/2))/(LN(2)/2)*V47*Y47*VLOOKUP('Données projet'!$B$9,Paramètres!$A$1:$I$89,3,0)*0.475*44/12</f>
        <v>2.0010581269295589E-2</v>
      </c>
      <c r="AC47" s="22">
        <f t="shared" si="3"/>
        <v>23.946392664506519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7.5</v>
      </c>
      <c r="AI47" s="13">
        <f>IF('Données projet'!$A$62&gt;35,AI46+AH47-AQ46,IF(A47&lt;'Données projet'!$A$62,$AF$205^A47,IF(A47='Données projet'!$A$62,'Données projet'!$B$62,AI46+AH47-AQ46)))</f>
        <v>147.00000000000003</v>
      </c>
      <c r="AJ47" s="13">
        <f>AI47*VLOOKUP('Données projet'!$B$10,Paramètres!$A$1:$I$89,3,0)*VLOOKUP('Données projet'!$B$10,Paramètres!$A$1:$I$89,5,0)</f>
        <v>123.83280000000003</v>
      </c>
      <c r="AK47" s="13">
        <f t="shared" si="35"/>
        <v>32.567294628684579</v>
      </c>
      <c r="AL47" s="20">
        <f t="shared" si="4"/>
        <v>272.39683147829231</v>
      </c>
      <c r="AM47" s="59">
        <f t="shared" si="5"/>
        <v>565.73016481162563</v>
      </c>
      <c r="AN47" s="59">
        <f ca="1">AVERAGE(OFFSET($AM$3,0,0,'Données projet'!$E$10+1,1))-AVERAGE(OFFSET($H$3,0,0,'Données projet'!$E$10+1,1))</f>
        <v>247.67539667223065</v>
      </c>
      <c r="AO47" s="59">
        <f t="shared" si="36"/>
        <v>174.54442616983778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0.97111777686134748</v>
      </c>
      <c r="AV47" s="21">
        <f>EXP(-LN(2)/25)*AV46+(1-EXP(-LN(2)/25))/(LN(2)/25)*Calculateur!AQ47*Calculateur!AS47*VLOOKUP('Données projet'!$B$10,Paramètres!$A$1:$I$89,3,0)*0.475*44/12</f>
        <v>4.4597373236269098</v>
      </c>
      <c r="AW47" s="21">
        <f>EXP(-LN(2)/2)*AW46+(1-EXP(-LN(2)/2))/(LN(2)/2)*AQ47*AT47*VLOOKUP('Données projet'!$B$10,Paramètres!$A$1:$I$89,3,0)*0.475*44/12</f>
        <v>8.9951682037576211E-2</v>
      </c>
      <c r="AX47" s="21">
        <f t="shared" si="6"/>
        <v>5.5208067825258329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>
        <f>VLOOKUP(A47,'Données projet'!$A$87:$I$107,2,0)</f>
        <v>162.42307692307691</v>
      </c>
      <c r="BB47" s="12">
        <f>VLOOKUP(A47,'Données projet'!$A$87:$I$107,9,0)</f>
        <v>5.3369963369963358</v>
      </c>
      <c r="BC47" s="12">
        <f t="array" ref="BC47">INDEX(BB:BB,MIN(IF(ISNUMBER(BB47:BB243),ROW(BB47:BB243),"")))</f>
        <v>5.3369963369963358</v>
      </c>
      <c r="BD47" s="12">
        <f>IF('Données projet'!$A$88&gt;35,BD46+BC47-BL46,IF(A47&lt;'Données projet'!$A$88,$BA$205^A47,IF(A47='Données projet'!$A$88,'Données projet'!$B$88,BD46+BC47-BL46)))</f>
        <v>162.42307692307685</v>
      </c>
      <c r="BE47" s="13">
        <f>BD47*VLOOKUP('Données projet'!$B$11,Paramètres!$A$1:$I$89,3,0)*VLOOKUP('Données projet'!$B$11,Paramètres!$A$1:$I$89,5,0)</f>
        <v>162.16319999999993</v>
      </c>
      <c r="BF47" s="13">
        <f t="shared" si="37"/>
        <v>41.330049199441142</v>
      </c>
      <c r="BG47" s="20">
        <f t="shared" si="7"/>
        <v>354.41740902235983</v>
      </c>
      <c r="BH47" s="59">
        <f t="shared" si="8"/>
        <v>647.75074235569309</v>
      </c>
      <c r="BI47" s="59">
        <f ca="1">AVERAGE(OFFSET($BH$3,0,0,'Données projet'!$E$11+1,1))-AVERAGE(OFFSET($H$3,0,0,'Données projet'!$E$11+1,1))</f>
        <v>245.06609107649069</v>
      </c>
      <c r="BJ47" s="59">
        <f t="shared" si="38"/>
        <v>156.24531945456499</v>
      </c>
      <c r="BK47" s="15">
        <f>IF(ISNA(VLOOKUP(A47,'Données projet'!$A$87:$I$107,3,0)),0,VLOOKUP(A47,'Données projet'!$A$87:$I$107,3,0))</f>
        <v>1</v>
      </c>
      <c r="BL47" s="15">
        <f>IF(ISNA(VLOOKUP(A47,'Données projet'!$A$87:$I$107,4,0)),0,VLOOKUP(A47,'Données projet'!$A$87:$I$107,4,0))</f>
        <v>64.416666666666657</v>
      </c>
      <c r="BM47" s="16">
        <f>IF(ISNA(VLOOKUP(A47,'Données projet'!$A$87:$I$107,5,0)),0%,VLOOKUP(A47,'Données projet'!$A$87:$I$107,5,0)*VLOOKUP('Données projet'!$B$11,Paramètres!$A$1:$I$89,7,0))</f>
        <v>0.17200000000000001</v>
      </c>
      <c r="BN47" s="16">
        <f>IF(ISNA(VLOOKUP(A47,'Données projet'!$A$87:$I$107,6,0)),0%,VLOOKUP(A47,'Données projet'!$A$87:$I$107,6,0)*VLOOKUP('Données projet'!$B$11,Paramètres!$A$1:$I$89,7,0))</f>
        <v>0.129</v>
      </c>
      <c r="BO47" s="16">
        <f>IF(ISNA(VLOOKUP(A47,'Données projet'!$A$87:$I$107,7,0)),0%,VLOOKUP(A47,'Données projet'!$A$87:$I$107,7,0))</f>
        <v>0.3</v>
      </c>
      <c r="BP47" s="21">
        <f>EXP(-LN(2)/35)*BP46+(1-EXP(-LN(2)/35))/(LN(2)/35)*BL47*BM47*VLOOKUP('Données projet'!$B$11,Paramètres!$A$1:$I$89,3,0)*0.475*44/12</f>
        <v>12.228646125794418</v>
      </c>
      <c r="BQ47" s="21">
        <f>EXP(-LN(2)/25)*BQ46+(1-EXP(-LN(2)/25))/(LN(2)/25)*Calculateur!BL47*Calculateur!BN47*VLOOKUP('Données projet'!$B$11,Paramètres!$A$1:$I$89,3,0)*0.475*44/12</f>
        <v>9.1353729648882709</v>
      </c>
      <c r="BR47" s="21">
        <f>EXP(-LN(2)/2)*BR46+(1-EXP(-LN(2)/2))/(LN(2)/2)*BL47*BO47*VLOOKUP('Données projet'!$B$11,Paramètres!$A$1:$I$89,3,0)*0.475*44/12</f>
        <v>18.204483772549519</v>
      </c>
      <c r="BS47" s="22">
        <f t="shared" si="9"/>
        <v>39.568502863232212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2.6372976949420099</v>
      </c>
      <c r="BY47" s="12">
        <f>IF('Données projet'!$A$114&gt;35,BY46+BX47-CG46,IF(A47&lt;'Données projet'!$A$114,$BV$205^A47,IF(A47='Données projet'!$A$114,'Données projet'!$B$114,BY46+BX47-CG46)))</f>
        <v>69.818863462445506</v>
      </c>
      <c r="BZ47" s="13">
        <f>BY47*VLOOKUP('Données projet'!$B$12,Paramètres!$A$1:$I$89,3,0)*VLOOKUP('Données projet'!$B$12,Paramètres!$A$1:$I$89,5,0)</f>
        <v>76.242198900990502</v>
      </c>
      <c r="CA47" s="13">
        <f t="shared" si="39"/>
        <v>21.215825372387421</v>
      </c>
      <c r="CB47" s="20">
        <f t="shared" si="10"/>
        <v>169.73939227613323</v>
      </c>
      <c r="CC47" s="59">
        <f t="shared" si="11"/>
        <v>463.07272560946654</v>
      </c>
      <c r="CD47" s="59">
        <f ca="1">AVERAGE(OFFSET($CC$3,0,0,'Données projet'!$E$12+1,1))-AVERAGE(OFFSET($H$3,0,0,'Données projet'!$E$12+1,1))</f>
        <v>173.63857221119594</v>
      </c>
      <c r="CE47" s="59">
        <f t="shared" si="40"/>
        <v>52.373745617370105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-1.1368683772161603E-13</v>
      </c>
      <c r="O48" s="13">
        <f>N48*VLOOKUP('Données projet'!$B$9,Paramètres!$A$1:$I$89,3,0)*VLOOKUP('Données projet'!$B$9,Paramètres!$A$1:$I$89,5,0)</f>
        <v>-6.7984728957526396E-14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175.34314856709307</v>
      </c>
      <c r="T48" s="59">
        <f t="shared" si="34"/>
        <v>296.28950942251339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10.978733402986144</v>
      </c>
      <c r="AA48" s="21">
        <f>EXP(-LN(2)/25)*AA47+(1-EXP(-LN(2)/25))/(LN(2)/25)*Calculateur!V48*Calculateur!X48*VLOOKUP('Données projet'!$B$9,Paramètres!$A$1:$I$89,3,0)*0.475*44/12</f>
        <v>12.380006972752224</v>
      </c>
      <c r="AB48" s="21">
        <f>EXP(-LN(2)/2)*AB47+(1-EXP(-LN(2)/2))/(LN(2)/2)*V48*Y48*VLOOKUP('Données projet'!$B$9,Paramètres!$A$1:$I$89,3,0)*0.475*44/12</f>
        <v>1.4149617711003423E-2</v>
      </c>
      <c r="AC48" s="22">
        <f t="shared" si="3"/>
        <v>23.37288999344937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7.5</v>
      </c>
      <c r="AI48" s="13">
        <f>IF('Données projet'!$A$62&gt;35,AI47+AH48-AQ47,IF(A48&lt;'Données projet'!$A$62,$AF$205^A48,IF(A48='Données projet'!$A$62,'Données projet'!$B$62,AI47+AH48-AQ47)))</f>
        <v>154.50000000000003</v>
      </c>
      <c r="AJ48" s="13">
        <f>AI48*VLOOKUP('Données projet'!$B$10,Paramètres!$A$1:$I$89,3,0)*VLOOKUP('Données projet'!$B$10,Paramètres!$A$1:$I$89,5,0)</f>
        <v>130.15080000000003</v>
      </c>
      <c r="AK48" s="13">
        <f t="shared" si="35"/>
        <v>34.031202433281528</v>
      </c>
      <c r="AL48" s="20">
        <f t="shared" si="4"/>
        <v>285.95032090463206</v>
      </c>
      <c r="AM48" s="59">
        <f t="shared" si="5"/>
        <v>579.28365423796538</v>
      </c>
      <c r="AN48" s="59">
        <f ca="1">AVERAGE(OFFSET($AM$3,0,0,'Données projet'!$E$10+1,1))-AVERAGE(OFFSET($H$3,0,0,'Données projet'!$E$10+1,1))</f>
        <v>247.67539667223065</v>
      </c>
      <c r="AO48" s="59">
        <f t="shared" si="36"/>
        <v>174.54442616983778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0.95207474958045324</v>
      </c>
      <c r="AV48" s="21">
        <f>EXP(-LN(2)/25)*AV47+(1-EXP(-LN(2)/25))/(LN(2)/25)*Calculateur!AQ48*Calculateur!AS48*VLOOKUP('Données projet'!$B$10,Paramètres!$A$1:$I$89,3,0)*0.475*44/12</f>
        <v>4.3377855719849387</v>
      </c>
      <c r="AW48" s="21">
        <f>EXP(-LN(2)/2)*AW47+(1-EXP(-LN(2)/2))/(LN(2)/2)*AQ48*AT48*VLOOKUP('Données projet'!$B$10,Paramètres!$A$1:$I$89,3,0)*0.475*44/12</f>
        <v>6.3605444347906298E-2</v>
      </c>
      <c r="AX48" s="21">
        <f t="shared" si="6"/>
        <v>5.353465765913298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6.8260073260073284</v>
      </c>
      <c r="BD48" s="12">
        <f>IF('Données projet'!$A$88&gt;35,BD47+BC48-BL47,IF(A48&lt;'Données projet'!$A$88,$BA$205^A48,IF(A48='Données projet'!$A$88,'Données projet'!$B$88,BD47+BC48-BL47)))</f>
        <v>104.83241758241752</v>
      </c>
      <c r="BE48" s="13">
        <f>BD48*VLOOKUP('Données projet'!$B$11,Paramètres!$A$1:$I$89,3,0)*VLOOKUP('Données projet'!$B$11,Paramètres!$A$1:$I$89,5,0)</f>
        <v>104.66468571428567</v>
      </c>
      <c r="BF48" s="13">
        <f t="shared" si="37"/>
        <v>28.070328709305645</v>
      </c>
      <c r="BG48" s="20">
        <f t="shared" si="7"/>
        <v>231.18015012108819</v>
      </c>
      <c r="BH48" s="59">
        <f t="shared" si="8"/>
        <v>524.51348345442148</v>
      </c>
      <c r="BI48" s="59">
        <f ca="1">AVERAGE(OFFSET($BH$3,0,0,'Données projet'!$E$11+1,1))-AVERAGE(OFFSET($H$3,0,0,'Données projet'!$E$11+1,1))</f>
        <v>245.06609107649069</v>
      </c>
      <c r="BJ48" s="59">
        <f t="shared" si="38"/>
        <v>156.24531945456499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11.988849834005237</v>
      </c>
      <c r="BQ48" s="21">
        <f>EXP(-LN(2)/25)*BQ47+(1-EXP(-LN(2)/25))/(LN(2)/25)*Calculateur!BL48*Calculateur!BN48*VLOOKUP('Données projet'!$B$11,Paramètres!$A$1:$I$89,3,0)*0.475*44/12</f>
        <v>8.8855657107550154</v>
      </c>
      <c r="BR48" s="21">
        <f>EXP(-LN(2)/2)*BR47+(1-EXP(-LN(2)/2))/(LN(2)/2)*BL48*BO48*VLOOKUP('Données projet'!$B$11,Paramètres!$A$1:$I$89,3,0)*0.475*44/12</f>
        <v>12.87251392357023</v>
      </c>
      <c r="BS48" s="22">
        <f t="shared" si="9"/>
        <v>33.746929468330485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2.6372976949420099</v>
      </c>
      <c r="BY48" s="12">
        <f>IF('Données projet'!$A$114&gt;35,BY47+BX48-CG47,IF(A48&lt;'Données projet'!$A$114,$BV$205^A48,IF(A48='Données projet'!$A$114,'Données projet'!$B$114,BY47+BX48-CG47)))</f>
        <v>72.456161157387513</v>
      </c>
      <c r="BZ48" s="13">
        <f>BY48*VLOOKUP('Données projet'!$B$12,Paramètres!$A$1:$I$89,3,0)*VLOOKUP('Données projet'!$B$12,Paramètres!$A$1:$I$89,5,0)</f>
        <v>79.122127983867159</v>
      </c>
      <c r="CA48" s="13">
        <f t="shared" si="39"/>
        <v>21.922402210892315</v>
      </c>
      <c r="CB48" s="20">
        <f t="shared" si="10"/>
        <v>175.98589008920609</v>
      </c>
      <c r="CC48" s="59">
        <f t="shared" si="11"/>
        <v>469.31922342253938</v>
      </c>
      <c r="CD48" s="59">
        <f ca="1">AVERAGE(OFFSET($CC$3,0,0,'Données projet'!$E$12+1,1))-AVERAGE(OFFSET($H$3,0,0,'Données projet'!$E$12+1,1))</f>
        <v>173.63857221119594</v>
      </c>
      <c r="CE48" s="59">
        <f t="shared" si="40"/>
        <v>52.373745617370105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-1.1368683772161603E-13</v>
      </c>
      <c r="O49" s="13">
        <f>N49*VLOOKUP('Données projet'!$B$9,Paramètres!$A$1:$I$89,3,0)*VLOOKUP('Données projet'!$B$9,Paramètres!$A$1:$I$89,5,0)</f>
        <v>-6.7984728957526396E-14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175.34314856709307</v>
      </c>
      <c r="T49" s="59">
        <f t="shared" si="34"/>
        <v>296.28950942251339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10.76344713731975</v>
      </c>
      <c r="AA49" s="21">
        <f>EXP(-LN(2)/25)*AA48+(1-EXP(-LN(2)/25))/(LN(2)/25)*Calculateur!V49*Calculateur!X49*VLOOKUP('Données projet'!$B$9,Paramètres!$A$1:$I$89,3,0)*0.475*44/12</f>
        <v>12.041475031046042</v>
      </c>
      <c r="AB49" s="21">
        <f>EXP(-LN(2)/2)*AB48+(1-EXP(-LN(2)/2))/(LN(2)/2)*V49*Y49*VLOOKUP('Données projet'!$B$9,Paramètres!$A$1:$I$89,3,0)*0.475*44/12</f>
        <v>1.0005290634647794E-2</v>
      </c>
      <c r="AC49" s="22">
        <f t="shared" si="3"/>
        <v>22.81492745900044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7.5</v>
      </c>
      <c r="AI49" s="13">
        <f>IF('Données projet'!$A$62&gt;35,AI48+AH49-AQ48,IF(A49&lt;'Données projet'!$A$62,$AF$205^A49,IF(A49='Données projet'!$A$62,'Données projet'!$B$62,AI48+AH49-AQ48)))</f>
        <v>162.00000000000003</v>
      </c>
      <c r="AJ49" s="13">
        <f>AI49*VLOOKUP('Données projet'!$B$10,Paramètres!$A$1:$I$89,3,0)*VLOOKUP('Données projet'!$B$10,Paramètres!$A$1:$I$89,5,0)</f>
        <v>136.46880000000004</v>
      </c>
      <c r="AK49" s="13">
        <f t="shared" si="35"/>
        <v>35.486858352195902</v>
      </c>
      <c r="AL49" s="20">
        <f t="shared" si="4"/>
        <v>299.48943829674124</v>
      </c>
      <c r="AM49" s="59">
        <f t="shared" si="5"/>
        <v>592.82277163007461</v>
      </c>
      <c r="AN49" s="59">
        <f ca="1">AVERAGE(OFFSET($AM$3,0,0,'Données projet'!$E$10+1,1))-AVERAGE(OFFSET($H$3,0,0,'Données projet'!$E$10+1,1))</f>
        <v>247.67539667223065</v>
      </c>
      <c r="AO49" s="59">
        <f t="shared" si="36"/>
        <v>174.54442616983778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0.93340514444943756</v>
      </c>
      <c r="AV49" s="21">
        <f>EXP(-LN(2)/25)*AV48+(1-EXP(-LN(2)/25))/(LN(2)/25)*Calculateur!AQ49*Calculateur!AS49*VLOOKUP('Données projet'!$B$10,Paramètres!$A$1:$I$89,3,0)*0.475*44/12</f>
        <v>4.2191685974047815</v>
      </c>
      <c r="AW49" s="21">
        <f>EXP(-LN(2)/2)*AW48+(1-EXP(-LN(2)/2))/(LN(2)/2)*AQ49*AT49*VLOOKUP('Données projet'!$B$10,Paramètres!$A$1:$I$89,3,0)*0.475*44/12</f>
        <v>4.4975841018788106E-2</v>
      </c>
      <c r="AX49" s="21">
        <f t="shared" si="6"/>
        <v>5.1975495828730072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6.8260073260073284</v>
      </c>
      <c r="BD49" s="12">
        <f>IF('Données projet'!$A$88&gt;35,BD48+BC49-BL48,IF(A49&lt;'Données projet'!$A$88,$BA$205^A49,IF(A49='Données projet'!$A$88,'Données projet'!$B$88,BD48+BC49-BL48)))</f>
        <v>111.65842490842485</v>
      </c>
      <c r="BE49" s="13">
        <f>BD49*VLOOKUP('Données projet'!$B$11,Paramètres!$A$1:$I$89,3,0)*VLOOKUP('Données projet'!$B$11,Paramètres!$A$1:$I$89,5,0)</f>
        <v>111.47977142857138</v>
      </c>
      <c r="BF49" s="13">
        <f t="shared" si="37"/>
        <v>29.679358653347098</v>
      </c>
      <c r="BG49" s="20">
        <f t="shared" si="7"/>
        <v>245.85215155934134</v>
      </c>
      <c r="BH49" s="59">
        <f t="shared" si="8"/>
        <v>539.18548489267459</v>
      </c>
      <c r="BI49" s="59">
        <f ca="1">AVERAGE(OFFSET($BH$3,0,0,'Données projet'!$E$11+1,1))-AVERAGE(OFFSET($H$3,0,0,'Données projet'!$E$11+1,1))</f>
        <v>245.06609107649069</v>
      </c>
      <c r="BJ49" s="59">
        <f t="shared" si="38"/>
        <v>156.24531945456499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11.753755801236746</v>
      </c>
      <c r="BQ49" s="21">
        <f>EXP(-LN(2)/25)*BQ48+(1-EXP(-LN(2)/25))/(LN(2)/25)*Calculateur!BL49*Calculateur!BN49*VLOOKUP('Données projet'!$B$11,Paramètres!$A$1:$I$89,3,0)*0.475*44/12</f>
        <v>8.642589449122827</v>
      </c>
      <c r="BR49" s="21">
        <f>EXP(-LN(2)/2)*BR48+(1-EXP(-LN(2)/2))/(LN(2)/2)*BL49*BO49*VLOOKUP('Données projet'!$B$11,Paramètres!$A$1:$I$89,3,0)*0.475*44/12</f>
        <v>9.1022418862747614</v>
      </c>
      <c r="BS49" s="22">
        <f t="shared" si="9"/>
        <v>29.498587136634335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2.6372976949420099</v>
      </c>
      <c r="BY49" s="12">
        <f>IF('Données projet'!$A$114&gt;35,BY48+BX49-CG48,IF(A49&lt;'Données projet'!$A$114,$BV$205^A49,IF(A49='Données projet'!$A$114,'Données projet'!$B$114,BY48+BX49-CG48)))</f>
        <v>75.093458852329519</v>
      </c>
      <c r="BZ49" s="13">
        <f>BY49*VLOOKUP('Données projet'!$B$12,Paramètres!$A$1:$I$89,3,0)*VLOOKUP('Données projet'!$B$12,Paramètres!$A$1:$I$89,5,0)</f>
        <v>82.002057066743831</v>
      </c>
      <c r="CA49" s="13">
        <f t="shared" si="39"/>
        <v>22.625991068362598</v>
      </c>
      <c r="CB49" s="20">
        <f t="shared" si="10"/>
        <v>182.22718383531037</v>
      </c>
      <c r="CC49" s="59">
        <f t="shared" si="11"/>
        <v>475.56051716864368</v>
      </c>
      <c r="CD49" s="59">
        <f ca="1">AVERAGE(OFFSET($CC$3,0,0,'Données projet'!$E$12+1,1))-AVERAGE(OFFSET($H$3,0,0,'Données projet'!$E$12+1,1))</f>
        <v>173.63857221119594</v>
      </c>
      <c r="CE49" s="59">
        <f t="shared" si="40"/>
        <v>52.373745617370105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-1.1368683772161603E-13</v>
      </c>
      <c r="O50" s="13">
        <f>N50*VLOOKUP('Données projet'!$B$9,Paramètres!$A$1:$I$89,3,0)*VLOOKUP('Données projet'!$B$9,Paramètres!$A$1:$I$89,5,0)</f>
        <v>-6.7984728957526396E-14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175.34314856709307</v>
      </c>
      <c r="T50" s="59">
        <f t="shared" si="34"/>
        <v>296.28950942251339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10.552382504011417</v>
      </c>
      <c r="AA50" s="21">
        <f>EXP(-LN(2)/25)*AA49+(1-EXP(-LN(2)/25))/(LN(2)/25)*Calculateur!V50*Calculateur!X50*VLOOKUP('Données projet'!$B$9,Paramètres!$A$1:$I$89,3,0)*0.475*44/12</f>
        <v>11.712200263088437</v>
      </c>
      <c r="AB50" s="21">
        <f>EXP(-LN(2)/2)*AB49+(1-EXP(-LN(2)/2))/(LN(2)/2)*V50*Y50*VLOOKUP('Données projet'!$B$9,Paramètres!$A$1:$I$89,3,0)*0.475*44/12</f>
        <v>7.0748088555017113E-3</v>
      </c>
      <c r="AC50" s="22">
        <f t="shared" si="3"/>
        <v>22.271657575955356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7.5</v>
      </c>
      <c r="AI50" s="13">
        <f>IF('Données projet'!$A$62&gt;35,AI49+AH50-AQ49,IF(A50&lt;'Données projet'!$A$62,$AF$205^A50,IF(A50='Données projet'!$A$62,'Données projet'!$B$62,AI49+AH50-AQ49)))</f>
        <v>169.50000000000003</v>
      </c>
      <c r="AJ50" s="13">
        <f>AI50*VLOOKUP('Données projet'!$B$10,Paramètres!$A$1:$I$89,3,0)*VLOOKUP('Données projet'!$B$10,Paramètres!$A$1:$I$89,5,0)</f>
        <v>142.78680000000003</v>
      </c>
      <c r="AK50" s="13">
        <f t="shared" si="35"/>
        <v>36.934688049401593</v>
      </c>
      <c r="AL50" s="20">
        <f t="shared" si="4"/>
        <v>313.01492501937446</v>
      </c>
      <c r="AM50" s="59">
        <f t="shared" si="5"/>
        <v>606.34825835270772</v>
      </c>
      <c r="AN50" s="59">
        <f ca="1">AVERAGE(OFFSET($AM$3,0,0,'Données projet'!$E$10+1,1))-AVERAGE(OFFSET($H$3,0,0,'Données projet'!$E$10+1,1))</f>
        <v>247.67539667223065</v>
      </c>
      <c r="AO50" s="59">
        <f t="shared" si="36"/>
        <v>174.54442616983778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0.91510163888770646</v>
      </c>
      <c r="AV50" s="21">
        <f>EXP(-LN(2)/25)*AV49+(1-EXP(-LN(2)/25))/(LN(2)/25)*Calculateur!AQ50*Calculateur!AS50*VLOOKUP('Données projet'!$B$10,Paramètres!$A$1:$I$89,3,0)*0.475*44/12</f>
        <v>4.1037952102323141</v>
      </c>
      <c r="AW50" s="21">
        <f>EXP(-LN(2)/2)*AW49+(1-EXP(-LN(2)/2))/(LN(2)/2)*AQ50*AT50*VLOOKUP('Données projet'!$B$10,Paramètres!$A$1:$I$89,3,0)*0.475*44/12</f>
        <v>3.1802722173953149E-2</v>
      </c>
      <c r="AX50" s="21">
        <f t="shared" si="6"/>
        <v>5.0506995712939737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6.8260073260073284</v>
      </c>
      <c r="BD50" s="12">
        <f>IF('Données projet'!$A$88&gt;35,BD49+BC50-BL49,IF(A50&lt;'Données projet'!$A$88,$BA$205^A50,IF(A50='Données projet'!$A$88,'Données projet'!$B$88,BD49+BC50-BL49)))</f>
        <v>118.48443223443218</v>
      </c>
      <c r="BE50" s="13">
        <f>BD50*VLOOKUP('Données projet'!$B$11,Paramètres!$A$1:$I$89,3,0)*VLOOKUP('Données projet'!$B$11,Paramètres!$A$1:$I$89,5,0)</f>
        <v>118.29485714285708</v>
      </c>
      <c r="BF50" s="13">
        <f t="shared" si="37"/>
        <v>31.276972079204548</v>
      </c>
      <c r="BG50" s="20">
        <f t="shared" si="7"/>
        <v>260.50426922842399</v>
      </c>
      <c r="BH50" s="59">
        <f t="shared" si="8"/>
        <v>553.83760256175731</v>
      </c>
      <c r="BI50" s="59">
        <f ca="1">AVERAGE(OFFSET($BH$3,0,0,'Données projet'!$E$11+1,1))-AVERAGE(OFFSET($H$3,0,0,'Données projet'!$E$11+1,1))</f>
        <v>245.06609107649069</v>
      </c>
      <c r="BJ50" s="59">
        <f t="shared" si="38"/>
        <v>156.24531945456499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11.523271819057644</v>
      </c>
      <c r="BQ50" s="21">
        <f>EXP(-LN(2)/25)*BQ49+(1-EXP(-LN(2)/25))/(LN(2)/25)*Calculateur!BL50*Calculateur!BN50*VLOOKUP('Données projet'!$B$11,Paramètres!$A$1:$I$89,3,0)*0.475*44/12</f>
        <v>8.4062573861425367</v>
      </c>
      <c r="BR50" s="21">
        <f>EXP(-LN(2)/2)*BR49+(1-EXP(-LN(2)/2))/(LN(2)/2)*BL50*BO50*VLOOKUP('Données projet'!$B$11,Paramètres!$A$1:$I$89,3,0)*0.475*44/12</f>
        <v>6.4362569617851157</v>
      </c>
      <c r="BS50" s="22">
        <f t="shared" si="9"/>
        <v>26.365786166985298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2.6372976949420099</v>
      </c>
      <c r="BY50" s="12">
        <f>IF('Données projet'!$A$114&gt;35,BY49+BX50-CG49,IF(A50&lt;'Données projet'!$A$114,$BV$205^A50,IF(A50='Données projet'!$A$114,'Données projet'!$B$114,BY49+BX50-CG49)))</f>
        <v>77.730756547271525</v>
      </c>
      <c r="BZ50" s="13">
        <f>BY50*VLOOKUP('Données projet'!$B$12,Paramètres!$A$1:$I$89,3,0)*VLOOKUP('Données projet'!$B$12,Paramètres!$A$1:$I$89,5,0)</f>
        <v>84.881986149620502</v>
      </c>
      <c r="CA50" s="13">
        <f t="shared" si="39"/>
        <v>23.326708907893494</v>
      </c>
      <c r="CB50" s="20">
        <f t="shared" si="10"/>
        <v>188.46347722517021</v>
      </c>
      <c r="CC50" s="59">
        <f t="shared" si="11"/>
        <v>481.79681055850352</v>
      </c>
      <c r="CD50" s="59">
        <f ca="1">AVERAGE(OFFSET($CC$3,0,0,'Données projet'!$E$12+1,1))-AVERAGE(OFFSET($H$3,0,0,'Données projet'!$E$12+1,1))</f>
        <v>173.63857221119594</v>
      </c>
      <c r="CE50" s="59">
        <f t="shared" si="40"/>
        <v>52.373745617370105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-1.1368683772161603E-13</v>
      </c>
      <c r="O51" s="13">
        <f>N51*VLOOKUP('Données projet'!$B$9,Paramètres!$A$1:$I$89,3,0)*VLOOKUP('Données projet'!$B$9,Paramètres!$A$1:$I$89,5,0)</f>
        <v>-6.7984728957526396E-14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175.34314856709307</v>
      </c>
      <c r="T51" s="59">
        <f t="shared" si="34"/>
        <v>296.28950942251339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10.345456719425547</v>
      </c>
      <c r="AA51" s="21">
        <f>EXP(-LN(2)/25)*AA50+(1-EXP(-LN(2)/25))/(LN(2)/25)*Calculateur!V51*Calculateur!X51*VLOOKUP('Données projet'!$B$9,Paramètres!$A$1:$I$89,3,0)*0.475*44/12</f>
        <v>11.391929530976441</v>
      </c>
      <c r="AB51" s="21">
        <f>EXP(-LN(2)/2)*AB50+(1-EXP(-LN(2)/2))/(LN(2)/2)*V51*Y51*VLOOKUP('Données projet'!$B$9,Paramètres!$A$1:$I$89,3,0)*0.475*44/12</f>
        <v>5.0026453173238972E-3</v>
      </c>
      <c r="AC51" s="22">
        <f t="shared" si="3"/>
        <v>21.742388895719312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7.5</v>
      </c>
      <c r="AI51" s="13">
        <f>IF('Données projet'!$A$62&gt;35,AI50+AH51-AQ50,IF(A51&lt;'Données projet'!$A$62,$AF$205^A51,IF(A51='Données projet'!$A$62,'Données projet'!$B$62,AI50+AH51-AQ50)))</f>
        <v>177.00000000000003</v>
      </c>
      <c r="AJ51" s="13">
        <f>AI51*VLOOKUP('Données projet'!$B$10,Paramètres!$A$1:$I$89,3,0)*VLOOKUP('Données projet'!$B$10,Paramètres!$A$1:$I$89,5,0)</f>
        <v>149.10480000000004</v>
      </c>
      <c r="AK51" s="13">
        <f t="shared" si="35"/>
        <v>38.375077389658919</v>
      </c>
      <c r="AL51" s="20">
        <f t="shared" si="4"/>
        <v>326.52745312032266</v>
      </c>
      <c r="AM51" s="59">
        <f t="shared" si="5"/>
        <v>619.86078645365592</v>
      </c>
      <c r="AN51" s="59">
        <f ca="1">AVERAGE(OFFSET($AM$3,0,0,'Données projet'!$E$10+1,1))-AVERAGE(OFFSET($H$3,0,0,'Données projet'!$E$10+1,1))</f>
        <v>247.67539667223065</v>
      </c>
      <c r="AO51" s="59">
        <f t="shared" si="36"/>
        <v>174.54442616983778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0.89715705390600486</v>
      </c>
      <c r="AV51" s="21">
        <f>EXP(-LN(2)/25)*AV50+(1-EXP(-LN(2)/25))/(LN(2)/25)*Calculateur!AQ51*Calculateur!AS51*VLOOKUP('Données projet'!$B$10,Paramètres!$A$1:$I$89,3,0)*0.475*44/12</f>
        <v>3.9915767143993008</v>
      </c>
      <c r="AW51" s="21">
        <f>EXP(-LN(2)/2)*AW50+(1-EXP(-LN(2)/2))/(LN(2)/2)*AQ51*AT51*VLOOKUP('Données projet'!$B$10,Paramètres!$A$1:$I$89,3,0)*0.475*44/12</f>
        <v>2.2487920509394053E-2</v>
      </c>
      <c r="AX51" s="21">
        <f t="shared" si="6"/>
        <v>4.9112216888146998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6.8260073260073284</v>
      </c>
      <c r="BD51" s="12">
        <f>IF('Données projet'!$A$88&gt;35,BD50+BC51-BL50,IF(A51&lt;'Données projet'!$A$88,$BA$205^A51,IF(A51='Données projet'!$A$88,'Données projet'!$B$88,BD50+BC51-BL50)))</f>
        <v>125.31043956043951</v>
      </c>
      <c r="BE51" s="13">
        <f>BD51*VLOOKUP('Données projet'!$B$11,Paramètres!$A$1:$I$89,3,0)*VLOOKUP('Données projet'!$B$11,Paramètres!$A$1:$I$89,5,0)</f>
        <v>125.1099428571428</v>
      </c>
      <c r="BF51" s="13">
        <f t="shared" si="37"/>
        <v>32.863901639130368</v>
      </c>
      <c r="BG51" s="20">
        <f t="shared" si="7"/>
        <v>275.13777916434242</v>
      </c>
      <c r="BH51" s="59">
        <f t="shared" si="8"/>
        <v>568.47111249767568</v>
      </c>
      <c r="BI51" s="59">
        <f ca="1">AVERAGE(OFFSET($BH$3,0,0,'Données projet'!$E$11+1,1))-AVERAGE(OFFSET($H$3,0,0,'Données projet'!$E$11+1,1))</f>
        <v>245.06609107649069</v>
      </c>
      <c r="BJ51" s="59">
        <f t="shared" si="38"/>
        <v>156.24531945456499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11.297307487187727</v>
      </c>
      <c r="BQ51" s="21">
        <f>EXP(-LN(2)/25)*BQ50+(1-EXP(-LN(2)/25))/(LN(2)/25)*Calculateur!BL51*Calculateur!BN51*VLOOKUP('Données projet'!$B$11,Paramètres!$A$1:$I$89,3,0)*0.475*44/12</f>
        <v>8.176387835852605</v>
      </c>
      <c r="BR51" s="21">
        <f>EXP(-LN(2)/2)*BR50+(1-EXP(-LN(2)/2))/(LN(2)/2)*BL51*BO51*VLOOKUP('Données projet'!$B$11,Paramètres!$A$1:$I$89,3,0)*0.475*44/12</f>
        <v>4.5511209431373816</v>
      </c>
      <c r="BS51" s="22">
        <f t="shared" si="9"/>
        <v>24.024816266177712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2.6372976949420099</v>
      </c>
      <c r="BY51" s="12">
        <f>IF('Données projet'!$A$114&gt;35,BY50+BX51-CG50,IF(A51&lt;'Données projet'!$A$114,$BV$205^A51,IF(A51='Données projet'!$A$114,'Données projet'!$B$114,BY50+BX51-CG50)))</f>
        <v>80.368054242213532</v>
      </c>
      <c r="BZ51" s="13">
        <f>BY51*VLOOKUP('Données projet'!$B$12,Paramètres!$A$1:$I$89,3,0)*VLOOKUP('Données projet'!$B$12,Paramètres!$A$1:$I$89,5,0)</f>
        <v>87.761915232497174</v>
      </c>
      <c r="CA51" s="13">
        <f t="shared" si="39"/>
        <v>24.024664305531459</v>
      </c>
      <c r="CB51" s="20">
        <f t="shared" si="10"/>
        <v>194.6949593620665</v>
      </c>
      <c r="CC51" s="59">
        <f t="shared" si="11"/>
        <v>488.02829269539984</v>
      </c>
      <c r="CD51" s="59">
        <f ca="1">AVERAGE(OFFSET($CC$3,0,0,'Données projet'!$E$12+1,1))-AVERAGE(OFFSET($H$3,0,0,'Données projet'!$E$12+1,1))</f>
        <v>173.63857221119594</v>
      </c>
      <c r="CE51" s="59">
        <f t="shared" si="40"/>
        <v>52.373745617370105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-1.1368683772161603E-13</v>
      </c>
      <c r="O52" s="13">
        <f>N52*VLOOKUP('Données projet'!$B$9,Paramètres!$A$1:$I$89,3,0)*VLOOKUP('Données projet'!$B$9,Paramètres!$A$1:$I$89,5,0)</f>
        <v>-6.7984728957526396E-14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175.34314856709307</v>
      </c>
      <c r="T52" s="59">
        <f t="shared" si="34"/>
        <v>296.28950942251339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10.142588623263141</v>
      </c>
      <c r="AA52" s="21">
        <f>EXP(-LN(2)/25)*AA51+(1-EXP(-LN(2)/25))/(LN(2)/25)*Calculateur!V52*Calculateur!X52*VLOOKUP('Données projet'!$B$9,Paramètres!$A$1:$I$89,3,0)*0.475*44/12</f>
        <v>11.080416618876352</v>
      </c>
      <c r="AB52" s="21">
        <f>EXP(-LN(2)/2)*AB51+(1-EXP(-LN(2)/2))/(LN(2)/2)*V52*Y52*VLOOKUP('Données projet'!$B$9,Paramètres!$A$1:$I$89,3,0)*0.475*44/12</f>
        <v>3.5374044277508556E-3</v>
      </c>
      <c r="AC52" s="22">
        <f t="shared" si="3"/>
        <v>21.226542646567243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7.5</v>
      </c>
      <c r="AI52" s="13">
        <f>IF('Données projet'!$A$62&gt;35,AI51+AH52-AQ51,IF(A52&lt;'Données projet'!$A$62,$AF$205^A52,IF(A52='Données projet'!$A$62,'Données projet'!$B$62,AI51+AH52-AQ51)))</f>
        <v>184.50000000000003</v>
      </c>
      <c r="AJ52" s="13">
        <f>AI52*VLOOKUP('Données projet'!$B$10,Paramètres!$A$1:$I$89,3,0)*VLOOKUP('Données projet'!$B$10,Paramètres!$A$1:$I$89,5,0)</f>
        <v>155.42280000000005</v>
      </c>
      <c r="AK52" s="13">
        <f t="shared" si="35"/>
        <v>39.808377687614154</v>
      </c>
      <c r="AL52" s="20">
        <f t="shared" si="4"/>
        <v>340.02763447259474</v>
      </c>
      <c r="AM52" s="59">
        <f t="shared" si="5"/>
        <v>633.36096780592811</v>
      </c>
      <c r="AN52" s="59">
        <f ca="1">AVERAGE(OFFSET($AM$3,0,0,'Données projet'!$E$10+1,1))-AVERAGE(OFFSET($H$3,0,0,'Données projet'!$E$10+1,1))</f>
        <v>247.67539667223065</v>
      </c>
      <c r="AO52" s="59">
        <f t="shared" si="36"/>
        <v>174.54442616983778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0.87956435129067834</v>
      </c>
      <c r="AV52" s="21">
        <f>EXP(-LN(2)/25)*AV51+(1-EXP(-LN(2)/25))/(LN(2)/25)*Calculateur!AQ52*Calculateur!AS52*VLOOKUP('Données projet'!$B$10,Paramètres!$A$1:$I$89,3,0)*0.475*44/12</f>
        <v>3.8824268392361554</v>
      </c>
      <c r="AW52" s="21">
        <f>EXP(-LN(2)/2)*AW51+(1-EXP(-LN(2)/2))/(LN(2)/2)*AQ52*AT52*VLOOKUP('Données projet'!$B$10,Paramètres!$A$1:$I$89,3,0)*0.475*44/12</f>
        <v>1.5901361086976575E-2</v>
      </c>
      <c r="AX52" s="21">
        <f t="shared" si="6"/>
        <v>4.7778925516138102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6.8260073260073284</v>
      </c>
      <c r="BD52" s="12">
        <f>IF('Données projet'!$A$88&gt;35,BD51+BC52-BL51,IF(A52&lt;'Données projet'!$A$88,$BA$205^A52,IF(A52='Données projet'!$A$88,'Données projet'!$B$88,BD51+BC52-BL51)))</f>
        <v>132.13644688644683</v>
      </c>
      <c r="BE52" s="13">
        <f>BD52*VLOOKUP('Données projet'!$B$11,Paramètres!$A$1:$I$89,3,0)*VLOOKUP('Données projet'!$B$11,Paramètres!$A$1:$I$89,5,0)</f>
        <v>131.92502857142853</v>
      </c>
      <c r="BF52" s="13">
        <f t="shared" si="37"/>
        <v>34.440795658146151</v>
      </c>
      <c r="BG52" s="20">
        <f t="shared" si="7"/>
        <v>289.75381053317591</v>
      </c>
      <c r="BH52" s="59">
        <f t="shared" si="8"/>
        <v>583.08714386650922</v>
      </c>
      <c r="BI52" s="59">
        <f ca="1">AVERAGE(OFFSET($BH$3,0,0,'Données projet'!$E$11+1,1))-AVERAGE(OFFSET($H$3,0,0,'Données projet'!$E$11+1,1))</f>
        <v>245.06609107649069</v>
      </c>
      <c r="BJ52" s="59">
        <f t="shared" si="38"/>
        <v>156.24531945456499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11.075774178041145</v>
      </c>
      <c r="BQ52" s="21">
        <f>EXP(-LN(2)/25)*BQ51+(1-EXP(-LN(2)/25))/(LN(2)/25)*Calculateur!BL52*Calculateur!BN52*VLOOKUP('Données projet'!$B$11,Paramètres!$A$1:$I$89,3,0)*0.475*44/12</f>
        <v>7.9528040805036664</v>
      </c>
      <c r="BR52" s="21">
        <f>EXP(-LN(2)/2)*BR51+(1-EXP(-LN(2)/2))/(LN(2)/2)*BL52*BO52*VLOOKUP('Données projet'!$B$11,Paramètres!$A$1:$I$89,3,0)*0.475*44/12</f>
        <v>3.2181284808925583</v>
      </c>
      <c r="BS52" s="22">
        <f t="shared" si="9"/>
        <v>22.246706739437371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2.6372976949420099</v>
      </c>
      <c r="BY52" s="12">
        <f>IF('Données projet'!$A$114&gt;35,BY51+BX52-CG51,IF(A52&lt;'Données projet'!$A$114,$BV$205^A52,IF(A52='Données projet'!$A$114,'Données projet'!$B$114,BY51+BX52-CG51)))</f>
        <v>83.005351937155538</v>
      </c>
      <c r="BZ52" s="13">
        <f>BY52*VLOOKUP('Données projet'!$B$12,Paramètres!$A$1:$I$89,3,0)*VLOOKUP('Données projet'!$B$12,Paramètres!$A$1:$I$89,5,0)</f>
        <v>90.641844315373845</v>
      </c>
      <c r="CA52" s="13">
        <f t="shared" si="39"/>
        <v>24.719958306971282</v>
      </c>
      <c r="CB52" s="20">
        <f t="shared" si="10"/>
        <v>200.92180623391775</v>
      </c>
      <c r="CC52" s="59">
        <f t="shared" si="11"/>
        <v>494.25513956725104</v>
      </c>
      <c r="CD52" s="59">
        <f ca="1">AVERAGE(OFFSET($CC$3,0,0,'Données projet'!$E$12+1,1))-AVERAGE(OFFSET($H$3,0,0,'Données projet'!$E$12+1,1))</f>
        <v>173.63857221119594</v>
      </c>
      <c r="CE52" s="59">
        <f t="shared" si="40"/>
        <v>52.373745617370105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-1.1368683772161603E-13</v>
      </c>
      <c r="O53" s="13">
        <f>N53*VLOOKUP('Données projet'!$B$9,Paramètres!$A$1:$I$89,3,0)*VLOOKUP('Données projet'!$B$9,Paramètres!$A$1:$I$89,5,0)</f>
        <v>-6.7984728957526396E-14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175.34314856709307</v>
      </c>
      <c r="T53" s="59">
        <f t="shared" si="34"/>
        <v>296.28950942251339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9.9436986467291568</v>
      </c>
      <c r="AA53" s="21">
        <f>EXP(-LN(2)/25)*AA52+(1-EXP(-LN(2)/25))/(LN(2)/25)*Calculateur!V53*Calculateur!X53*VLOOKUP('Données projet'!$B$9,Paramètres!$A$1:$I$89,3,0)*0.475*44/12</f>
        <v>10.777422043739394</v>
      </c>
      <c r="AB53" s="21">
        <f>EXP(-LN(2)/2)*AB52+(1-EXP(-LN(2)/2))/(LN(2)/2)*V53*Y53*VLOOKUP('Données projet'!$B$9,Paramètres!$A$1:$I$89,3,0)*0.475*44/12</f>
        <v>2.5013226586619486E-3</v>
      </c>
      <c r="AC53" s="22">
        <f t="shared" si="3"/>
        <v>20.723622013127216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192</v>
      </c>
      <c r="AG53" s="12">
        <f>VLOOKUP(A53,'Données projet'!$A$61:$I$81,9,0)</f>
        <v>7.5</v>
      </c>
      <c r="AH53" s="12">
        <f t="array" ref="AH53">INDEX(AG:AG,MIN(IF(ISNUMBER(AG53:AG249),ROW(AG53:AG249),"")))</f>
        <v>7.5</v>
      </c>
      <c r="AI53" s="13">
        <f>IF('Données projet'!$A$62&gt;35,AI52+AH53-AQ52,IF(A53&lt;'Données projet'!$A$62,$AF$205^A53,IF(A53='Données projet'!$A$62,'Données projet'!$B$62,AI52+AH53-AQ52)))</f>
        <v>192.00000000000003</v>
      </c>
      <c r="AJ53" s="13">
        <f>AI53*VLOOKUP('Données projet'!$B$10,Paramètres!$A$1:$I$89,3,0)*VLOOKUP('Données projet'!$B$10,Paramètres!$A$1:$I$89,5,0)</f>
        <v>161.74080000000004</v>
      </c>
      <c r="AK53" s="13">
        <f t="shared" si="35"/>
        <v>41.234910079352424</v>
      </c>
      <c r="AL53" s="20">
        <f t="shared" si="4"/>
        <v>353.51602838820554</v>
      </c>
      <c r="AM53" s="59">
        <f t="shared" si="5"/>
        <v>646.8493617215388</v>
      </c>
      <c r="AN53" s="59">
        <f ca="1">AVERAGE(OFFSET($AM$3,0,0,'Données projet'!$E$10+1,1))-AVERAGE(OFFSET($H$3,0,0,'Données projet'!$E$10+1,1))</f>
        <v>247.67539667223065</v>
      </c>
      <c r="AO53" s="59">
        <f t="shared" si="36"/>
        <v>174.54442616983778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43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0.86231663084314925</v>
      </c>
      <c r="AV53" s="21">
        <f>EXP(-LN(2)/25)*AV52+(1-EXP(-LN(2)/25))/(LN(2)/25)*Calculateur!AQ53*Calculateur!AS53*VLOOKUP('Données projet'!$B$10,Paramètres!$A$1:$I$89,3,0)*0.475*44/12</f>
        <v>3.7762616731492886</v>
      </c>
      <c r="AW53" s="21">
        <f>EXP(-LN(2)/2)*AW52+(1-EXP(-LN(2)/2))/(LN(2)/2)*AQ53*AT53*VLOOKUP('Données projet'!$B$10,Paramètres!$A$1:$I$89,3,0)*0.475*44/12</f>
        <v>1.1243960254697026E-2</v>
      </c>
      <c r="AX53" s="21">
        <f t="shared" si="6"/>
        <v>4.6498222642471356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6.8260073260073284</v>
      </c>
      <c r="BD53" s="12">
        <f>IF('Données projet'!$A$88&gt;35,BD52+BC53-BL52,IF(A53&lt;'Données projet'!$A$88,$BA$205^A53,IF(A53='Données projet'!$A$88,'Données projet'!$B$88,BD52+BC53-BL52)))</f>
        <v>138.96245421245416</v>
      </c>
      <c r="BE53" s="13">
        <f>BD53*VLOOKUP('Données projet'!$B$11,Paramètres!$A$1:$I$89,3,0)*VLOOKUP('Données projet'!$B$11,Paramètres!$A$1:$I$89,5,0)</f>
        <v>138.74011428571424</v>
      </c>
      <c r="BF53" s="13">
        <f t="shared" si="37"/>
        <v>36.008231694539887</v>
      </c>
      <c r="BG53" s="20">
        <f t="shared" si="7"/>
        <v>304.35336924894256</v>
      </c>
      <c r="BH53" s="59">
        <f t="shared" si="8"/>
        <v>597.68670258227587</v>
      </c>
      <c r="BI53" s="59">
        <f ca="1">AVERAGE(OFFSET($BH$3,0,0,'Données projet'!$E$11+1,1))-AVERAGE(OFFSET($H$3,0,0,'Données projet'!$E$11+1,1))</f>
        <v>245.06609107649069</v>
      </c>
      <c r="BJ53" s="59">
        <f t="shared" si="38"/>
        <v>156.24531945456499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10.858585001964951</v>
      </c>
      <c r="BQ53" s="21">
        <f>EXP(-LN(2)/25)*BQ52+(1-EXP(-LN(2)/25))/(LN(2)/25)*Calculateur!BL53*Calculateur!BN53*VLOOKUP('Données projet'!$B$11,Paramètres!$A$1:$I$89,3,0)*0.475*44/12</f>
        <v>7.7353342347025036</v>
      </c>
      <c r="BR53" s="21">
        <f>EXP(-LN(2)/2)*BR52+(1-EXP(-LN(2)/2))/(LN(2)/2)*BL53*BO53*VLOOKUP('Données projet'!$B$11,Paramètres!$A$1:$I$89,3,0)*0.475*44/12</f>
        <v>2.2755604715686908</v>
      </c>
      <c r="BS53" s="22">
        <f t="shared" si="9"/>
        <v>20.869479708236145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85.642649632097587</v>
      </c>
      <c r="BW53" s="12">
        <f>VLOOKUP(A53,'Données projet'!$A$113:$I$133,9,0)</f>
        <v>2.6372976949420099</v>
      </c>
      <c r="BX53" s="12">
        <f t="array" ref="BX53">INDEX(BW:BW,MIN(IF(ISNUMBER(BW53:BW249),ROW(BW53:BW249),"")))</f>
        <v>2.6372976949420099</v>
      </c>
      <c r="BY53" s="12">
        <f>IF('Données projet'!$A$114&gt;35,BY52+BX53-CG52,IF(A53&lt;'Données projet'!$A$114,$BV$205^A53,IF(A53='Données projet'!$A$114,'Données projet'!$B$114,BY52+BX53-CG52)))</f>
        <v>85.642649632097545</v>
      </c>
      <c r="BZ53" s="13">
        <f>BY53*VLOOKUP('Données projet'!$B$12,Paramètres!$A$1:$I$89,3,0)*VLOOKUP('Données projet'!$B$12,Paramètres!$A$1:$I$89,5,0)</f>
        <v>93.521773398250517</v>
      </c>
      <c r="CA53" s="13">
        <f t="shared" si="39"/>
        <v>25.412685172316824</v>
      </c>
      <c r="CB53" s="20">
        <f t="shared" si="10"/>
        <v>207.14418201040476</v>
      </c>
      <c r="CC53" s="59">
        <f t="shared" si="11"/>
        <v>500.47751534373811</v>
      </c>
      <c r="CD53" s="59">
        <f ca="1">AVERAGE(OFFSET($CC$3,0,0,'Données projet'!$E$12+1,1))-AVERAGE(OFFSET($H$3,0,0,'Données projet'!$E$12+1,1))</f>
        <v>173.63857221119594</v>
      </c>
      <c r="CE53" s="59">
        <f t="shared" si="40"/>
        <v>52.373745617370105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-1.1368683772161603E-13</v>
      </c>
      <c r="O54" s="13">
        <f>N54*VLOOKUP('Données projet'!$B$9,Paramètres!$A$1:$I$89,3,0)*VLOOKUP('Données projet'!$B$9,Paramètres!$A$1:$I$89,5,0)</f>
        <v>-6.7984728957526396E-14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175.34314856709307</v>
      </c>
      <c r="T54" s="59">
        <f t="shared" si="34"/>
        <v>296.28950942251339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9.7487087813240976</v>
      </c>
      <c r="AA54" s="21">
        <f>EXP(-LN(2)/25)*AA53+(1-EXP(-LN(2)/25))/(LN(2)/25)*Calculateur!V54*Calculateur!X54*VLOOKUP('Données projet'!$B$9,Paramètres!$A$1:$I$89,3,0)*0.475*44/12</f>
        <v>10.482712871193348</v>
      </c>
      <c r="AB54" s="21">
        <f>EXP(-LN(2)/2)*AB53+(1-EXP(-LN(2)/2))/(LN(2)/2)*V54*Y54*VLOOKUP('Données projet'!$B$9,Paramètres!$A$1:$I$89,3,0)*0.475*44/12</f>
        <v>1.7687022138754278E-3</v>
      </c>
      <c r="AC54" s="22">
        <f t="shared" si="3"/>
        <v>20.233190354731324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7.2</v>
      </c>
      <c r="AI54" s="13">
        <f>IF('Données projet'!$A$62&gt;35,AI53+AH54-AQ53,IF(A54&lt;'Données projet'!$A$62,$AF$205^A54,IF(A54='Données projet'!$A$62,'Données projet'!$B$62,AI53+AH54-AQ53)))</f>
        <v>156.20000000000002</v>
      </c>
      <c r="AJ54" s="13">
        <f>AI54*VLOOKUP('Données projet'!$B$10,Paramètres!$A$1:$I$89,3,0)*VLOOKUP('Données projet'!$B$10,Paramètres!$A$1:$I$89,5,0)</f>
        <v>131.58288000000002</v>
      </c>
      <c r="AK54" s="13">
        <f t="shared" si="35"/>
        <v>34.361858401483424</v>
      </c>
      <c r="AL54" s="20">
        <f t="shared" si="4"/>
        <v>289.02041938258367</v>
      </c>
      <c r="AM54" s="59">
        <f t="shared" si="5"/>
        <v>582.35375271591693</v>
      </c>
      <c r="AN54" s="59">
        <f ca="1">AVERAGE(OFFSET($AM$3,0,0,'Données projet'!$E$10+1,1))-AVERAGE(OFFSET($H$3,0,0,'Données projet'!$E$10+1,1))</f>
        <v>247.67539667223065</v>
      </c>
      <c r="AO54" s="59">
        <f t="shared" si="36"/>
        <v>174.54442616983778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0.84540712767352555</v>
      </c>
      <c r="AV54" s="21">
        <f>EXP(-LN(2)/25)*AV53+(1-EXP(-LN(2)/25))/(LN(2)/25)*Calculateur!AQ54*Calculateur!AS54*VLOOKUP('Données projet'!$B$10,Paramètres!$A$1:$I$89,3,0)*0.475*44/12</f>
        <v>3.6729995991120505</v>
      </c>
      <c r="AW54" s="21">
        <f>EXP(-LN(2)/2)*AW53+(1-EXP(-LN(2)/2))/(LN(2)/2)*AQ54*AT54*VLOOKUP('Données projet'!$B$10,Paramètres!$A$1:$I$89,3,0)*0.475*44/12</f>
        <v>7.9506805434882873E-3</v>
      </c>
      <c r="AX54" s="21">
        <f t="shared" si="6"/>
        <v>4.5263574073290647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>
        <f>VLOOKUP(A54,'Données projet'!$A$87:$I$107,2,0)</f>
        <v>145.78846153846155</v>
      </c>
      <c r="BB54" s="12">
        <f>VLOOKUP(A54,'Données projet'!$A$87:$I$107,9,0)</f>
        <v>6.8260073260073284</v>
      </c>
      <c r="BC54" s="12">
        <f t="array" ref="BC54">INDEX(BB:BB,MIN(IF(ISNUMBER(BB54:BB250),ROW(BB54:BB250),"")))</f>
        <v>6.8260073260073284</v>
      </c>
      <c r="BD54" s="12">
        <f>IF('Données projet'!$A$88&gt;35,BD53+BC54-BL53,IF(A54&lt;'Données projet'!$A$88,$BA$205^A54,IF(A54='Données projet'!$A$88,'Données projet'!$B$88,BD53+BC54-BL53)))</f>
        <v>145.78846153846149</v>
      </c>
      <c r="BE54" s="13">
        <f>BD54*VLOOKUP('Données projet'!$B$11,Paramètres!$A$1:$I$89,3,0)*VLOOKUP('Données projet'!$B$11,Paramètres!$A$1:$I$89,5,0)</f>
        <v>145.55519999999996</v>
      </c>
      <c r="BF54" s="13">
        <f t="shared" si="37"/>
        <v>37.566727360298493</v>
      </c>
      <c r="BG54" s="20">
        <f t="shared" si="7"/>
        <v>318.93735681918645</v>
      </c>
      <c r="BH54" s="59">
        <f t="shared" si="8"/>
        <v>612.27069015251982</v>
      </c>
      <c r="BI54" s="59">
        <f ca="1">AVERAGE(OFFSET($BH$3,0,0,'Données projet'!$E$11+1,1))-AVERAGE(OFFSET($H$3,0,0,'Données projet'!$E$11+1,1))</f>
        <v>245.06609107649069</v>
      </c>
      <c r="BJ54" s="59">
        <f t="shared" si="38"/>
        <v>156.24531945456499</v>
      </c>
      <c r="BK54" s="15">
        <f>IF(ISNA(VLOOKUP(A54,'Données projet'!$A$87:$I$107,3,0)),0,VLOOKUP(A54,'Données projet'!$A$87:$I$107,3,0))</f>
        <v>2</v>
      </c>
      <c r="BL54" s="15">
        <f>IF(ISNA(VLOOKUP(A54,'Données projet'!$A$87:$I$107,4,0)),0,VLOOKUP(A54,'Données projet'!$A$87:$I$107,4,0))</f>
        <v>37.685897435897431</v>
      </c>
      <c r="BM54" s="16">
        <f>IF(ISNA(VLOOKUP(A54,'Données projet'!$A$87:$I$107,5,0)),0%,VLOOKUP(A54,'Données projet'!$A$87:$I$107,5,0)*VLOOKUP('Données projet'!$B$11,Paramètres!$A$1:$I$89,7,0))</f>
        <v>0.17200000000000001</v>
      </c>
      <c r="BN54" s="16">
        <f>IF(ISNA(VLOOKUP(A54,'Données projet'!$A$87:$I$107,6,0)),0%,VLOOKUP(A54,'Données projet'!$A$87:$I$107,6,0)*VLOOKUP('Données projet'!$B$11,Paramètres!$A$1:$I$89,7,0))</f>
        <v>0.129</v>
      </c>
      <c r="BO54" s="16">
        <f>IF(ISNA(VLOOKUP(A54,'Données projet'!$A$87:$I$107,7,0)),0%,VLOOKUP(A54,'Données projet'!$A$87:$I$107,7,0))</f>
        <v>0.3</v>
      </c>
      <c r="BP54" s="21">
        <f>EXP(-LN(2)/35)*BP53+(1-EXP(-LN(2)/35))/(LN(2)/35)*BL54*BM54*VLOOKUP('Données projet'!$B$11,Paramètres!$A$1:$I$89,3,0)*0.475*44/12</f>
        <v>17.799820418849947</v>
      </c>
      <c r="BQ54" s="21">
        <f>EXP(-LN(2)/25)*BQ53+(1-EXP(-LN(2)/25))/(LN(2)/25)*Calculateur!BL54*Calculateur!BN54*VLOOKUP('Données projet'!$B$11,Paramètres!$A$1:$I$89,3,0)*0.475*44/12</f>
        <v>12.868308840465577</v>
      </c>
      <c r="BR54" s="21">
        <f>EXP(-LN(2)/2)*BR53+(1-EXP(-LN(2)/2))/(LN(2)/2)*BL54*BO54*VLOOKUP('Données projet'!$B$11,Paramètres!$A$1:$I$89,3,0)*0.475*44/12</f>
        <v>12.259294123899227</v>
      </c>
      <c r="BS54" s="22">
        <f t="shared" si="9"/>
        <v>42.927423383214752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2.9265002849096136</v>
      </c>
      <c r="BY54" s="12">
        <f>IF('Données projet'!$A$114&gt;35,BY53+BX54-CG53,IF(A54&lt;'Données projet'!$A$114,$BV$205^A54,IF(A54='Données projet'!$A$114,'Données projet'!$B$114,BY53+BX54-CG53)))</f>
        <v>88.569149917007152</v>
      </c>
      <c r="BZ54" s="13">
        <f>BY54*VLOOKUP('Données projet'!$B$12,Paramètres!$A$1:$I$89,3,0)*VLOOKUP('Données projet'!$B$12,Paramètres!$A$1:$I$89,5,0)</f>
        <v>96.717511709371806</v>
      </c>
      <c r="CA54" s="13">
        <f t="shared" si="39"/>
        <v>26.178477451282994</v>
      </c>
      <c r="CB54" s="20">
        <f t="shared" si="10"/>
        <v>214.04384778814043</v>
      </c>
      <c r="CC54" s="59">
        <f t="shared" si="11"/>
        <v>507.37718112147377</v>
      </c>
      <c r="CD54" s="59">
        <f ca="1">AVERAGE(OFFSET($CC$3,0,0,'Données projet'!$E$12+1,1))-AVERAGE(OFFSET($H$3,0,0,'Données projet'!$E$12+1,1))</f>
        <v>173.63857221119594</v>
      </c>
      <c r="CE54" s="59">
        <f t="shared" si="40"/>
        <v>52.373745617370105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-1.1368683772161603E-13</v>
      </c>
      <c r="O55" s="13">
        <f>N55*VLOOKUP('Données projet'!$B$9,Paramètres!$A$1:$I$89,3,0)*VLOOKUP('Données projet'!$B$9,Paramètres!$A$1:$I$89,5,0)</f>
        <v>-6.7984728957526396E-14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175.34314856709307</v>
      </c>
      <c r="T55" s="59">
        <f t="shared" si="34"/>
        <v>296.28950942251339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9.5575425482475573</v>
      </c>
      <c r="AA55" s="21">
        <f>EXP(-LN(2)/25)*AA54+(1-EXP(-LN(2)/25))/(LN(2)/25)*Calculateur!V55*Calculateur!X55*VLOOKUP('Données projet'!$B$9,Paramètres!$A$1:$I$89,3,0)*0.475*44/12</f>
        <v>10.196062536468654</v>
      </c>
      <c r="AB55" s="21">
        <f>EXP(-LN(2)/2)*AB54+(1-EXP(-LN(2)/2))/(LN(2)/2)*V55*Y55*VLOOKUP('Données projet'!$B$9,Paramètres!$A$1:$I$89,3,0)*0.475*44/12</f>
        <v>1.2506613293309743E-3</v>
      </c>
      <c r="AC55" s="22">
        <f t="shared" si="3"/>
        <v>19.754855746045543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7.2</v>
      </c>
      <c r="AI55" s="13">
        <f>IF('Données projet'!$A$62&gt;35,AI54+AH55-AQ54,IF(A55&lt;'Données projet'!$A$62,$AF$205^A55,IF(A55='Données projet'!$A$62,'Données projet'!$B$62,AI54+AH55-AQ54)))</f>
        <v>163.4</v>
      </c>
      <c r="AJ55" s="13">
        <f>AI55*VLOOKUP('Données projet'!$B$10,Paramètres!$A$1:$I$89,3,0)*VLOOKUP('Données projet'!$B$10,Paramètres!$A$1:$I$89,5,0)</f>
        <v>137.64816000000002</v>
      </c>
      <c r="AK55" s="13">
        <f t="shared" si="35"/>
        <v>35.757701898726467</v>
      </c>
      <c r="AL55" s="20">
        <f t="shared" si="4"/>
        <v>302.01520947361524</v>
      </c>
      <c r="AM55" s="59">
        <f t="shared" si="5"/>
        <v>595.34854280694856</v>
      </c>
      <c r="AN55" s="59">
        <f ca="1">AVERAGE(OFFSET($AM$3,0,0,'Données projet'!$E$10+1,1))-AVERAGE(OFFSET($H$3,0,0,'Données projet'!$E$10+1,1))</f>
        <v>247.67539667223065</v>
      </c>
      <c r="AO55" s="59">
        <f t="shared" si="36"/>
        <v>174.54442616983778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0.82882920954727968</v>
      </c>
      <c r="AV55" s="21">
        <f>EXP(-LN(2)/25)*AV54+(1-EXP(-LN(2)/25))/(LN(2)/25)*Calculateur!AQ55*Calculateur!AS55*VLOOKUP('Données projet'!$B$10,Paramètres!$A$1:$I$89,3,0)*0.475*44/12</f>
        <v>3.5725612319196776</v>
      </c>
      <c r="AW55" s="21">
        <f>EXP(-LN(2)/2)*AW54+(1-EXP(-LN(2)/2))/(LN(2)/2)*AQ55*AT55*VLOOKUP('Données projet'!$B$10,Paramètres!$A$1:$I$89,3,0)*0.475*44/12</f>
        <v>5.6219801273485132E-3</v>
      </c>
      <c r="AX55" s="21">
        <f t="shared" si="6"/>
        <v>4.4070124215943061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6.3942307692307665</v>
      </c>
      <c r="BD55" s="12">
        <f>IF('Données projet'!$A$88&gt;35,BD54+BC55-BL54,IF(A55&lt;'Données projet'!$A$88,$BA$205^A55,IF(A55='Données projet'!$A$88,'Données projet'!$B$88,BD54+BC55-BL54)))</f>
        <v>114.49679487179483</v>
      </c>
      <c r="BE55" s="13">
        <f>BD55*VLOOKUP('Données projet'!$B$11,Paramètres!$A$1:$I$89,3,0)*VLOOKUP('Données projet'!$B$11,Paramètres!$A$1:$I$89,5,0)</f>
        <v>114.31359999999997</v>
      </c>
      <c r="BF55" s="13">
        <f t="shared" si="37"/>
        <v>30.3450160123191</v>
      </c>
      <c r="BG55" s="20">
        <f t="shared" si="7"/>
        <v>251.94708955478904</v>
      </c>
      <c r="BH55" s="59">
        <f t="shared" si="8"/>
        <v>545.2804228881223</v>
      </c>
      <c r="BI55" s="59">
        <f ca="1">AVERAGE(OFFSET($BH$3,0,0,'Données projet'!$E$11+1,1))-AVERAGE(OFFSET($H$3,0,0,'Données projet'!$E$11+1,1))</f>
        <v>245.06609107649069</v>
      </c>
      <c r="BJ55" s="59">
        <f t="shared" si="38"/>
        <v>156.24531945456499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17.450776797254733</v>
      </c>
      <c r="BQ55" s="21">
        <f>EXP(-LN(2)/25)*BQ54+(1-EXP(-LN(2)/25))/(LN(2)/25)*Calculateur!BL55*Calculateur!BN55*VLOOKUP('Données projet'!$B$11,Paramètres!$A$1:$I$89,3,0)*0.475*44/12</f>
        <v>12.516424258508096</v>
      </c>
      <c r="BR55" s="21">
        <f>EXP(-LN(2)/2)*BR54+(1-EXP(-LN(2)/2))/(LN(2)/2)*BL55*BO55*VLOOKUP('Données projet'!$B$11,Paramètres!$A$1:$I$89,3,0)*0.475*44/12</f>
        <v>8.6686300075695399</v>
      </c>
      <c r="BS55" s="22">
        <f t="shared" si="9"/>
        <v>38.635831063332368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2.9265002849096136</v>
      </c>
      <c r="BY55" s="12">
        <f>IF('Données projet'!$A$114&gt;35,BY54+BX55-CG54,IF(A55&lt;'Données projet'!$A$114,$BV$205^A55,IF(A55='Données projet'!$A$114,'Données projet'!$B$114,BY54+BX55-CG54)))</f>
        <v>91.49565020191676</v>
      </c>
      <c r="BZ55" s="13">
        <f>BY55*VLOOKUP('Données projet'!$B$12,Paramètres!$A$1:$I$89,3,0)*VLOOKUP('Données projet'!$B$12,Paramètres!$A$1:$I$89,5,0)</f>
        <v>99.913250020493095</v>
      </c>
      <c r="CA55" s="13">
        <f t="shared" si="39"/>
        <v>26.941329518204519</v>
      </c>
      <c r="CB55" s="20">
        <f t="shared" si="10"/>
        <v>220.93839269656499</v>
      </c>
      <c r="CC55" s="59">
        <f t="shared" si="11"/>
        <v>514.27172602989833</v>
      </c>
      <c r="CD55" s="59">
        <f ca="1">AVERAGE(OFFSET($CC$3,0,0,'Données projet'!$E$12+1,1))-AVERAGE(OFFSET($H$3,0,0,'Données projet'!$E$12+1,1))</f>
        <v>173.63857221119594</v>
      </c>
      <c r="CE55" s="59">
        <f t="shared" si="40"/>
        <v>52.373745617370105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-1.1368683772161603E-13</v>
      </c>
      <c r="O56" s="13">
        <f>N56*VLOOKUP('Données projet'!$B$9,Paramètres!$A$1:$I$89,3,0)*VLOOKUP('Données projet'!$B$9,Paramètres!$A$1:$I$89,5,0)</f>
        <v>-6.7984728957526396E-14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175.34314856709307</v>
      </c>
      <c r="T56" s="59">
        <f t="shared" si="34"/>
        <v>296.28950942251339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9.3701249684017593</v>
      </c>
      <c r="AA56" s="21">
        <f>EXP(-LN(2)/25)*AA55+(1-EXP(-LN(2)/25))/(LN(2)/25)*Calculateur!V56*Calculateur!X56*VLOOKUP('Données projet'!$B$9,Paramètres!$A$1:$I$89,3,0)*0.475*44/12</f>
        <v>9.9172506702212928</v>
      </c>
      <c r="AB56" s="21">
        <f>EXP(-LN(2)/2)*AB55+(1-EXP(-LN(2)/2))/(LN(2)/2)*V56*Y56*VLOOKUP('Données projet'!$B$9,Paramètres!$A$1:$I$89,3,0)*0.475*44/12</f>
        <v>8.8435110693771391E-4</v>
      </c>
      <c r="AC56" s="22">
        <f t="shared" si="3"/>
        <v>19.28825998972999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7.2</v>
      </c>
      <c r="AI56" s="13">
        <f>IF('Données projet'!$A$62&gt;35,AI55+AH56-AQ55,IF(A56&lt;'Données projet'!$A$62,$AF$205^A56,IF(A56='Données projet'!$A$62,'Données projet'!$B$62,AI55+AH56-AQ55)))</f>
        <v>170.6</v>
      </c>
      <c r="AJ56" s="13">
        <f>AI56*VLOOKUP('Données projet'!$B$10,Paramètres!$A$1:$I$89,3,0)*VLOOKUP('Données projet'!$B$10,Paramètres!$A$1:$I$89,5,0)</f>
        <v>143.71344000000002</v>
      </c>
      <c r="AK56" s="13">
        <f t="shared" si="35"/>
        <v>37.146401990372148</v>
      </c>
      <c r="AL56" s="20">
        <f t="shared" si="4"/>
        <v>314.99755813323151</v>
      </c>
      <c r="AM56" s="59">
        <f t="shared" si="5"/>
        <v>608.33089146656482</v>
      </c>
      <c r="AN56" s="59">
        <f ca="1">AVERAGE(OFFSET($AM$3,0,0,'Données projet'!$E$10+1,1))-AVERAGE(OFFSET($H$3,0,0,'Données projet'!$E$10+1,1))</f>
        <v>247.67539667223065</v>
      </c>
      <c r="AO56" s="59">
        <f t="shared" si="36"/>
        <v>174.54442616983778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0.81257637428395779</v>
      </c>
      <c r="AV56" s="21">
        <f>EXP(-LN(2)/25)*AV55+(1-EXP(-LN(2)/25))/(LN(2)/25)*Calculateur!AQ56*Calculateur!AS56*VLOOKUP('Données projet'!$B$10,Paramètres!$A$1:$I$89,3,0)*0.475*44/12</f>
        <v>3.4748693571600038</v>
      </c>
      <c r="AW56" s="21">
        <f>EXP(-LN(2)/2)*AW55+(1-EXP(-LN(2)/2))/(LN(2)/2)*AQ56*AT56*VLOOKUP('Données projet'!$B$10,Paramètres!$A$1:$I$89,3,0)*0.475*44/12</f>
        <v>3.9753402717441436E-3</v>
      </c>
      <c r="AX56" s="21">
        <f t="shared" si="6"/>
        <v>4.2914210717157051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6.3942307692307665</v>
      </c>
      <c r="BD56" s="12">
        <f>IF('Données projet'!$A$88&gt;35,BD55+BC56-BL55,IF(A56&lt;'Données projet'!$A$88,$BA$205^A56,IF(A56='Données projet'!$A$88,'Données projet'!$B$88,BD55+BC56-BL55)))</f>
        <v>120.89102564102561</v>
      </c>
      <c r="BE56" s="13">
        <f>BD56*VLOOKUP('Données projet'!$B$11,Paramètres!$A$1:$I$89,3,0)*VLOOKUP('Données projet'!$B$11,Paramètres!$A$1:$I$89,5,0)</f>
        <v>120.69759999999997</v>
      </c>
      <c r="BF56" s="13">
        <f t="shared" si="37"/>
        <v>31.837648108420023</v>
      </c>
      <c r="BG56" s="20">
        <f t="shared" si="7"/>
        <v>265.66555712216478</v>
      </c>
      <c r="BH56" s="59">
        <f t="shared" si="8"/>
        <v>558.9988904554981</v>
      </c>
      <c r="BI56" s="59">
        <f ca="1">AVERAGE(OFFSET($BH$3,0,0,'Données projet'!$E$11+1,1))-AVERAGE(OFFSET($H$3,0,0,'Données projet'!$E$11+1,1))</f>
        <v>245.06609107649069</v>
      </c>
      <c r="BJ56" s="59">
        <f t="shared" si="38"/>
        <v>156.24531945456499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17.108577708183415</v>
      </c>
      <c r="BQ56" s="21">
        <f>EXP(-LN(2)/25)*BQ55+(1-EXP(-LN(2)/25))/(LN(2)/25)*Calculateur!BL56*Calculateur!BN56*VLOOKUP('Données projet'!$B$11,Paramètres!$A$1:$I$89,3,0)*0.475*44/12</f>
        <v>12.174161978949046</v>
      </c>
      <c r="BR56" s="21">
        <f>EXP(-LN(2)/2)*BR55+(1-EXP(-LN(2)/2))/(LN(2)/2)*BL56*BO56*VLOOKUP('Données projet'!$B$11,Paramètres!$A$1:$I$89,3,0)*0.475*44/12</f>
        <v>6.1296470619496146</v>
      </c>
      <c r="BS56" s="22">
        <f t="shared" si="9"/>
        <v>35.412386749082074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2.9265002849096136</v>
      </c>
      <c r="BY56" s="12">
        <f>IF('Données projet'!$A$114&gt;35,BY55+BX56-CG55,IF(A56&lt;'Données projet'!$A$114,$BV$205^A56,IF(A56='Données projet'!$A$114,'Données projet'!$B$114,BY55+BX56-CG55)))</f>
        <v>94.422150486826368</v>
      </c>
      <c r="BZ56" s="13">
        <f>BY56*VLOOKUP('Données projet'!$B$12,Paramètres!$A$1:$I$89,3,0)*VLOOKUP('Données projet'!$B$12,Paramètres!$A$1:$I$89,5,0)</f>
        <v>103.1089883316144</v>
      </c>
      <c r="CA56" s="13">
        <f t="shared" si="39"/>
        <v>27.701346203841776</v>
      </c>
      <c r="CB56" s="20">
        <f t="shared" si="10"/>
        <v>227.82799931591947</v>
      </c>
      <c r="CC56" s="59">
        <f t="shared" si="11"/>
        <v>521.16133264925281</v>
      </c>
      <c r="CD56" s="59">
        <f ca="1">AVERAGE(OFFSET($CC$3,0,0,'Données projet'!$E$12+1,1))-AVERAGE(OFFSET($H$3,0,0,'Données projet'!$E$12+1,1))</f>
        <v>173.63857221119594</v>
      </c>
      <c r="CE56" s="59">
        <f t="shared" si="40"/>
        <v>52.373745617370105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-1.1368683772161603E-13</v>
      </c>
      <c r="O57" s="13">
        <f>N57*VLOOKUP('Données projet'!$B$9,Paramètres!$A$1:$I$89,3,0)*VLOOKUP('Données projet'!$B$9,Paramètres!$A$1:$I$89,5,0)</f>
        <v>-6.7984728957526396E-14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175.34314856709307</v>
      </c>
      <c r="T57" s="59">
        <f t="shared" si="34"/>
        <v>296.28950942251339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9.186382532983302</v>
      </c>
      <c r="AA57" s="21">
        <f>EXP(-LN(2)/25)*AA56+(1-EXP(-LN(2)/25))/(LN(2)/25)*Calculateur!V57*Calculateur!X57*VLOOKUP('Données projet'!$B$9,Paramètres!$A$1:$I$89,3,0)*0.475*44/12</f>
        <v>9.6460629291185445</v>
      </c>
      <c r="AB57" s="21">
        <f>EXP(-LN(2)/2)*AB56+(1-EXP(-LN(2)/2))/(LN(2)/2)*V57*Y57*VLOOKUP('Données projet'!$B$9,Paramètres!$A$1:$I$89,3,0)*0.475*44/12</f>
        <v>6.2533066466548715E-4</v>
      </c>
      <c r="AC57" s="22">
        <f t="shared" si="3"/>
        <v>18.83307079276651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7.2</v>
      </c>
      <c r="AI57" s="13">
        <f>IF('Données projet'!$A$62&gt;35,AI56+AH57-AQ56,IF(A57&lt;'Données projet'!$A$62,$AF$205^A57,IF(A57='Données projet'!$A$62,'Données projet'!$B$62,AI56+AH57-AQ56)))</f>
        <v>177.79999999999998</v>
      </c>
      <c r="AJ57" s="13">
        <f>AI57*VLOOKUP('Données projet'!$B$10,Paramètres!$A$1:$I$89,3,0)*VLOOKUP('Données projet'!$B$10,Paramètres!$A$1:$I$89,5,0)</f>
        <v>149.77871999999999</v>
      </c>
      <c r="AK57" s="13">
        <f t="shared" si="35"/>
        <v>38.528294627003653</v>
      </c>
      <c r="AL57" s="20">
        <f t="shared" si="4"/>
        <v>327.96805047536463</v>
      </c>
      <c r="AM57" s="59">
        <f t="shared" si="5"/>
        <v>621.30138380869789</v>
      </c>
      <c r="AN57" s="59">
        <f ca="1">AVERAGE(OFFSET($AM$3,0,0,'Données projet'!$E$10+1,1))-AVERAGE(OFFSET($H$3,0,0,'Données projet'!$E$10+1,1))</f>
        <v>247.67539667223065</v>
      </c>
      <c r="AO57" s="59">
        <f t="shared" si="36"/>
        <v>174.54442616983778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0.79664224720689902</v>
      </c>
      <c r="AV57" s="21">
        <f>EXP(-LN(2)/25)*AV56+(1-EXP(-LN(2)/25))/(LN(2)/25)*Calculateur!AQ57*Calculateur!AS57*VLOOKUP('Données projet'!$B$10,Paramètres!$A$1:$I$89,3,0)*0.475*44/12</f>
        <v>3.3798488718530257</v>
      </c>
      <c r="AW57" s="21">
        <f>EXP(-LN(2)/2)*AW56+(1-EXP(-LN(2)/2))/(LN(2)/2)*AQ57*AT57*VLOOKUP('Données projet'!$B$10,Paramètres!$A$1:$I$89,3,0)*0.475*44/12</f>
        <v>2.8109900636742566E-3</v>
      </c>
      <c r="AX57" s="21">
        <f t="shared" si="6"/>
        <v>4.1793021091235989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6.3942307692307665</v>
      </c>
      <c r="BD57" s="12">
        <f>IF('Données projet'!$A$88&gt;35,BD56+BC57-BL56,IF(A57&lt;'Données projet'!$A$88,$BA$205^A57,IF(A57='Données projet'!$A$88,'Données projet'!$B$88,BD56+BC57-BL56)))</f>
        <v>127.28525641025638</v>
      </c>
      <c r="BE57" s="13">
        <f>BD57*VLOOKUP('Données projet'!$B$11,Paramètres!$A$1:$I$89,3,0)*VLOOKUP('Données projet'!$B$11,Paramètres!$A$1:$I$89,5,0)</f>
        <v>127.08159999999998</v>
      </c>
      <c r="BF57" s="13">
        <f t="shared" si="37"/>
        <v>33.321114252058038</v>
      </c>
      <c r="BG57" s="20">
        <f t="shared" si="7"/>
        <v>279.36806065566765</v>
      </c>
      <c r="BH57" s="59">
        <f t="shared" si="8"/>
        <v>572.70139398900096</v>
      </c>
      <c r="BI57" s="59">
        <f ca="1">AVERAGE(OFFSET($BH$3,0,0,'Données projet'!$E$11+1,1))-AVERAGE(OFFSET($H$3,0,0,'Données projet'!$E$11+1,1))</f>
        <v>245.06609107649069</v>
      </c>
      <c r="BJ57" s="59">
        <f t="shared" si="38"/>
        <v>156.24531945456499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16.773088934527948</v>
      </c>
      <c r="BQ57" s="21">
        <f>EXP(-LN(2)/25)*BQ56+(1-EXP(-LN(2)/25))/(LN(2)/25)*Calculateur!BL57*Calculateur!BN57*VLOOKUP('Données projet'!$B$11,Paramètres!$A$1:$I$89,3,0)*0.475*44/12</f>
        <v>11.84125887942333</v>
      </c>
      <c r="BR57" s="21">
        <f>EXP(-LN(2)/2)*BR56+(1-EXP(-LN(2)/2))/(LN(2)/2)*BL57*BO57*VLOOKUP('Données projet'!$B$11,Paramètres!$A$1:$I$89,3,0)*0.475*44/12</f>
        <v>4.33431500378477</v>
      </c>
      <c r="BS57" s="22">
        <f t="shared" si="9"/>
        <v>32.94866281773605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2.9265002849096136</v>
      </c>
      <c r="BY57" s="12">
        <f>IF('Données projet'!$A$114&gt;35,BY56+BX57-CG56,IF(A57&lt;'Données projet'!$A$114,$BV$205^A57,IF(A57='Données projet'!$A$114,'Données projet'!$B$114,BY56+BX57-CG56)))</f>
        <v>97.348650771735976</v>
      </c>
      <c r="BZ57" s="13">
        <f>BY57*VLOOKUP('Données projet'!$B$12,Paramètres!$A$1:$I$89,3,0)*VLOOKUP('Données projet'!$B$12,Paramètres!$A$1:$I$89,5,0)</f>
        <v>106.30472664273567</v>
      </c>
      <c r="CA57" s="13">
        <f t="shared" si="39"/>
        <v>28.458625471608368</v>
      </c>
      <c r="CB57" s="20">
        <f t="shared" si="10"/>
        <v>234.71283826581586</v>
      </c>
      <c r="CC57" s="59">
        <f t="shared" si="11"/>
        <v>528.04617159914915</v>
      </c>
      <c r="CD57" s="59">
        <f ca="1">AVERAGE(OFFSET($CC$3,0,0,'Données projet'!$E$12+1,1))-AVERAGE(OFFSET($H$3,0,0,'Données projet'!$E$12+1,1))</f>
        <v>173.63857221119594</v>
      </c>
      <c r="CE57" s="59">
        <f t="shared" si="40"/>
        <v>52.373745617370105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-1.1368683772161603E-13</v>
      </c>
      <c r="O58" s="13">
        <f>N58*VLOOKUP('Données projet'!$B$9,Paramètres!$A$1:$I$89,3,0)*VLOOKUP('Données projet'!$B$9,Paramètres!$A$1:$I$89,5,0)</f>
        <v>-6.7984728957526396E-14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175.34314856709307</v>
      </c>
      <c r="T58" s="59">
        <f t="shared" si="34"/>
        <v>296.28950942251339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9.0062431746515799</v>
      </c>
      <c r="AA58" s="21">
        <f>EXP(-LN(2)/25)*AA57+(1-EXP(-LN(2)/25))/(LN(2)/25)*Calculateur!V58*Calculateur!X58*VLOOKUP('Données projet'!$B$9,Paramètres!$A$1:$I$89,3,0)*0.475*44/12</f>
        <v>9.3822908310573947</v>
      </c>
      <c r="AB58" s="21">
        <f>EXP(-LN(2)/2)*AB57+(1-EXP(-LN(2)/2))/(LN(2)/2)*V58*Y58*VLOOKUP('Données projet'!$B$9,Paramètres!$A$1:$I$89,3,0)*0.475*44/12</f>
        <v>4.4217555346885695E-4</v>
      </c>
      <c r="AC58" s="22">
        <f t="shared" si="3"/>
        <v>18.388976181262446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7.2</v>
      </c>
      <c r="AI58" s="13">
        <f>IF('Données projet'!$A$62&gt;35,AI57+AH58-AQ57,IF(A58&lt;'Données projet'!$A$62,$AF$205^A58,IF(A58='Données projet'!$A$62,'Données projet'!$B$62,AI57+AH58-AQ57)))</f>
        <v>184.99999999999997</v>
      </c>
      <c r="AJ58" s="13">
        <f>AI58*VLOOKUP('Données projet'!$B$10,Paramètres!$A$1:$I$89,3,0)*VLOOKUP('Données projet'!$B$10,Paramètres!$A$1:$I$89,5,0)</f>
        <v>155.84399999999999</v>
      </c>
      <c r="AK58" s="13">
        <f t="shared" si="35"/>
        <v>39.903687010744221</v>
      </c>
      <c r="AL58" s="20">
        <f t="shared" si="4"/>
        <v>340.92722154371285</v>
      </c>
      <c r="AM58" s="59">
        <f t="shared" si="5"/>
        <v>634.26055487704616</v>
      </c>
      <c r="AN58" s="59">
        <f ca="1">AVERAGE(OFFSET($AM$3,0,0,'Données projet'!$E$10+1,1))-AVERAGE(OFFSET($H$3,0,0,'Données projet'!$E$10+1,1))</f>
        <v>247.67539667223065</v>
      </c>
      <c r="AO58" s="59">
        <f t="shared" si="36"/>
        <v>174.54442616983778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0.78102057864296348</v>
      </c>
      <c r="AV58" s="21">
        <f>EXP(-LN(2)/25)*AV57+(1-EXP(-LN(2)/25))/(LN(2)/25)*Calculateur!AQ58*Calculateur!AS58*VLOOKUP('Données projet'!$B$10,Paramètres!$A$1:$I$89,3,0)*0.475*44/12</f>
        <v>3.2874267267136772</v>
      </c>
      <c r="AW58" s="21">
        <f>EXP(-LN(2)/2)*AW57+(1-EXP(-LN(2)/2))/(LN(2)/2)*AQ58*AT58*VLOOKUP('Données projet'!$B$10,Paramètres!$A$1:$I$89,3,0)*0.475*44/12</f>
        <v>1.9876701358720718E-3</v>
      </c>
      <c r="AX58" s="21">
        <f t="shared" si="6"/>
        <v>4.0704349754925122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6.3942307692307665</v>
      </c>
      <c r="BD58" s="12">
        <f>IF('Données projet'!$A$88&gt;35,BD57+BC58-BL57,IF(A58&lt;'Données projet'!$A$88,$BA$205^A58,IF(A58='Données projet'!$A$88,'Données projet'!$B$88,BD57+BC58-BL57)))</f>
        <v>133.67948717948715</v>
      </c>
      <c r="BE58" s="13">
        <f>BD58*VLOOKUP('Données projet'!$B$11,Paramètres!$A$1:$I$89,3,0)*VLOOKUP('Données projet'!$B$11,Paramètres!$A$1:$I$89,5,0)</f>
        <v>133.46559999999999</v>
      </c>
      <c r="BF58" s="13">
        <f t="shared" si="37"/>
        <v>34.795927437889411</v>
      </c>
      <c r="BG58" s="20">
        <f t="shared" si="7"/>
        <v>293.05549362099072</v>
      </c>
      <c r="BH58" s="59">
        <f t="shared" si="8"/>
        <v>586.38882695432403</v>
      </c>
      <c r="BI58" s="59">
        <f ca="1">AVERAGE(OFFSET($BH$3,0,0,'Données projet'!$E$11+1,1))-AVERAGE(OFFSET($H$3,0,0,'Données projet'!$E$11+1,1))</f>
        <v>245.06609107649069</v>
      </c>
      <c r="BJ58" s="59">
        <f t="shared" si="38"/>
        <v>156.24531945456499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16.44417889109592</v>
      </c>
      <c r="BQ58" s="21">
        <f>EXP(-LN(2)/25)*BQ57+(1-EXP(-LN(2)/25))/(LN(2)/25)*Calculateur!BL58*Calculateur!BN58*VLOOKUP('Données projet'!$B$11,Paramètres!$A$1:$I$89,3,0)*0.475*44/12</f>
        <v>11.517459032660758</v>
      </c>
      <c r="BR58" s="21">
        <f>EXP(-LN(2)/2)*BR57+(1-EXP(-LN(2)/2))/(LN(2)/2)*BL58*BO58*VLOOKUP('Données projet'!$B$11,Paramètres!$A$1:$I$89,3,0)*0.475*44/12</f>
        <v>3.0648235309748073</v>
      </c>
      <c r="BS58" s="22">
        <f t="shared" si="9"/>
        <v>31.026461454731482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2.9265002849096136</v>
      </c>
      <c r="BY58" s="12">
        <f>IF('Données projet'!$A$114&gt;35,BY57+BX58-CG57,IF(A58&lt;'Données projet'!$A$114,$BV$205^A58,IF(A58='Données projet'!$A$114,'Données projet'!$B$114,BY57+BX58-CG57)))</f>
        <v>100.27515105664558</v>
      </c>
      <c r="BZ58" s="13">
        <f>BY58*VLOOKUP('Données projet'!$B$12,Paramètres!$A$1:$I$89,3,0)*VLOOKUP('Données projet'!$B$12,Paramètres!$A$1:$I$89,5,0)</f>
        <v>109.50046495385698</v>
      </c>
      <c r="CA58" s="13">
        <f t="shared" si="39"/>
        <v>29.213259060210348</v>
      </c>
      <c r="CB58" s="20">
        <f t="shared" si="10"/>
        <v>241.59306932450059</v>
      </c>
      <c r="CC58" s="59">
        <f t="shared" si="11"/>
        <v>534.92640265783393</v>
      </c>
      <c r="CD58" s="59">
        <f ca="1">AVERAGE(OFFSET($CC$3,0,0,'Données projet'!$E$12+1,1))-AVERAGE(OFFSET($H$3,0,0,'Données projet'!$E$12+1,1))</f>
        <v>173.63857221119594</v>
      </c>
      <c r="CE58" s="59">
        <f t="shared" si="40"/>
        <v>52.373745617370105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-1.1368683772161603E-13</v>
      </c>
      <c r="O59" s="13">
        <f>N59*VLOOKUP('Données projet'!$B$9,Paramètres!$A$1:$I$89,3,0)*VLOOKUP('Données projet'!$B$9,Paramètres!$A$1:$I$89,5,0)</f>
        <v>-6.7984728957526396E-14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175.34314856709307</v>
      </c>
      <c r="T59" s="59">
        <f t="shared" si="34"/>
        <v>296.28950942251339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8.8296362392625838</v>
      </c>
      <c r="AA59" s="21">
        <f>EXP(-LN(2)/25)*AA58+(1-EXP(-LN(2)/25))/(LN(2)/25)*Calculateur!V59*Calculateur!X59*VLOOKUP('Données projet'!$B$9,Paramètres!$A$1:$I$89,3,0)*0.475*44/12</f>
        <v>9.1257315948888991</v>
      </c>
      <c r="AB59" s="21">
        <f>EXP(-LN(2)/2)*AB58+(1-EXP(-LN(2)/2))/(LN(2)/2)*V59*Y59*VLOOKUP('Données projet'!$B$9,Paramètres!$A$1:$I$89,3,0)*0.475*44/12</f>
        <v>3.1266533233274358E-4</v>
      </c>
      <c r="AC59" s="22">
        <f t="shared" si="3"/>
        <v>17.955680499483815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7.2</v>
      </c>
      <c r="AI59" s="13">
        <f>IF('Données projet'!$A$62&gt;35,AI58+AH59-AQ58,IF(A59&lt;'Données projet'!$A$62,$AF$205^A59,IF(A59='Données projet'!$A$62,'Données projet'!$B$62,AI58+AH59-AQ58)))</f>
        <v>192.19999999999996</v>
      </c>
      <c r="AJ59" s="13">
        <f>AI59*VLOOKUP('Données projet'!$B$10,Paramètres!$A$1:$I$89,3,0)*VLOOKUP('Données projet'!$B$10,Paramètres!$A$1:$I$89,5,0)</f>
        <v>161.90927999999997</v>
      </c>
      <c r="AK59" s="13">
        <f t="shared" si="35"/>
        <v>41.272861077810653</v>
      </c>
      <c r="AL59" s="20">
        <f t="shared" si="4"/>
        <v>353.87556237718678</v>
      </c>
      <c r="AM59" s="59">
        <f t="shared" si="5"/>
        <v>647.2088957105201</v>
      </c>
      <c r="AN59" s="59">
        <f ca="1">AVERAGE(OFFSET($AM$3,0,0,'Données projet'!$E$10+1,1))-AVERAGE(OFFSET($H$3,0,0,'Données projet'!$E$10+1,1))</f>
        <v>247.67539667223065</v>
      </c>
      <c r="AO59" s="59">
        <f t="shared" si="36"/>
        <v>174.54442616983778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0.76570524147128971</v>
      </c>
      <c r="AV59" s="21">
        <f>EXP(-LN(2)/25)*AV58+(1-EXP(-LN(2)/25))/(LN(2)/25)*Calculateur!AQ59*Calculateur!AS59*VLOOKUP('Données projet'!$B$10,Paramètres!$A$1:$I$89,3,0)*0.475*44/12</f>
        <v>3.1975318699934339</v>
      </c>
      <c r="AW59" s="21">
        <f>EXP(-LN(2)/2)*AW58+(1-EXP(-LN(2)/2))/(LN(2)/2)*AQ59*AT59*VLOOKUP('Données projet'!$B$10,Paramètres!$A$1:$I$89,3,0)*0.475*44/12</f>
        <v>1.4054950318371283E-3</v>
      </c>
      <c r="AX59" s="21">
        <f t="shared" si="6"/>
        <v>3.9646426064965605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6.3942307692307665</v>
      </c>
      <c r="BD59" s="12">
        <f>IF('Données projet'!$A$88&gt;35,BD58+BC59-BL58,IF(A59&lt;'Données projet'!$A$88,$BA$205^A59,IF(A59='Données projet'!$A$88,'Données projet'!$B$88,BD58+BC59-BL58)))</f>
        <v>140.07371794871793</v>
      </c>
      <c r="BE59" s="13">
        <f>BD59*VLOOKUP('Données projet'!$B$11,Paramètres!$A$1:$I$89,3,0)*VLOOKUP('Données projet'!$B$11,Paramètres!$A$1:$I$89,5,0)</f>
        <v>139.84959999999998</v>
      </c>
      <c r="BF59" s="13">
        <f t="shared" si="37"/>
        <v>36.262548811917263</v>
      </c>
      <c r="BG59" s="20">
        <f t="shared" si="7"/>
        <v>306.72865918075587</v>
      </c>
      <c r="BH59" s="59">
        <f t="shared" si="8"/>
        <v>600.06199251408918</v>
      </c>
      <c r="BI59" s="59">
        <f ca="1">AVERAGE(OFFSET($BH$3,0,0,'Données projet'!$E$11+1,1))-AVERAGE(OFFSET($H$3,0,0,'Données projet'!$E$11+1,1))</f>
        <v>245.06609107649069</v>
      </c>
      <c r="BJ59" s="59">
        <f t="shared" si="38"/>
        <v>156.24531945456499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16.121718573000276</v>
      </c>
      <c r="BQ59" s="21">
        <f>EXP(-LN(2)/25)*BQ58+(1-EXP(-LN(2)/25))/(LN(2)/25)*Calculateur!BL59*Calculateur!BN59*VLOOKUP('Données projet'!$B$11,Paramètres!$A$1:$I$89,3,0)*0.475*44/12</f>
        <v>11.202513509735804</v>
      </c>
      <c r="BR59" s="21">
        <f>EXP(-LN(2)/2)*BR58+(1-EXP(-LN(2)/2))/(LN(2)/2)*BL59*BO59*VLOOKUP('Données projet'!$B$11,Paramètres!$A$1:$I$89,3,0)*0.475*44/12</f>
        <v>2.167157501892385</v>
      </c>
      <c r="BS59" s="22">
        <f t="shared" si="9"/>
        <v>29.491389584628465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2.9265002849096136</v>
      </c>
      <c r="BY59" s="12">
        <f>IF('Données projet'!$A$114&gt;35,BY58+BX59-CG58,IF(A59&lt;'Données projet'!$A$114,$BV$205^A59,IF(A59='Données projet'!$A$114,'Données projet'!$B$114,BY58+BX59-CG58)))</f>
        <v>103.20165134155519</v>
      </c>
      <c r="BZ59" s="13">
        <f>BY59*VLOOKUP('Données projet'!$B$12,Paramètres!$A$1:$I$89,3,0)*VLOOKUP('Données projet'!$B$12,Paramètres!$A$1:$I$89,5,0)</f>
        <v>112.69620326497827</v>
      </c>
      <c r="CA59" s="13">
        <f t="shared" si="39"/>
        <v>29.965333049156314</v>
      </c>
      <c r="CB59" s="20">
        <f t="shared" si="10"/>
        <v>248.46884241378439</v>
      </c>
      <c r="CC59" s="59">
        <f t="shared" si="11"/>
        <v>541.80217574711764</v>
      </c>
      <c r="CD59" s="59">
        <f ca="1">AVERAGE(OFFSET($CC$3,0,0,'Données projet'!$E$12+1,1))-AVERAGE(OFFSET($H$3,0,0,'Données projet'!$E$12+1,1))</f>
        <v>173.63857221119594</v>
      </c>
      <c r="CE59" s="59">
        <f t="shared" si="40"/>
        <v>52.373745617370105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-1.1368683772161603E-13</v>
      </c>
      <c r="O60" s="13">
        <f>N60*VLOOKUP('Données projet'!$B$9,Paramètres!$A$1:$I$89,3,0)*VLOOKUP('Données projet'!$B$9,Paramètres!$A$1:$I$89,5,0)</f>
        <v>-6.7984728957526396E-14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175.34314856709307</v>
      </c>
      <c r="T60" s="59">
        <f t="shared" si="34"/>
        <v>296.28950942251339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8.656492458156972</v>
      </c>
      <c r="AA60" s="21">
        <f>EXP(-LN(2)/25)*AA59+(1-EXP(-LN(2)/25))/(LN(2)/25)*Calculateur!V60*Calculateur!X60*VLOOKUP('Données projet'!$B$9,Paramètres!$A$1:$I$89,3,0)*0.475*44/12</f>
        <v>8.8761879845252949</v>
      </c>
      <c r="AB60" s="21">
        <f>EXP(-LN(2)/2)*AB59+(1-EXP(-LN(2)/2))/(LN(2)/2)*V60*Y60*VLOOKUP('Données projet'!$B$9,Paramètres!$A$1:$I$89,3,0)*0.475*44/12</f>
        <v>2.2108777673442848E-4</v>
      </c>
      <c r="AC60" s="22">
        <f t="shared" si="3"/>
        <v>17.532901530459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7.2</v>
      </c>
      <c r="AI60" s="13">
        <f>IF('Données projet'!$A$62&gt;35,AI59+AH60-AQ59,IF(A60&lt;'Données projet'!$A$62,$AF$205^A60,IF(A60='Données projet'!$A$62,'Données projet'!$B$62,AI59+AH60-AQ59)))</f>
        <v>199.39999999999995</v>
      </c>
      <c r="AJ60" s="13">
        <f>AI60*VLOOKUP('Données projet'!$B$10,Paramètres!$A$1:$I$89,3,0)*VLOOKUP('Données projet'!$B$10,Paramètres!$A$1:$I$89,5,0)</f>
        <v>167.97455999999997</v>
      </c>
      <c r="AK60" s="13">
        <f t="shared" si="35"/>
        <v>42.636076444555371</v>
      </c>
      <c r="AL60" s="20">
        <f t="shared" si="4"/>
        <v>366.81352514093379</v>
      </c>
      <c r="AM60" s="59">
        <f t="shared" si="5"/>
        <v>660.14685847426711</v>
      </c>
      <c r="AN60" s="59">
        <f ca="1">AVERAGE(OFFSET($AM$3,0,0,'Données projet'!$E$10+1,1))-AVERAGE(OFFSET($H$3,0,0,'Données projet'!$E$10+1,1))</f>
        <v>247.67539667223065</v>
      </c>
      <c r="AO60" s="59">
        <f t="shared" si="36"/>
        <v>174.54442616983778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0.75069022872011926</v>
      </c>
      <c r="AV60" s="21">
        <f>EXP(-LN(2)/25)*AV59+(1-EXP(-LN(2)/25))/(LN(2)/25)*Calculateur!AQ60*Calculateur!AS60*VLOOKUP('Données projet'!$B$10,Paramètres!$A$1:$I$89,3,0)*0.475*44/12</f>
        <v>3.1100951928575706</v>
      </c>
      <c r="AW60" s="21">
        <f>EXP(-LN(2)/2)*AW59+(1-EXP(-LN(2)/2))/(LN(2)/2)*AQ60*AT60*VLOOKUP('Données projet'!$B$10,Paramètres!$A$1:$I$89,3,0)*0.475*44/12</f>
        <v>9.9383506793603591E-4</v>
      </c>
      <c r="AX60" s="21">
        <f t="shared" si="6"/>
        <v>3.8617792566456259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6.3942307692307665</v>
      </c>
      <c r="BD60" s="12">
        <f>IF('Données projet'!$A$88&gt;35,BD59+BC60-BL59,IF(A60&lt;'Données projet'!$A$88,$BA$205^A60,IF(A60='Données projet'!$A$88,'Données projet'!$B$88,BD59+BC60-BL59)))</f>
        <v>146.4679487179487</v>
      </c>
      <c r="BE60" s="13">
        <f>BD60*VLOOKUP('Données projet'!$B$11,Paramètres!$A$1:$I$89,3,0)*VLOOKUP('Données projet'!$B$11,Paramètres!$A$1:$I$89,5,0)</f>
        <v>146.2336</v>
      </c>
      <c r="BF60" s="13">
        <f t="shared" si="37"/>
        <v>37.721395038633268</v>
      </c>
      <c r="BG60" s="20">
        <f t="shared" si="7"/>
        <v>320.38828302561961</v>
      </c>
      <c r="BH60" s="59">
        <f t="shared" si="8"/>
        <v>613.72161635895293</v>
      </c>
      <c r="BI60" s="59">
        <f ca="1">AVERAGE(OFFSET($BH$3,0,0,'Données projet'!$E$11+1,1))-AVERAGE(OFFSET($H$3,0,0,'Données projet'!$E$11+1,1))</f>
        <v>245.06609107649069</v>
      </c>
      <c r="BJ60" s="59">
        <f t="shared" si="38"/>
        <v>156.24531945456499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15.805581505061115</v>
      </c>
      <c r="BQ60" s="21">
        <f>EXP(-LN(2)/25)*BQ59+(1-EXP(-LN(2)/25))/(LN(2)/25)*Calculateur!BL60*Calculateur!BN60*VLOOKUP('Données projet'!$B$11,Paramètres!$A$1:$I$89,3,0)*0.475*44/12</f>
        <v>10.896180188697496</v>
      </c>
      <c r="BR60" s="21">
        <f>EXP(-LN(2)/2)*BR59+(1-EXP(-LN(2)/2))/(LN(2)/2)*BL60*BO60*VLOOKUP('Données projet'!$B$11,Paramètres!$A$1:$I$89,3,0)*0.475*44/12</f>
        <v>1.5324117654874037</v>
      </c>
      <c r="BS60" s="22">
        <f t="shared" si="9"/>
        <v>28.234173459246016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2.9265002849096136</v>
      </c>
      <c r="BY60" s="12">
        <f>IF('Données projet'!$A$114&gt;35,BY59+BX60-CG59,IF(A60&lt;'Données projet'!$A$114,$BV$205^A60,IF(A60='Données projet'!$A$114,'Données projet'!$B$114,BY59+BX60-CG59)))</f>
        <v>106.1281516264648</v>
      </c>
      <c r="BZ60" s="13">
        <f>BY60*VLOOKUP('Données projet'!$B$12,Paramètres!$A$1:$I$89,3,0)*VLOOKUP('Données projet'!$B$12,Paramètres!$A$1:$I$89,5,0)</f>
        <v>115.89194157609957</v>
      </c>
      <c r="CA60" s="13">
        <f t="shared" si="39"/>
        <v>30.714928358319565</v>
      </c>
      <c r="CB60" s="20">
        <f t="shared" si="10"/>
        <v>255.34029846911335</v>
      </c>
      <c r="CC60" s="59">
        <f t="shared" si="11"/>
        <v>548.67363180244661</v>
      </c>
      <c r="CD60" s="59">
        <f ca="1">AVERAGE(OFFSET($CC$3,0,0,'Données projet'!$E$12+1,1))-AVERAGE(OFFSET($H$3,0,0,'Données projet'!$E$12+1,1))</f>
        <v>173.63857221119594</v>
      </c>
      <c r="CE60" s="59">
        <f t="shared" si="40"/>
        <v>52.373745617370105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-1.1368683772161603E-13</v>
      </c>
      <c r="O61" s="13">
        <f>N61*VLOOKUP('Données projet'!$B$9,Paramètres!$A$1:$I$89,3,0)*VLOOKUP('Données projet'!$B$9,Paramètres!$A$1:$I$89,5,0)</f>
        <v>-6.7984728957526396E-14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175.34314856709307</v>
      </c>
      <c r="T61" s="59">
        <f t="shared" si="34"/>
        <v>296.28950942251339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8.4867439209915627</v>
      </c>
      <c r="AA61" s="21">
        <f>EXP(-LN(2)/25)*AA60+(1-EXP(-LN(2)/25))/(LN(2)/25)*Calculateur!V61*Calculateur!X61*VLOOKUP('Données projet'!$B$9,Paramètres!$A$1:$I$89,3,0)*0.475*44/12</f>
        <v>8.6334681573100109</v>
      </c>
      <c r="AB61" s="21">
        <f>EXP(-LN(2)/2)*AB60+(1-EXP(-LN(2)/2))/(LN(2)/2)*V61*Y61*VLOOKUP('Données projet'!$B$9,Paramètres!$A$1:$I$89,3,0)*0.475*44/12</f>
        <v>1.5633266616637179E-4</v>
      </c>
      <c r="AC61" s="22">
        <f t="shared" si="3"/>
        <v>17.120368410967739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7.2</v>
      </c>
      <c r="AI61" s="13">
        <f>IF('Données projet'!$A$62&gt;35,AI60+AH61-AQ60,IF(A61&lt;'Données projet'!$A$62,$AF$205^A61,IF(A61='Données projet'!$A$62,'Données projet'!$B$62,AI60+AH61-AQ60)))</f>
        <v>206.59999999999994</v>
      </c>
      <c r="AJ61" s="13">
        <f>AI61*VLOOKUP('Données projet'!$B$10,Paramètres!$A$1:$I$89,3,0)*VLOOKUP('Données projet'!$B$10,Paramètres!$A$1:$I$89,5,0)</f>
        <v>174.03983999999997</v>
      </c>
      <c r="AK61" s="13">
        <f t="shared" si="35"/>
        <v>43.993572916043675</v>
      </c>
      <c r="AL61" s="20">
        <f t="shared" si="4"/>
        <v>379.7415274954426</v>
      </c>
      <c r="AM61" s="59">
        <f t="shared" si="5"/>
        <v>673.07486082877585</v>
      </c>
      <c r="AN61" s="59">
        <f ca="1">AVERAGE(OFFSET($AM$3,0,0,'Données projet'!$E$10+1,1))-AVERAGE(OFFSET($H$3,0,0,'Données projet'!$E$10+1,1))</f>
        <v>247.67539667223065</v>
      </c>
      <c r="AO61" s="59">
        <f t="shared" si="36"/>
        <v>174.54442616983778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0.73596965121074576</v>
      </c>
      <c r="AV61" s="21">
        <f>EXP(-LN(2)/25)*AV60+(1-EXP(-LN(2)/25))/(LN(2)/25)*Calculateur!AQ61*Calculateur!AS61*VLOOKUP('Données projet'!$B$10,Paramètres!$A$1:$I$89,3,0)*0.475*44/12</f>
        <v>3.0250494762560822</v>
      </c>
      <c r="AW61" s="21">
        <f>EXP(-LN(2)/2)*AW60+(1-EXP(-LN(2)/2))/(LN(2)/2)*AQ61*AT61*VLOOKUP('Données projet'!$B$10,Paramètres!$A$1:$I$89,3,0)*0.475*44/12</f>
        <v>7.0274751591856415E-4</v>
      </c>
      <c r="AX61" s="21">
        <f t="shared" si="6"/>
        <v>3.7617218749827463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6.3942307692307665</v>
      </c>
      <c r="BD61" s="12">
        <f>IF('Données projet'!$A$88&gt;35,BD60+BC61-BL60,IF(A61&lt;'Données projet'!$A$88,$BA$205^A61,IF(A61='Données projet'!$A$88,'Données projet'!$B$88,BD60+BC61-BL60)))</f>
        <v>152.86217948717947</v>
      </c>
      <c r="BE61" s="13">
        <f>BD61*VLOOKUP('Données projet'!$B$11,Paramètres!$A$1:$I$89,3,0)*VLOOKUP('Données projet'!$B$11,Paramètres!$A$1:$I$89,5,0)</f>
        <v>152.61760000000001</v>
      </c>
      <c r="BF61" s="13">
        <f t="shared" si="37"/>
        <v>39.172844345367523</v>
      </c>
      <c r="BG61" s="20">
        <f t="shared" si="7"/>
        <v>334.0350239015151</v>
      </c>
      <c r="BH61" s="59">
        <f t="shared" si="8"/>
        <v>627.36835723484842</v>
      </c>
      <c r="BI61" s="59">
        <f ca="1">AVERAGE(OFFSET($BH$3,0,0,'Données projet'!$E$11+1,1))-AVERAGE(OFFSET($H$3,0,0,'Données projet'!$E$11+1,1))</f>
        <v>245.06609107649069</v>
      </c>
      <c r="BJ61" s="59">
        <f t="shared" si="38"/>
        <v>156.24531945456499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15.495643692199669</v>
      </c>
      <c r="BQ61" s="21">
        <f>EXP(-LN(2)/25)*BQ60+(1-EXP(-LN(2)/25))/(LN(2)/25)*Calculateur!BL61*Calculateur!BN61*VLOOKUP('Données projet'!$B$11,Paramètres!$A$1:$I$89,3,0)*0.475*44/12</f>
        <v>10.598223568432351</v>
      </c>
      <c r="BR61" s="21">
        <f>EXP(-LN(2)/2)*BR60+(1-EXP(-LN(2)/2))/(LN(2)/2)*BL61*BO61*VLOOKUP('Données projet'!$B$11,Paramètres!$A$1:$I$89,3,0)*0.475*44/12</f>
        <v>1.0835787509461925</v>
      </c>
      <c r="BS61" s="22">
        <f t="shared" si="9"/>
        <v>27.177446011578212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2.9265002849096136</v>
      </c>
      <c r="BY61" s="12">
        <f>IF('Données projet'!$A$114&gt;35,BY60+BX61-CG60,IF(A61&lt;'Données projet'!$A$114,$BV$205^A61,IF(A61='Données projet'!$A$114,'Données projet'!$B$114,BY60+BX61-CG60)))</f>
        <v>109.05465191137441</v>
      </c>
      <c r="BZ61" s="13">
        <f>BY61*VLOOKUP('Données projet'!$B$12,Paramètres!$A$1:$I$89,3,0)*VLOOKUP('Données projet'!$B$12,Paramètres!$A$1:$I$89,5,0)</f>
        <v>119.08767988722084</v>
      </c>
      <c r="CA61" s="13">
        <f t="shared" si="39"/>
        <v>31.462121190848812</v>
      </c>
      <c r="CB61" s="20">
        <f t="shared" si="10"/>
        <v>262.20757021097137</v>
      </c>
      <c r="CC61" s="59">
        <f t="shared" si="11"/>
        <v>555.54090354430468</v>
      </c>
      <c r="CD61" s="59">
        <f ca="1">AVERAGE(OFFSET($CC$3,0,0,'Données projet'!$E$12+1,1))-AVERAGE(OFFSET($H$3,0,0,'Données projet'!$E$12+1,1))</f>
        <v>173.63857221119594</v>
      </c>
      <c r="CE61" s="59">
        <f t="shared" si="40"/>
        <v>52.373745617370105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-1.1368683772161603E-13</v>
      </c>
      <c r="O62" s="13">
        <f>N62*VLOOKUP('Données projet'!$B$9,Paramètres!$A$1:$I$89,3,0)*VLOOKUP('Données projet'!$B$9,Paramètres!$A$1:$I$89,5,0)</f>
        <v>-6.7984728957526396E-14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175.34314856709307</v>
      </c>
      <c r="T62" s="59">
        <f t="shared" si="34"/>
        <v>296.28950942251339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8.3203240491035828</v>
      </c>
      <c r="AA62" s="21">
        <f>EXP(-LN(2)/25)*AA61+(1-EXP(-LN(2)/25))/(LN(2)/25)*Calculateur!V62*Calculateur!X62*VLOOKUP('Données projet'!$B$9,Paramètres!$A$1:$I$89,3,0)*0.475*44/12</f>
        <v>8.3973855165340101</v>
      </c>
      <c r="AB62" s="21">
        <f>EXP(-LN(2)/2)*AB61+(1-EXP(-LN(2)/2))/(LN(2)/2)*V62*Y62*VLOOKUP('Données projet'!$B$9,Paramètres!$A$1:$I$89,3,0)*0.475*44/12</f>
        <v>1.1054388836721424E-4</v>
      </c>
      <c r="AC62" s="22">
        <f t="shared" si="3"/>
        <v>16.71782010952596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7.2</v>
      </c>
      <c r="AI62" s="13">
        <f>IF('Données projet'!$A$62&gt;35,AI61+AH62-AQ61,IF(A62&lt;'Données projet'!$A$62,$AF$205^A62,IF(A62='Données projet'!$A$62,'Données projet'!$B$62,AI61+AH62-AQ61)))</f>
        <v>213.79999999999993</v>
      </c>
      <c r="AJ62" s="13">
        <f>AI62*VLOOKUP('Données projet'!$B$10,Paramètres!$A$1:$I$89,3,0)*VLOOKUP('Données projet'!$B$10,Paramètres!$A$1:$I$89,5,0)</f>
        <v>180.10511999999997</v>
      </c>
      <c r="AK62" s="13">
        <f t="shared" si="35"/>
        <v>45.345572635110635</v>
      </c>
      <c r="AL62" s="20">
        <f t="shared" si="4"/>
        <v>392.65995633948432</v>
      </c>
      <c r="AM62" s="59">
        <f t="shared" si="5"/>
        <v>685.99328967281758</v>
      </c>
      <c r="AN62" s="59">
        <f ca="1">AVERAGE(OFFSET($AM$3,0,0,'Données projet'!$E$10+1,1))-AVERAGE(OFFSET($H$3,0,0,'Données projet'!$E$10+1,1))</f>
        <v>247.67539667223065</v>
      </c>
      <c r="AO62" s="59">
        <f t="shared" si="36"/>
        <v>174.54442616983778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0.7215377352476654</v>
      </c>
      <c r="AV62" s="21">
        <f>EXP(-LN(2)/25)*AV61+(1-EXP(-LN(2)/25))/(LN(2)/25)*Calculateur!AQ62*Calculateur!AS62*VLOOKUP('Données projet'!$B$10,Paramètres!$A$1:$I$89,3,0)*0.475*44/12</f>
        <v>2.9423293392474217</v>
      </c>
      <c r="AW62" s="21">
        <f>EXP(-LN(2)/2)*AW61+(1-EXP(-LN(2)/2))/(LN(2)/2)*AQ62*AT62*VLOOKUP('Données projet'!$B$10,Paramètres!$A$1:$I$89,3,0)*0.475*44/12</f>
        <v>4.9691753396801795E-4</v>
      </c>
      <c r="AX62" s="21">
        <f t="shared" si="6"/>
        <v>3.6643639920290552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>
        <f>VLOOKUP(A62,'Données projet'!$A$87:$I$107,2,0)</f>
        <v>159.25641025641025</v>
      </c>
      <c r="BB62" s="12">
        <f>VLOOKUP(A62,'Données projet'!$A$87:$I$107,9,0)</f>
        <v>6.3942307692307665</v>
      </c>
      <c r="BC62" s="12">
        <f t="array" ref="BC62">INDEX(BB:BB,MIN(IF(ISNUMBER(BB62:BB258),ROW(BB62:BB258),"")))</f>
        <v>6.3942307692307665</v>
      </c>
      <c r="BD62" s="12">
        <f>IF('Données projet'!$A$88&gt;35,BD61+BC62-BL61,IF(A62&lt;'Données projet'!$A$88,$BA$205^A62,IF(A62='Données projet'!$A$88,'Données projet'!$B$88,BD61+BC62-BL61)))</f>
        <v>159.25641025641025</v>
      </c>
      <c r="BE62" s="13">
        <f>BD62*VLOOKUP('Données projet'!$B$11,Paramètres!$A$1:$I$89,3,0)*VLOOKUP('Données projet'!$B$11,Paramètres!$A$1:$I$89,5,0)</f>
        <v>159.0016</v>
      </c>
      <c r="BF62" s="13">
        <f t="shared" si="37"/>
        <v>40.617241526796484</v>
      </c>
      <c r="BG62" s="20">
        <f t="shared" si="7"/>
        <v>347.66948232583718</v>
      </c>
      <c r="BH62" s="59">
        <f t="shared" si="8"/>
        <v>641.00281565917044</v>
      </c>
      <c r="BI62" s="59">
        <f ca="1">AVERAGE(OFFSET($BH$3,0,0,'Données projet'!$E$11+1,1))-AVERAGE(OFFSET($H$3,0,0,'Données projet'!$E$11+1,1))</f>
        <v>245.06609107649069</v>
      </c>
      <c r="BJ62" s="59">
        <f t="shared" si="38"/>
        <v>156.24531945456499</v>
      </c>
      <c r="BK62" s="15">
        <f>IF(ISNA(VLOOKUP(A62,'Données projet'!$A$87:$I$107,3,0)),0,VLOOKUP(A62,'Données projet'!$A$87:$I$107,3,0))</f>
        <v>3</v>
      </c>
      <c r="BL62" s="15">
        <f>IF(ISNA(VLOOKUP(A62,'Données projet'!$A$87:$I$107,4,0)),0,VLOOKUP(A62,'Données projet'!$A$87:$I$107,4,0))</f>
        <v>38.942307692307693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15.191783570805036</v>
      </c>
      <c r="BQ62" s="21">
        <f>EXP(-LN(2)/25)*BQ61+(1-EXP(-LN(2)/25))/(LN(2)/25)*Calculateur!BL62*Calculateur!BN62*VLOOKUP('Données projet'!$B$11,Paramètres!$A$1:$I$89,3,0)*0.475*44/12</f>
        <v>10.308414587617213</v>
      </c>
      <c r="BR62" s="21">
        <f>EXP(-LN(2)/2)*BR61+(1-EXP(-LN(2)/2))/(LN(2)/2)*BL62*BO62*VLOOKUP('Données projet'!$B$11,Paramètres!$A$1:$I$89,3,0)*0.475*44/12</f>
        <v>0.76620588274370183</v>
      </c>
      <c r="BS62" s="22">
        <f t="shared" si="9"/>
        <v>26.266404041165952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2.9265002849096136</v>
      </c>
      <c r="BY62" s="12">
        <f>IF('Données projet'!$A$114&gt;35,BY61+BX62-CG61,IF(A62&lt;'Données projet'!$A$114,$BV$205^A62,IF(A62='Données projet'!$A$114,'Données projet'!$B$114,BY61+BX62-CG61)))</f>
        <v>111.98115219628401</v>
      </c>
      <c r="BZ62" s="13">
        <f>BY62*VLOOKUP('Données projet'!$B$12,Paramètres!$A$1:$I$89,3,0)*VLOOKUP('Données projet'!$B$12,Paramètres!$A$1:$I$89,5,0)</f>
        <v>122.28341819834215</v>
      </c>
      <c r="CA62" s="13">
        <f t="shared" si="39"/>
        <v>32.206983427199717</v>
      </c>
      <c r="CB62" s="20">
        <f t="shared" si="10"/>
        <v>269.07078283115209</v>
      </c>
      <c r="CC62" s="59">
        <f t="shared" si="11"/>
        <v>562.40411616448546</v>
      </c>
      <c r="CD62" s="59">
        <f ca="1">AVERAGE(OFFSET($CC$3,0,0,'Données projet'!$E$12+1,1))-AVERAGE(OFFSET($H$3,0,0,'Données projet'!$E$12+1,1))</f>
        <v>173.63857221119594</v>
      </c>
      <c r="CE62" s="59">
        <f t="shared" si="40"/>
        <v>52.373745617370105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-1.1368683772161603E-13</v>
      </c>
      <c r="O63" s="13">
        <f>N63*VLOOKUP('Données projet'!$B$9,Paramètres!$A$1:$I$89,3,0)*VLOOKUP('Données projet'!$B$9,Paramètres!$A$1:$I$89,5,0)</f>
        <v>-6.7984728957526396E-14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175.34314856709307</v>
      </c>
      <c r="T63" s="59">
        <f t="shared" si="34"/>
        <v>296.28950942251339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8.1571675693972274</v>
      </c>
      <c r="AA63" s="21">
        <f>EXP(-LN(2)/25)*AA62+(1-EXP(-LN(2)/25))/(LN(2)/25)*Calculateur!V63*Calculateur!X63*VLOOKUP('Données projet'!$B$9,Paramètres!$A$1:$I$89,3,0)*0.475*44/12</f>
        <v>8.167758567985075</v>
      </c>
      <c r="AB63" s="21">
        <f>EXP(-LN(2)/2)*AB62+(1-EXP(-LN(2)/2))/(LN(2)/2)*V63*Y63*VLOOKUP('Données projet'!$B$9,Paramètres!$A$1:$I$89,3,0)*0.475*44/12</f>
        <v>7.8166333083185894E-5</v>
      </c>
      <c r="AC63" s="22">
        <f t="shared" si="3"/>
        <v>16.325004303715385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221</v>
      </c>
      <c r="AG63" s="12">
        <f>VLOOKUP(A63,'Données projet'!$A$61:$I$81,9,0)</f>
        <v>7.2</v>
      </c>
      <c r="AH63" s="12">
        <f t="array" ref="AH63">INDEX(AG:AG,MIN(IF(ISNUMBER(AG63:AG259),ROW(AG63:AG259),"")))</f>
        <v>7.2</v>
      </c>
      <c r="AI63" s="13">
        <f>IF('Données projet'!$A$62&gt;35,AI62+AH63-AQ62,IF(A63&lt;'Données projet'!$A$62,$AF$205^A63,IF(A63='Données projet'!$A$62,'Données projet'!$B$62,AI62+AH63-AQ62)))</f>
        <v>220.99999999999991</v>
      </c>
      <c r="AJ63" s="13">
        <f>AI63*VLOOKUP('Données projet'!$B$10,Paramètres!$A$1:$I$89,3,0)*VLOOKUP('Données projet'!$B$10,Paramètres!$A$1:$I$89,5,0)</f>
        <v>186.17039999999994</v>
      </c>
      <c r="AK63" s="13">
        <f t="shared" si="35"/>
        <v>46.692281933796018</v>
      </c>
      <c r="AL63" s="20">
        <f t="shared" si="4"/>
        <v>405.56917103469459</v>
      </c>
      <c r="AM63" s="59">
        <f t="shared" si="5"/>
        <v>698.90250436802785</v>
      </c>
      <c r="AN63" s="59">
        <f ca="1">AVERAGE(OFFSET($AM$3,0,0,'Données projet'!$E$10+1,1))-AVERAGE(OFFSET($H$3,0,0,'Données projet'!$E$10+1,1))</f>
        <v>247.67539667223065</v>
      </c>
      <c r="AO63" s="59">
        <f t="shared" si="36"/>
        <v>174.54442616983778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44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0.70738882035402151</v>
      </c>
      <c r="AV63" s="21">
        <f>EXP(-LN(2)/25)*AV62+(1-EXP(-LN(2)/25))/(LN(2)/25)*Calculateur!AQ63*Calculateur!AS63*VLOOKUP('Données projet'!$B$10,Paramètres!$A$1:$I$89,3,0)*0.475*44/12</f>
        <v>2.8618711887353259</v>
      </c>
      <c r="AW63" s="21">
        <f>EXP(-LN(2)/2)*AW62+(1-EXP(-LN(2)/2))/(LN(2)/2)*AQ63*AT63*VLOOKUP('Données projet'!$B$10,Paramètres!$A$1:$I$89,3,0)*0.475*44/12</f>
        <v>3.5137375795928207E-4</v>
      </c>
      <c r="AX63" s="21">
        <f t="shared" si="6"/>
        <v>3.5696113828473068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5.9431089743589762</v>
      </c>
      <c r="BD63" s="12">
        <f>IF('Données projet'!$A$88&gt;35,BD62+BC63-BL62,IF(A63&lt;'Données projet'!$A$88,$BA$205^A63,IF(A63='Données projet'!$A$88,'Données projet'!$B$88,BD62+BC63-BL62)))</f>
        <v>126.25721153846153</v>
      </c>
      <c r="BE63" s="13">
        <f>BD63*VLOOKUP('Données projet'!$B$11,Paramètres!$A$1:$I$89,3,0)*VLOOKUP('Données projet'!$B$11,Paramètres!$A$1:$I$89,5,0)</f>
        <v>126.05520000000001</v>
      </c>
      <c r="BF63" s="13">
        <f t="shared" si="37"/>
        <v>33.083203589578794</v>
      </c>
      <c r="BG63" s="20">
        <f t="shared" si="7"/>
        <v>277.16605291851641</v>
      </c>
      <c r="BH63" s="59">
        <f t="shared" si="8"/>
        <v>570.49938625184973</v>
      </c>
      <c r="BI63" s="59">
        <f ca="1">AVERAGE(OFFSET($BH$3,0,0,'Données projet'!$E$11+1,1))-AVERAGE(OFFSET($H$3,0,0,'Données projet'!$E$11+1,1))</f>
        <v>245.06609107649069</v>
      </c>
      <c r="BJ63" s="59">
        <f t="shared" si="38"/>
        <v>156.24531945456499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14.893881961054579</v>
      </c>
      <c r="BQ63" s="21">
        <f>EXP(-LN(2)/25)*BQ62+(1-EXP(-LN(2)/25))/(LN(2)/25)*Calculateur!BL63*Calculateur!BN63*VLOOKUP('Données projet'!$B$11,Paramètres!$A$1:$I$89,3,0)*0.475*44/12</f>
        <v>10.026530448622857</v>
      </c>
      <c r="BR63" s="21">
        <f>EXP(-LN(2)/2)*BR62+(1-EXP(-LN(2)/2))/(LN(2)/2)*BL63*BO63*VLOOKUP('Données projet'!$B$11,Paramètres!$A$1:$I$89,3,0)*0.475*44/12</f>
        <v>0.54178937547309625</v>
      </c>
      <c r="BS63" s="22">
        <f t="shared" si="9"/>
        <v>25.462201785150533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114.90765248119372</v>
      </c>
      <c r="BW63" s="12">
        <f>VLOOKUP(A63,'Données projet'!$A$113:$I$133,9,0)</f>
        <v>2.9265002849096136</v>
      </c>
      <c r="BX63" s="12">
        <f t="array" ref="BX63">INDEX(BW:BW,MIN(IF(ISNUMBER(BW63:BW259),ROW(BW63:BW259),"")))</f>
        <v>2.9265002849096136</v>
      </c>
      <c r="BY63" s="12">
        <f>IF('Données projet'!$A$114&gt;35,BY62+BX63-CG62,IF(A63&lt;'Données projet'!$A$114,$BV$205^A63,IF(A63='Données projet'!$A$114,'Données projet'!$B$114,BY62+BX63-CG62)))</f>
        <v>114.90765248119362</v>
      </c>
      <c r="BZ63" s="13">
        <f>BY63*VLOOKUP('Données projet'!$B$12,Paramètres!$A$1:$I$89,3,0)*VLOOKUP('Données projet'!$B$12,Paramètres!$A$1:$I$89,5,0)</f>
        <v>125.47915650946344</v>
      </c>
      <c r="CA63" s="13">
        <f t="shared" si="39"/>
        <v>32.949582976817283</v>
      </c>
      <c r="CB63" s="20">
        <f t="shared" si="10"/>
        <v>275.93005460527223</v>
      </c>
      <c r="CC63" s="59">
        <f t="shared" si="11"/>
        <v>569.26338793860555</v>
      </c>
      <c r="CD63" s="59">
        <f ca="1">AVERAGE(OFFSET($CC$3,0,0,'Données projet'!$E$12+1,1))-AVERAGE(OFFSET($H$3,0,0,'Données projet'!$E$12+1,1))</f>
        <v>173.63857221119594</v>
      </c>
      <c r="CE63" s="59">
        <f t="shared" si="40"/>
        <v>52.373745617370105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-1.1368683772161603E-13</v>
      </c>
      <c r="O64" s="13">
        <f>N64*VLOOKUP('Données projet'!$B$9,Paramètres!$A$1:$I$89,3,0)*VLOOKUP('Données projet'!$B$9,Paramètres!$A$1:$I$89,5,0)</f>
        <v>-6.7984728957526396E-14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175.34314856709307</v>
      </c>
      <c r="T64" s="59">
        <f t="shared" si="34"/>
        <v>296.28950942251339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7.9972104887422875</v>
      </c>
      <c r="AA64" s="21">
        <f>EXP(-LN(2)/25)*AA63+(1-EXP(-LN(2)/25))/(LN(2)/25)*Calculateur!V64*Calculateur!X64*VLOOKUP('Données projet'!$B$9,Paramètres!$A$1:$I$89,3,0)*0.475*44/12</f>
        <v>7.9444107804197674</v>
      </c>
      <c r="AB64" s="21">
        <f>EXP(-LN(2)/2)*AB63+(1-EXP(-LN(2)/2))/(LN(2)/2)*V64*Y64*VLOOKUP('Données projet'!$B$9,Paramètres!$A$1:$I$89,3,0)*0.475*44/12</f>
        <v>5.5271944183607119E-5</v>
      </c>
      <c r="AC64" s="22">
        <f t="shared" si="3"/>
        <v>15.94167654110624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6.8</v>
      </c>
      <c r="AI64" s="13">
        <f>IF('Données projet'!$A$62&gt;35,AI63+AH64-AQ63,IF(A64&lt;'Données projet'!$A$62,$AF$205^A64,IF(A64='Données projet'!$A$62,'Données projet'!$B$62,AI63+AH64-AQ63)))</f>
        <v>183.79999999999993</v>
      </c>
      <c r="AJ64" s="13">
        <f>AI64*VLOOKUP('Données projet'!$B$10,Paramètres!$A$1:$I$89,3,0)*VLOOKUP('Données projet'!$B$10,Paramètres!$A$1:$I$89,5,0)</f>
        <v>154.83311999999995</v>
      </c>
      <c r="AK64" s="13">
        <f t="shared" si="35"/>
        <v>39.674894097487687</v>
      </c>
      <c r="AL64" s="20">
        <f t="shared" si="4"/>
        <v>338.76812455312427</v>
      </c>
      <c r="AM64" s="59">
        <f t="shared" si="5"/>
        <v>632.10145788645764</v>
      </c>
      <c r="AN64" s="59">
        <f ca="1">AVERAGE(OFFSET($AM$3,0,0,'Données projet'!$E$10+1,1))-AVERAGE(OFFSET($H$3,0,0,'Données projet'!$E$10+1,1))</f>
        <v>247.67539667223065</v>
      </c>
      <c r="AO64" s="59">
        <f t="shared" si="36"/>
        <v>174.54442616983778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0.69351735705145601</v>
      </c>
      <c r="AV64" s="21">
        <f>EXP(-LN(2)/25)*AV63+(1-EXP(-LN(2)/25))/(LN(2)/25)*Calculateur!AQ64*Calculateur!AS64*VLOOKUP('Données projet'!$B$10,Paramètres!$A$1:$I$89,3,0)*0.475*44/12</f>
        <v>2.7836131705800935</v>
      </c>
      <c r="AW64" s="21">
        <f>EXP(-LN(2)/2)*AW63+(1-EXP(-LN(2)/2))/(LN(2)/2)*AQ64*AT64*VLOOKUP('Données projet'!$B$10,Paramètres!$A$1:$I$89,3,0)*0.475*44/12</f>
        <v>2.4845876698400898E-4</v>
      </c>
      <c r="AX64" s="21">
        <f t="shared" si="6"/>
        <v>3.4773789863985334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5.9431089743589762</v>
      </c>
      <c r="BD64" s="12">
        <f>IF('Données projet'!$A$88&gt;35,BD63+BC64-BL63,IF(A64&lt;'Données projet'!$A$88,$BA$205^A64,IF(A64='Données projet'!$A$88,'Données projet'!$B$88,BD63+BC64-BL63)))</f>
        <v>132.2003205128205</v>
      </c>
      <c r="BE64" s="13">
        <f>BD64*VLOOKUP('Données projet'!$B$11,Paramètres!$A$1:$I$89,3,0)*VLOOKUP('Données projet'!$B$11,Paramètres!$A$1:$I$89,5,0)</f>
        <v>131.98879999999997</v>
      </c>
      <c r="BF64" s="13">
        <f t="shared" si="37"/>
        <v>34.455505757842133</v>
      </c>
      <c r="BG64" s="20">
        <f t="shared" si="7"/>
        <v>289.89049919490833</v>
      </c>
      <c r="BH64" s="59">
        <f t="shared" si="8"/>
        <v>583.2238325282417</v>
      </c>
      <c r="BI64" s="59">
        <f ca="1">AVERAGE(OFFSET($BH$3,0,0,'Données projet'!$E$11+1,1))-AVERAGE(OFFSET($H$3,0,0,'Données projet'!$E$11+1,1))</f>
        <v>245.06609107649069</v>
      </c>
      <c r="BJ64" s="59">
        <f t="shared" si="38"/>
        <v>156.24531945456499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14.601822020169287</v>
      </c>
      <c r="BQ64" s="21">
        <f>EXP(-LN(2)/25)*BQ63+(1-EXP(-LN(2)/25))/(LN(2)/25)*Calculateur!BL64*Calculateur!BN64*VLOOKUP('Données projet'!$B$11,Paramètres!$A$1:$I$89,3,0)*0.475*44/12</f>
        <v>9.7523544462329443</v>
      </c>
      <c r="BR64" s="21">
        <f>EXP(-LN(2)/2)*BR63+(1-EXP(-LN(2)/2))/(LN(2)/2)*BL64*BO64*VLOOKUP('Données projet'!$B$11,Paramètres!$A$1:$I$89,3,0)*0.475*44/12</f>
        <v>0.38310294137185091</v>
      </c>
      <c r="BS64" s="22">
        <f t="shared" si="9"/>
        <v>24.737279407774082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3.1453526923383279</v>
      </c>
      <c r="BY64" s="12">
        <f>IF('Données projet'!$A$114&gt;35,BY63+BX64-CG63,IF(A64&lt;'Données projet'!$A$114,$BV$205^A64,IF(A64='Données projet'!$A$114,'Données projet'!$B$114,BY63+BX64-CG63)))</f>
        <v>118.05300517353194</v>
      </c>
      <c r="BZ64" s="13">
        <f>BY64*VLOOKUP('Données projet'!$B$12,Paramètres!$A$1:$I$89,3,0)*VLOOKUP('Données projet'!$B$12,Paramètres!$A$1:$I$89,5,0)</f>
        <v>128.91388164949686</v>
      </c>
      <c r="CA64" s="13">
        <f t="shared" si="39"/>
        <v>33.745266856273027</v>
      </c>
      <c r="CB64" s="20">
        <f t="shared" si="10"/>
        <v>283.29801698088249</v>
      </c>
      <c r="CC64" s="59">
        <f t="shared" si="11"/>
        <v>576.63135031421575</v>
      </c>
      <c r="CD64" s="59">
        <f ca="1">AVERAGE(OFFSET($CC$3,0,0,'Données projet'!$E$12+1,1))-AVERAGE(OFFSET($H$3,0,0,'Données projet'!$E$12+1,1))</f>
        <v>173.63857221119594</v>
      </c>
      <c r="CE64" s="59">
        <f t="shared" si="40"/>
        <v>52.373745617370105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-1.1368683772161603E-13</v>
      </c>
      <c r="O65" s="13">
        <f>N65*VLOOKUP('Données projet'!$B$9,Paramètres!$A$1:$I$89,3,0)*VLOOKUP('Données projet'!$B$9,Paramètres!$A$1:$I$89,5,0)</f>
        <v>-6.7984728957526396E-14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175.34314856709307</v>
      </c>
      <c r="T65" s="59">
        <f t="shared" si="34"/>
        <v>296.28950942251339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7.8403900688748047</v>
      </c>
      <c r="AA65" s="21">
        <f>EXP(-LN(2)/25)*AA64+(1-EXP(-LN(2)/25))/(LN(2)/25)*Calculateur!V65*Calculateur!X65*VLOOKUP('Données projet'!$B$9,Paramètres!$A$1:$I$89,3,0)*0.475*44/12</f>
        <v>7.7271704498507834</v>
      </c>
      <c r="AB65" s="21">
        <f>EXP(-LN(2)/2)*AB64+(1-EXP(-LN(2)/2))/(LN(2)/2)*V65*Y65*VLOOKUP('Données projet'!$B$9,Paramètres!$A$1:$I$89,3,0)*0.475*44/12</f>
        <v>3.9083166541592947E-5</v>
      </c>
      <c r="AC65" s="22">
        <f t="shared" si="3"/>
        <v>15.56759960189213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6.8</v>
      </c>
      <c r="AI65" s="13">
        <f>IF('Données projet'!$A$62&gt;35,AI64+AH65-AQ64,IF(A65&lt;'Données projet'!$A$62,$AF$205^A65,IF(A65='Données projet'!$A$62,'Données projet'!$B$62,AI64+AH65-AQ64)))</f>
        <v>190.59999999999994</v>
      </c>
      <c r="AJ65" s="13">
        <f>AI65*VLOOKUP('Données projet'!$B$10,Paramètres!$A$1:$I$89,3,0)*VLOOKUP('Données projet'!$B$10,Paramètres!$A$1:$I$89,5,0)</f>
        <v>160.56143999999998</v>
      </c>
      <c r="AK65" s="13">
        <f t="shared" si="35"/>
        <v>40.969123937820179</v>
      </c>
      <c r="AL65" s="20">
        <f t="shared" si="4"/>
        <v>350.99906552503671</v>
      </c>
      <c r="AM65" s="59">
        <f t="shared" si="5"/>
        <v>644.33239885836997</v>
      </c>
      <c r="AN65" s="59">
        <f ca="1">AVERAGE(OFFSET($AM$3,0,0,'Données projet'!$E$10+1,1))-AVERAGE(OFFSET($H$3,0,0,'Données projet'!$E$10+1,1))</f>
        <v>247.67539667223065</v>
      </c>
      <c r="AO65" s="59">
        <f t="shared" si="36"/>
        <v>174.54442616983778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0.67991790468349655</v>
      </c>
      <c r="AV65" s="21">
        <f>EXP(-LN(2)/25)*AV64+(1-EXP(-LN(2)/25))/(LN(2)/25)*Calculateur!AQ65*Calculateur!AS65*VLOOKUP('Données projet'!$B$10,Paramètres!$A$1:$I$89,3,0)*0.475*44/12</f>
        <v>2.7074951220467263</v>
      </c>
      <c r="AW65" s="21">
        <f>EXP(-LN(2)/2)*AW64+(1-EXP(-LN(2)/2))/(LN(2)/2)*AQ65*AT65*VLOOKUP('Données projet'!$B$10,Paramètres!$A$1:$I$89,3,0)*0.475*44/12</f>
        <v>1.7568687897964104E-4</v>
      </c>
      <c r="AX65" s="21">
        <f t="shared" si="6"/>
        <v>3.3875887136092024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5.9431089743589762</v>
      </c>
      <c r="BD65" s="12">
        <f>IF('Données projet'!$A$88&gt;35,BD64+BC65-BL64,IF(A65&lt;'Données projet'!$A$88,$BA$205^A65,IF(A65='Données projet'!$A$88,'Données projet'!$B$88,BD64+BC65-BL64)))</f>
        <v>138.14342948717947</v>
      </c>
      <c r="BE65" s="13">
        <f>BD65*VLOOKUP('Données projet'!$B$11,Paramètres!$A$1:$I$89,3,0)*VLOOKUP('Données projet'!$B$11,Paramètres!$A$1:$I$89,5,0)</f>
        <v>137.92240000000001</v>
      </c>
      <c r="BF65" s="13">
        <f t="shared" si="37"/>
        <v>35.820643150082546</v>
      </c>
      <c r="BG65" s="20">
        <f t="shared" si="7"/>
        <v>302.60246681972711</v>
      </c>
      <c r="BH65" s="59">
        <f t="shared" si="8"/>
        <v>595.93580015306043</v>
      </c>
      <c r="BI65" s="59">
        <f ca="1">AVERAGE(OFFSET($BH$3,0,0,'Données projet'!$E$11+1,1))-AVERAGE(OFFSET($H$3,0,0,'Données projet'!$E$11+1,1))</f>
        <v>245.06609107649069</v>
      </c>
      <c r="BJ65" s="59">
        <f t="shared" si="38"/>
        <v>156.24531945456499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14.315489196585782</v>
      </c>
      <c r="BQ65" s="21">
        <f>EXP(-LN(2)/25)*BQ64+(1-EXP(-LN(2)/25))/(LN(2)/25)*Calculateur!BL65*Calculateur!BN65*VLOOKUP('Données projet'!$B$11,Paramètres!$A$1:$I$89,3,0)*0.475*44/12</f>
        <v>9.4856758010466731</v>
      </c>
      <c r="BR65" s="21">
        <f>EXP(-LN(2)/2)*BR64+(1-EXP(-LN(2)/2))/(LN(2)/2)*BL65*BO65*VLOOKUP('Données projet'!$B$11,Paramètres!$A$1:$I$89,3,0)*0.475*44/12</f>
        <v>0.27089468773654812</v>
      </c>
      <c r="BS65" s="22">
        <f t="shared" si="9"/>
        <v>24.072059685369002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3.1453526923383279</v>
      </c>
      <c r="BY65" s="12">
        <f>IF('Données projet'!$A$114&gt;35,BY64+BX65-CG64,IF(A65&lt;'Données projet'!$A$114,$BV$205^A65,IF(A65='Données projet'!$A$114,'Données projet'!$B$114,BY64+BX65-CG64)))</f>
        <v>121.19835786587026</v>
      </c>
      <c r="BZ65" s="13">
        <f>BY65*VLOOKUP('Données projet'!$B$12,Paramètres!$A$1:$I$89,3,0)*VLOOKUP('Données projet'!$B$12,Paramètres!$A$1:$I$89,5,0)</f>
        <v>132.34860678953032</v>
      </c>
      <c r="CA65" s="13">
        <f t="shared" si="39"/>
        <v>34.538486587222245</v>
      </c>
      <c r="CB65" s="20">
        <f t="shared" si="10"/>
        <v>290.66168763117736</v>
      </c>
      <c r="CC65" s="59">
        <f t="shared" si="11"/>
        <v>583.99502096451067</v>
      </c>
      <c r="CD65" s="59">
        <f ca="1">AVERAGE(OFFSET($CC$3,0,0,'Données projet'!$E$12+1,1))-AVERAGE(OFFSET($H$3,0,0,'Données projet'!$E$12+1,1))</f>
        <v>173.63857221119594</v>
      </c>
      <c r="CE65" s="59">
        <f t="shared" si="40"/>
        <v>52.373745617370105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-1.1368683772161603E-13</v>
      </c>
      <c r="O66" s="13">
        <f>N66*VLOOKUP('Données projet'!$B$9,Paramètres!$A$1:$I$89,3,0)*VLOOKUP('Données projet'!$B$9,Paramètres!$A$1:$I$89,5,0)</f>
        <v>-6.7984728957526396E-14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175.34314856709307</v>
      </c>
      <c r="T66" s="59">
        <f t="shared" si="34"/>
        <v>296.28950942251339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7.6866448017899121</v>
      </c>
      <c r="AA66" s="21">
        <f>EXP(-LN(2)/25)*AA65+(1-EXP(-LN(2)/25))/(LN(2)/25)*Calculateur!V66*Calculateur!X66*VLOOKUP('Données projet'!$B$9,Paramètres!$A$1:$I$89,3,0)*0.475*44/12</f>
        <v>7.5158705675453801</v>
      </c>
      <c r="AB66" s="21">
        <f>EXP(-LN(2)/2)*AB65+(1-EXP(-LN(2)/2))/(LN(2)/2)*V66*Y66*VLOOKUP('Données projet'!$B$9,Paramètres!$A$1:$I$89,3,0)*0.475*44/12</f>
        <v>2.763597209180356E-5</v>
      </c>
      <c r="AC66" s="22">
        <f t="shared" si="3"/>
        <v>15.202543005307383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6.8</v>
      </c>
      <c r="AI66" s="13">
        <f>IF('Données projet'!$A$62&gt;35,AI65+AH66-AQ65,IF(A66&lt;'Données projet'!$A$62,$AF$205^A66,IF(A66='Données projet'!$A$62,'Données projet'!$B$62,AI65+AH66-AQ65)))</f>
        <v>197.39999999999995</v>
      </c>
      <c r="AJ66" s="13">
        <f>AI66*VLOOKUP('Données projet'!$B$10,Paramètres!$A$1:$I$89,3,0)*VLOOKUP('Données projet'!$B$10,Paramètres!$A$1:$I$89,5,0)</f>
        <v>166.28975999999997</v>
      </c>
      <c r="AK66" s="13">
        <f t="shared" si="35"/>
        <v>42.257989067732296</v>
      </c>
      <c r="AL66" s="20">
        <f t="shared" si="4"/>
        <v>363.22066295963373</v>
      </c>
      <c r="AM66" s="59">
        <f t="shared" si="5"/>
        <v>656.55399629296699</v>
      </c>
      <c r="AN66" s="59">
        <f ca="1">AVERAGE(OFFSET($AM$3,0,0,'Données projet'!$E$10+1,1))-AVERAGE(OFFSET($H$3,0,0,'Données projet'!$E$10+1,1))</f>
        <v>247.67539667223065</v>
      </c>
      <c r="AO66" s="59">
        <f t="shared" si="36"/>
        <v>174.54442616983778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0.66658512928162594</v>
      </c>
      <c r="AV66" s="21">
        <f>EXP(-LN(2)/25)*AV65+(1-EXP(-LN(2)/25))/(LN(2)/25)*Calculateur!AQ66*Calculateur!AS66*VLOOKUP('Données projet'!$B$10,Paramètres!$A$1:$I$89,3,0)*0.475*44/12</f>
        <v>2.6334585255533782</v>
      </c>
      <c r="AW66" s="21">
        <f>EXP(-LN(2)/2)*AW65+(1-EXP(-LN(2)/2))/(LN(2)/2)*AQ66*AT66*VLOOKUP('Données projet'!$B$10,Paramètres!$A$1:$I$89,3,0)*0.475*44/12</f>
        <v>1.2422938349200449E-4</v>
      </c>
      <c r="AX66" s="21">
        <f t="shared" si="6"/>
        <v>3.3001678842184963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5.9431089743589762</v>
      </c>
      <c r="BD66" s="12">
        <f>IF('Données projet'!$A$88&gt;35,BD65+BC66-BL65,IF(A66&lt;'Données projet'!$A$88,$BA$205^A66,IF(A66='Données projet'!$A$88,'Données projet'!$B$88,BD65+BC66-BL65)))</f>
        <v>144.08653846153845</v>
      </c>
      <c r="BE66" s="13">
        <f>BD66*VLOOKUP('Données projet'!$B$11,Paramètres!$A$1:$I$89,3,0)*VLOOKUP('Données projet'!$B$11,Paramètres!$A$1:$I$89,5,0)</f>
        <v>143.85599999999999</v>
      </c>
      <c r="BF66" s="13">
        <f t="shared" si="37"/>
        <v>37.178959239188295</v>
      </c>
      <c r="BG66" s="20">
        <f t="shared" si="7"/>
        <v>315.30255400825291</v>
      </c>
      <c r="BH66" s="59">
        <f t="shared" si="8"/>
        <v>608.63588734158623</v>
      </c>
      <c r="BI66" s="59">
        <f ca="1">AVERAGE(OFFSET($BH$3,0,0,'Données projet'!$E$11+1,1))-AVERAGE(OFFSET($H$3,0,0,'Données projet'!$E$11+1,1))</f>
        <v>245.06609107649069</v>
      </c>
      <c r="BJ66" s="59">
        <f t="shared" si="38"/>
        <v>156.24531945456499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14.034771185026973</v>
      </c>
      <c r="BQ66" s="21">
        <f>EXP(-LN(2)/25)*BQ65+(1-EXP(-LN(2)/25))/(LN(2)/25)*Calculateur!BL66*Calculateur!BN66*VLOOKUP('Données projet'!$B$11,Paramètres!$A$1:$I$89,3,0)*0.475*44/12</f>
        <v>9.2262894974370404</v>
      </c>
      <c r="BR66" s="21">
        <f>EXP(-LN(2)/2)*BR65+(1-EXP(-LN(2)/2))/(LN(2)/2)*BL66*BO66*VLOOKUP('Données projet'!$B$11,Paramètres!$A$1:$I$89,3,0)*0.475*44/12</f>
        <v>0.19155147068592546</v>
      </c>
      <c r="BS66" s="22">
        <f t="shared" si="9"/>
        <v>23.452612153149939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3.1453526923383279</v>
      </c>
      <c r="BY66" s="12">
        <f>IF('Données projet'!$A$114&gt;35,BY65+BX66-CG65,IF(A66&lt;'Données projet'!$A$114,$BV$205^A66,IF(A66='Données projet'!$A$114,'Données projet'!$B$114,BY65+BX66-CG65)))</f>
        <v>124.34371055820858</v>
      </c>
      <c r="BZ66" s="13">
        <f>BY66*VLOOKUP('Données projet'!$B$12,Paramètres!$A$1:$I$89,3,0)*VLOOKUP('Données projet'!$B$12,Paramètres!$A$1:$I$89,5,0)</f>
        <v>135.78333192956376</v>
      </c>
      <c r="CA66" s="13">
        <f t="shared" si="39"/>
        <v>35.329313471745181</v>
      </c>
      <c r="CB66" s="20">
        <f t="shared" si="10"/>
        <v>298.02119074061312</v>
      </c>
      <c r="CC66" s="59">
        <f t="shared" si="11"/>
        <v>591.35452407394644</v>
      </c>
      <c r="CD66" s="59">
        <f ca="1">AVERAGE(OFFSET($CC$3,0,0,'Données projet'!$E$12+1,1))-AVERAGE(OFFSET($H$3,0,0,'Données projet'!$E$12+1,1))</f>
        <v>173.63857221119594</v>
      </c>
      <c r="CE66" s="59">
        <f t="shared" si="40"/>
        <v>52.373745617370105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0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-1.1368683772161603E-13</v>
      </c>
      <c r="O67" s="13">
        <f>N67*VLOOKUP('Données projet'!$B$9,Paramètres!$A$1:$I$89,3,0)*VLOOKUP('Données projet'!$B$9,Paramètres!$A$1:$I$89,5,0)</f>
        <v>-6.7984728957526396E-14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175.34314856709307</v>
      </c>
      <c r="T67" s="59">
        <f t="shared" si="34"/>
        <v>296.28950942251339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7.5359143856172013</v>
      </c>
      <c r="AA67" s="21">
        <f>EXP(-LN(2)/25)*AA66+(1-EXP(-LN(2)/25))/(LN(2)/25)*Calculateur!V67*Calculateur!X67*VLOOKUP('Données projet'!$B$9,Paramètres!$A$1:$I$89,3,0)*0.475*44/12</f>
        <v>7.3103486916333962</v>
      </c>
      <c r="AB67" s="21">
        <f>EXP(-LN(2)/2)*AB66+(1-EXP(-LN(2)/2))/(LN(2)/2)*V67*Y67*VLOOKUP('Données projet'!$B$9,Paramètres!$A$1:$I$89,3,0)*0.475*44/12</f>
        <v>1.9541583270796473E-5</v>
      </c>
      <c r="AC67" s="22">
        <f t="shared" si="3"/>
        <v>14.846282618833868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6.8</v>
      </c>
      <c r="AI67" s="13">
        <f>IF('Données projet'!$A$62&gt;35,AI66+AH67-AQ66,IF(A67&lt;'Données projet'!$A$62,$AF$205^A67,IF(A67='Données projet'!$A$62,'Données projet'!$B$62,AI66+AH67-AQ66)))</f>
        <v>204.19999999999996</v>
      </c>
      <c r="AJ67" s="13">
        <f>AI67*VLOOKUP('Données projet'!$B$10,Paramètres!$A$1:$I$89,3,0)*VLOOKUP('Données projet'!$B$10,Paramètres!$A$1:$I$89,5,0)</f>
        <v>172.01808</v>
      </c>
      <c r="AK67" s="13">
        <f t="shared" si="35"/>
        <v>43.541695470546316</v>
      </c>
      <c r="AL67" s="20">
        <f t="shared" si="4"/>
        <v>375.43327561120145</v>
      </c>
      <c r="AM67" s="59">
        <f t="shared" si="5"/>
        <v>668.76660894453471</v>
      </c>
      <c r="AN67" s="59">
        <f ca="1">AVERAGE(OFFSET($AM$3,0,0,'Données projet'!$E$10+1,1))-AVERAGE(OFFSET($H$3,0,0,'Données projet'!$E$10+1,1))</f>
        <v>247.67539667223065</v>
      </c>
      <c r="AO67" s="59">
        <f t="shared" si="36"/>
        <v>174.54442616983778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0.65351380147319604</v>
      </c>
      <c r="AV67" s="21">
        <f>EXP(-LN(2)/25)*AV66+(1-EXP(-LN(2)/25))/(LN(2)/25)*Calculateur!AQ67*Calculateur!AS67*VLOOKUP('Données projet'!$B$10,Paramètres!$A$1:$I$89,3,0)*0.475*44/12</f>
        <v>2.5614464636845562</v>
      </c>
      <c r="AW67" s="21">
        <f>EXP(-LN(2)/2)*AW66+(1-EXP(-LN(2)/2))/(LN(2)/2)*AQ67*AT67*VLOOKUP('Données projet'!$B$10,Paramètres!$A$1:$I$89,3,0)*0.475*44/12</f>
        <v>8.7843439489820519E-5</v>
      </c>
      <c r="AX67" s="21">
        <f t="shared" si="6"/>
        <v>3.2150481085972422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5.9431089743589762</v>
      </c>
      <c r="BD67" s="12">
        <f>IF('Données projet'!$A$88&gt;35,BD66+BC67-BL66,IF(A67&lt;'Données projet'!$A$88,$BA$205^A67,IF(A67='Données projet'!$A$88,'Données projet'!$B$88,BD66+BC67-BL66)))</f>
        <v>150.02964743589743</v>
      </c>
      <c r="BE67" s="13">
        <f>BD67*VLOOKUP('Données projet'!$B$11,Paramètres!$A$1:$I$89,3,0)*VLOOKUP('Données projet'!$B$11,Paramètres!$A$1:$I$89,5,0)</f>
        <v>149.78960000000001</v>
      </c>
      <c r="BF67" s="13">
        <f t="shared" si="37"/>
        <v>38.530767560504863</v>
      </c>
      <c r="BG67" s="20">
        <f t="shared" si="7"/>
        <v>327.99130683454598</v>
      </c>
      <c r="BH67" s="59">
        <f t="shared" si="8"/>
        <v>621.32464016787935</v>
      </c>
      <c r="BI67" s="59">
        <f ca="1">AVERAGE(OFFSET($BH$3,0,0,'Données projet'!$E$11+1,1))-AVERAGE(OFFSET($H$3,0,0,'Données projet'!$E$11+1,1))</f>
        <v>245.06609107649069</v>
      </c>
      <c r="BJ67" s="59">
        <f t="shared" si="38"/>
        <v>156.24531945456499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13.75955788245375</v>
      </c>
      <c r="BQ67" s="21">
        <f>EXP(-LN(2)/25)*BQ66+(1-EXP(-LN(2)/25))/(LN(2)/25)*Calculateur!BL67*Calculateur!BN67*VLOOKUP('Données projet'!$B$11,Paramètres!$A$1:$I$89,3,0)*0.475*44/12</f>
        <v>8.9739961259401468</v>
      </c>
      <c r="BR67" s="21">
        <f>EXP(-LN(2)/2)*BR66+(1-EXP(-LN(2)/2))/(LN(2)/2)*BL67*BO67*VLOOKUP('Données projet'!$B$11,Paramètres!$A$1:$I$89,3,0)*0.475*44/12</f>
        <v>0.13544734386827406</v>
      </c>
      <c r="BS67" s="22">
        <f t="shared" si="9"/>
        <v>22.86900135226217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3.1453526923383279</v>
      </c>
      <c r="BY67" s="12">
        <f>IF('Données projet'!$A$114&gt;35,BY66+BX67-CG66,IF(A67&lt;'Données projet'!$A$114,$BV$205^A67,IF(A67='Données projet'!$A$114,'Données projet'!$B$114,BY66+BX67-CG66)))</f>
        <v>127.48906325054691</v>
      </c>
      <c r="BZ67" s="13">
        <f>BY67*VLOOKUP('Données projet'!$B$12,Paramètres!$A$1:$I$89,3,0)*VLOOKUP('Données projet'!$B$12,Paramètres!$A$1:$I$89,5,0)</f>
        <v>139.21805706959722</v>
      </c>
      <c r="CA67" s="13">
        <f t="shared" si="39"/>
        <v>36.117814999105143</v>
      </c>
      <c r="CB67" s="20">
        <f t="shared" si="10"/>
        <v>305.37664385298996</v>
      </c>
      <c r="CC67" s="59">
        <f t="shared" si="11"/>
        <v>598.70997718632327</v>
      </c>
      <c r="CD67" s="59">
        <f ca="1">AVERAGE(OFFSET($CC$3,0,0,'Données projet'!$E$12+1,1))-AVERAGE(OFFSET($H$3,0,0,'Données projet'!$E$12+1,1))</f>
        <v>173.63857221119594</v>
      </c>
      <c r="CE67" s="59">
        <f t="shared" si="40"/>
        <v>52.373745617370105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0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-1.1368683772161603E-13</v>
      </c>
      <c r="O68" s="13">
        <f>N68*VLOOKUP('Données projet'!$B$9,Paramètres!$A$1:$I$89,3,0)*VLOOKUP('Données projet'!$B$9,Paramètres!$A$1:$I$89,5,0)</f>
        <v>-6.7984728957526396E-14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175.34314856709307</v>
      </c>
      <c r="T68" s="59">
        <f t="shared" si="34"/>
        <v>296.28950942251339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7.3881397009691607</v>
      </c>
      <c r="AA68" s="21">
        <f>EXP(-LN(2)/25)*AA67+(1-EXP(-LN(2)/25))/(LN(2)/25)*Calculateur!V68*Calculateur!X68*VLOOKUP('Données projet'!$B$9,Paramètres!$A$1:$I$89,3,0)*0.475*44/12</f>
        <v>7.1104468222261517</v>
      </c>
      <c r="AB68" s="21">
        <f>EXP(-LN(2)/2)*AB67+(1-EXP(-LN(2)/2))/(LN(2)/2)*V68*Y68*VLOOKUP('Données projet'!$B$9,Paramètres!$A$1:$I$89,3,0)*0.475*44/12</f>
        <v>1.381798604590178E-5</v>
      </c>
      <c r="AC68" s="22">
        <f t="shared" ref="AC68:AC131" si="57">SUM(Z68:AB68)</f>
        <v>14.498600341181358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6.8</v>
      </c>
      <c r="AI68" s="13">
        <f>IF('Données projet'!$A$62&gt;35,AI67+AH68-AQ67,IF(A68&lt;'Données projet'!$A$62,$AF$205^A68,IF(A68='Données projet'!$A$62,'Données projet'!$B$62,AI67+AH68-AQ67)))</f>
        <v>210.99999999999997</v>
      </c>
      <c r="AJ68" s="13">
        <f>AI68*VLOOKUP('Données projet'!$B$10,Paramètres!$A$1:$I$89,3,0)*VLOOKUP('Données projet'!$B$10,Paramètres!$A$1:$I$89,5,0)</f>
        <v>177.74639999999999</v>
      </c>
      <c r="AK68" s="13">
        <f t="shared" si="35"/>
        <v>44.820434632332486</v>
      </c>
      <c r="AL68" s="20">
        <f t="shared" ref="AL68:AL131" si="58">(AJ68+AK68)*0.475*44/12</f>
        <v>387.63723698464565</v>
      </c>
      <c r="AM68" s="59">
        <f t="shared" ref="AM68:AM131" si="59">AL68+(AD68+AE68)*44/12</f>
        <v>680.97057031797897</v>
      </c>
      <c r="AN68" s="59">
        <f ca="1">AVERAGE(OFFSET($AM$3,0,0,'Données projet'!$E$10+1,1))-AVERAGE(OFFSET($H$3,0,0,'Données projet'!$E$10+1,1))</f>
        <v>247.67539667223065</v>
      </c>
      <c r="AO68" s="59">
        <f t="shared" si="36"/>
        <v>174.54442616983778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0.6406987944303667</v>
      </c>
      <c r="AV68" s="21">
        <f>EXP(-LN(2)/25)*AV67+(1-EXP(-LN(2)/25))/(LN(2)/25)*Calculateur!AQ68*Calculateur!AS68*VLOOKUP('Données projet'!$B$10,Paramètres!$A$1:$I$89,3,0)*0.475*44/12</f>
        <v>2.4914035754344868</v>
      </c>
      <c r="AW68" s="21">
        <f>EXP(-LN(2)/2)*AW67+(1-EXP(-LN(2)/2))/(LN(2)/2)*AQ68*AT68*VLOOKUP('Données projet'!$B$10,Paramètres!$A$1:$I$89,3,0)*0.475*44/12</f>
        <v>6.2114691746002244E-5</v>
      </c>
      <c r="AX68" s="21">
        <f t="shared" ref="AX68:AX131" si="60">SUM(AU68:AW68)</f>
        <v>3.1321644845565997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5.9431089743589762</v>
      </c>
      <c r="BD68" s="12">
        <f>IF('Données projet'!$A$88&gt;35,BD67+BC68-BL67,IF(A68&lt;'Données projet'!$A$88,$BA$205^A68,IF(A68='Données projet'!$A$88,'Données projet'!$B$88,BD67+BC68-BL67)))</f>
        <v>155.97275641025641</v>
      </c>
      <c r="BE68" s="13">
        <f>BD68*VLOOKUP('Données projet'!$B$11,Paramètres!$A$1:$I$89,3,0)*VLOOKUP('Données projet'!$B$11,Paramètres!$A$1:$I$89,5,0)</f>
        <v>155.72319999999999</v>
      </c>
      <c r="BF68" s="13">
        <f t="shared" si="37"/>
        <v>39.876355403093747</v>
      </c>
      <c r="BG68" s="20">
        <f t="shared" ref="BG68:BG131" si="61">(BE68+BF68)*0.475*44/12</f>
        <v>340.66922566038829</v>
      </c>
      <c r="BH68" s="59">
        <f t="shared" ref="BH68:BH131" si="62">BG68+(AY68+AZ68)*44/12</f>
        <v>634.00255899372155</v>
      </c>
      <c r="BI68" s="59">
        <f ca="1">AVERAGE(OFFSET($BH$3,0,0,'Données projet'!$E$11+1,1))-AVERAGE(OFFSET($H$3,0,0,'Données projet'!$E$11+1,1))</f>
        <v>245.06609107649069</v>
      </c>
      <c r="BJ68" s="59">
        <f t="shared" si="38"/>
        <v>156.24531945456499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13.48974134488045</v>
      </c>
      <c r="BQ68" s="21">
        <f>EXP(-LN(2)/25)*BQ67+(1-EXP(-LN(2)/25))/(LN(2)/25)*Calculateur!BL68*Calculateur!BN68*VLOOKUP('Données projet'!$B$11,Paramètres!$A$1:$I$89,3,0)*0.475*44/12</f>
        <v>8.7286017299543683</v>
      </c>
      <c r="BR68" s="21">
        <f>EXP(-LN(2)/2)*BR67+(1-EXP(-LN(2)/2))/(LN(2)/2)*BL68*BO68*VLOOKUP('Données projet'!$B$11,Paramètres!$A$1:$I$89,3,0)*0.475*44/12</f>
        <v>9.5775735342962728E-2</v>
      </c>
      <c r="BS68" s="22">
        <f t="shared" ref="BS68:BS131" si="63">SUM(BP68:BR68)</f>
        <v>22.314118810177781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3.1453526923383279</v>
      </c>
      <c r="BY68" s="12">
        <f>IF('Données projet'!$A$114&gt;35,BY67+BX68-CG67,IF(A68&lt;'Données projet'!$A$114,$BV$205^A68,IF(A68='Données projet'!$A$114,'Données projet'!$B$114,BY67+BX68-CG67)))</f>
        <v>130.63441594288523</v>
      </c>
      <c r="BZ68" s="13">
        <f>BY68*VLOOKUP('Données projet'!$B$12,Paramètres!$A$1:$I$89,3,0)*VLOOKUP('Données projet'!$B$12,Paramètres!$A$1:$I$89,5,0)</f>
        <v>142.65278220963066</v>
      </c>
      <c r="CA68" s="13">
        <f t="shared" si="39"/>
        <v>36.904055138601535</v>
      </c>
      <c r="CB68" s="20">
        <f t="shared" ref="CB68:CB131" si="64">(BZ68+CA68)*0.475*44/12</f>
        <v>312.72815838150439</v>
      </c>
      <c r="CC68" s="59">
        <f t="shared" ref="CC68:CC131" si="65">CB68+(BT68+BU68)*44/12</f>
        <v>606.06149171483776</v>
      </c>
      <c r="CD68" s="59">
        <f ca="1">AVERAGE(OFFSET($CC$3,0,0,'Données projet'!$E$12+1,1))-AVERAGE(OFFSET($H$3,0,0,'Données projet'!$E$12+1,1))</f>
        <v>173.63857221119594</v>
      </c>
      <c r="CE68" s="59">
        <f t="shared" si="40"/>
        <v>52.373745617370105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0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-1.1368683772161603E-13</v>
      </c>
      <c r="O69" s="13">
        <f>N69*VLOOKUP('Données projet'!$B$9,Paramètres!$A$1:$I$89,3,0)*VLOOKUP('Données projet'!$B$9,Paramètres!$A$1:$I$89,5,0)</f>
        <v>-6.7984728957526396E-14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175.34314856709307</v>
      </c>
      <c r="T69" s="59">
        <f t="shared" ref="T69:T132" si="88">$T$3</f>
        <v>296.28950942251339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7.2432627877534106</v>
      </c>
      <c r="AA69" s="21">
        <f>EXP(-LN(2)/25)*AA68+(1-EXP(-LN(2)/25))/(LN(2)/25)*Calculateur!V69*Calculateur!X69*VLOOKUP('Données projet'!$B$9,Paramètres!$A$1:$I$89,3,0)*0.475*44/12</f>
        <v>6.9160112799502302</v>
      </c>
      <c r="AB69" s="21">
        <f>EXP(-LN(2)/2)*AB68+(1-EXP(-LN(2)/2))/(LN(2)/2)*V69*Y69*VLOOKUP('Données projet'!$B$9,Paramètres!$A$1:$I$89,3,0)*0.475*44/12</f>
        <v>9.7707916353982367E-6</v>
      </c>
      <c r="AC69" s="22">
        <f t="shared" si="57"/>
        <v>14.159283838495277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6.8</v>
      </c>
      <c r="AI69" s="13">
        <f>IF('Données projet'!$A$62&gt;35,AI68+AH69-AQ68,IF(A69&lt;'Données projet'!$A$62,$AF$205^A69,IF(A69='Données projet'!$A$62,'Données projet'!$B$62,AI68+AH69-AQ68)))</f>
        <v>217.79999999999998</v>
      </c>
      <c r="AJ69" s="13">
        <f>AI69*VLOOKUP('Données projet'!$B$10,Paramètres!$A$1:$I$89,3,0)*VLOOKUP('Données projet'!$B$10,Paramètres!$A$1:$I$89,5,0)</f>
        <v>183.47471999999999</v>
      </c>
      <c r="AK69" s="13">
        <f t="shared" ref="AK69:AK132" si="89">EXP(-1.0587+0.8836*LN(AJ69)+0.284)</f>
        <v>46.094384996221784</v>
      </c>
      <c r="AL69" s="20">
        <f t="shared" si="58"/>
        <v>399.83285786841952</v>
      </c>
      <c r="AM69" s="59">
        <f t="shared" si="59"/>
        <v>693.16619120175278</v>
      </c>
      <c r="AN69" s="59">
        <f ca="1">AVERAGE(OFFSET($AM$3,0,0,'Données projet'!$E$10+1,1))-AVERAGE(OFFSET($H$3,0,0,'Données projet'!$E$10+1,1))</f>
        <v>247.67539667223065</v>
      </c>
      <c r="AO69" s="59">
        <f t="shared" ref="AO69:AO132" si="90">$AO$3</f>
        <v>174.54442616983778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0.6281350818592647</v>
      </c>
      <c r="AV69" s="21">
        <f>EXP(-LN(2)/25)*AV68+(1-EXP(-LN(2)/25))/(LN(2)/25)*Calculateur!AQ69*Calculateur!AS69*VLOOKUP('Données projet'!$B$10,Paramètres!$A$1:$I$89,3,0)*0.475*44/12</f>
        <v>2.4232760136470111</v>
      </c>
      <c r="AW69" s="21">
        <f>EXP(-LN(2)/2)*AW68+(1-EXP(-LN(2)/2))/(LN(2)/2)*AQ69*AT69*VLOOKUP('Données projet'!$B$10,Paramètres!$A$1:$I$89,3,0)*0.475*44/12</f>
        <v>4.3921719744910259E-5</v>
      </c>
      <c r="AX69" s="21">
        <f t="shared" si="60"/>
        <v>3.0514550172260204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5.9431089743589762</v>
      </c>
      <c r="BD69" s="12">
        <f>IF('Données projet'!$A$88&gt;35,BD68+BC69-BL68,IF(A69&lt;'Données projet'!$A$88,$BA$205^A69,IF(A69='Données projet'!$A$88,'Données projet'!$B$88,BD68+BC69-BL68)))</f>
        <v>161.91586538461539</v>
      </c>
      <c r="BE69" s="13">
        <f>BD69*VLOOKUP('Données projet'!$B$11,Paramètres!$A$1:$I$89,3,0)*VLOOKUP('Données projet'!$B$11,Paramètres!$A$1:$I$89,5,0)</f>
        <v>161.65680000000003</v>
      </c>
      <c r="BF69" s="13">
        <f t="shared" ref="BF69:BF132" si="91">EXP(-1.0587+0.8836*LN(BE69)+0.284)</f>
        <v>41.215986922570139</v>
      </c>
      <c r="BG69" s="20">
        <f t="shared" si="61"/>
        <v>353.33677055680977</v>
      </c>
      <c r="BH69" s="59">
        <f t="shared" si="62"/>
        <v>646.67010389014308</v>
      </c>
      <c r="BI69" s="59">
        <f ca="1">AVERAGE(OFFSET($BH$3,0,0,'Données projet'!$E$11+1,1))-AVERAGE(OFFSET($H$3,0,0,'Données projet'!$E$11+1,1))</f>
        <v>245.06609107649069</v>
      </c>
      <c r="BJ69" s="59">
        <f t="shared" ref="BJ69:BJ132" si="92">$BJ$3</f>
        <v>156.24531945456499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13.225215745037124</v>
      </c>
      <c r="BQ69" s="21">
        <f>EXP(-LN(2)/25)*BQ68+(1-EXP(-LN(2)/25))/(LN(2)/25)*Calculateur!BL69*Calculateur!BN69*VLOOKUP('Données projet'!$B$11,Paramètres!$A$1:$I$89,3,0)*0.475*44/12</f>
        <v>8.4899176566315511</v>
      </c>
      <c r="BR69" s="21">
        <f>EXP(-LN(2)/2)*BR68+(1-EXP(-LN(2)/2))/(LN(2)/2)*BL69*BO69*VLOOKUP('Données projet'!$B$11,Paramètres!$A$1:$I$89,3,0)*0.475*44/12</f>
        <v>6.7723671934137031E-2</v>
      </c>
      <c r="BS69" s="22">
        <f t="shared" si="63"/>
        <v>21.782857073602809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3.1453526923383279</v>
      </c>
      <c r="BY69" s="12">
        <f>IF('Données projet'!$A$114&gt;35,BY68+BX69-CG68,IF(A69&lt;'Données projet'!$A$114,$BV$205^A69,IF(A69='Données projet'!$A$114,'Données projet'!$B$114,BY68+BX69-CG68)))</f>
        <v>133.77976863522355</v>
      </c>
      <c r="BZ69" s="13">
        <f>BY69*VLOOKUP('Données projet'!$B$12,Paramètres!$A$1:$I$89,3,0)*VLOOKUP('Données projet'!$B$12,Paramètres!$A$1:$I$89,5,0)</f>
        <v>146.08750734966409</v>
      </c>
      <c r="CA69" s="13">
        <f t="shared" ref="CA69:CA132" si="93">EXP(-1.0587+0.8836*LN(BZ69)+0.284)</f>
        <v>37.688094603423856</v>
      </c>
      <c r="CB69" s="20">
        <f t="shared" si="64"/>
        <v>320.07584006829478</v>
      </c>
      <c r="CC69" s="59">
        <f t="shared" si="65"/>
        <v>613.4091734016281</v>
      </c>
      <c r="CD69" s="59">
        <f ca="1">AVERAGE(OFFSET($CC$3,0,0,'Données projet'!$E$12+1,1))-AVERAGE(OFFSET($H$3,0,0,'Données projet'!$E$12+1,1))</f>
        <v>173.63857221119594</v>
      </c>
      <c r="CE69" s="59">
        <f t="shared" ref="CE69:CE132" si="94">$CE$3</f>
        <v>52.373745617370105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0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-1.1368683772161603E-13</v>
      </c>
      <c r="O70" s="13">
        <f>N70*VLOOKUP('Données projet'!$B$9,Paramètres!$A$1:$I$89,3,0)*VLOOKUP('Données projet'!$B$9,Paramètres!$A$1:$I$89,5,0)</f>
        <v>-6.7984728957526396E-14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175.34314856709307</v>
      </c>
      <c r="T70" s="59">
        <f t="shared" si="88"/>
        <v>296.28950942251339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7.1012268224396298</v>
      </c>
      <c r="AA70" s="21">
        <f>EXP(-LN(2)/25)*AA69+(1-EXP(-LN(2)/25))/(LN(2)/25)*Calculateur!V70*Calculateur!X70*VLOOKUP('Données projet'!$B$9,Paramètres!$A$1:$I$89,3,0)*0.475*44/12</f>
        <v>6.726892587802765</v>
      </c>
      <c r="AB70" s="21">
        <f>EXP(-LN(2)/2)*AB69+(1-EXP(-LN(2)/2))/(LN(2)/2)*V70*Y70*VLOOKUP('Données projet'!$B$9,Paramètres!$A$1:$I$89,3,0)*0.475*44/12</f>
        <v>6.9089930229508899E-6</v>
      </c>
      <c r="AC70" s="22">
        <f t="shared" si="57"/>
        <v>13.828126319235416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6.8</v>
      </c>
      <c r="AI70" s="13">
        <f>IF('Données projet'!$A$62&gt;35,AI69+AH70-AQ69,IF(A70&lt;'Données projet'!$A$62,$AF$205^A70,IF(A70='Données projet'!$A$62,'Données projet'!$B$62,AI69+AH70-AQ69)))</f>
        <v>224.6</v>
      </c>
      <c r="AJ70" s="13">
        <f>AI70*VLOOKUP('Données projet'!$B$10,Paramètres!$A$1:$I$89,3,0)*VLOOKUP('Données projet'!$B$10,Paramètres!$A$1:$I$89,5,0)</f>
        <v>189.20304000000002</v>
      </c>
      <c r="AK70" s="13">
        <f t="shared" si="89"/>
        <v>47.363713229994978</v>
      </c>
      <c r="AL70" s="20">
        <f t="shared" si="58"/>
        <v>412.02042854224123</v>
      </c>
      <c r="AM70" s="59">
        <f t="shared" si="59"/>
        <v>705.35376187557449</v>
      </c>
      <c r="AN70" s="59">
        <f ca="1">AVERAGE(OFFSET($AM$3,0,0,'Données projet'!$E$10+1,1))-AVERAGE(OFFSET($H$3,0,0,'Données projet'!$E$10+1,1))</f>
        <v>247.67539667223065</v>
      </c>
      <c r="AO70" s="59">
        <f t="shared" si="90"/>
        <v>174.54442616983778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0.61581773602857404</v>
      </c>
      <c r="AV70" s="21">
        <f>EXP(-LN(2)/25)*AV69+(1-EXP(-LN(2)/25))/(LN(2)/25)*Calculateur!AQ70*Calculateur!AS70*VLOOKUP('Données projet'!$B$10,Paramètres!$A$1:$I$89,3,0)*0.475*44/12</f>
        <v>2.3570114036192864</v>
      </c>
      <c r="AW70" s="21">
        <f>EXP(-LN(2)/2)*AW69+(1-EXP(-LN(2)/2))/(LN(2)/2)*AQ70*AT70*VLOOKUP('Données projet'!$B$10,Paramètres!$A$1:$I$89,3,0)*0.475*44/12</f>
        <v>3.1057345873001122E-5</v>
      </c>
      <c r="AX70" s="21">
        <f t="shared" si="60"/>
        <v>2.9728601969937332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>
        <f>VLOOKUP(A70,'Données projet'!$A$87:$I$107,2,0)</f>
        <v>167.85897435897436</v>
      </c>
      <c r="BB70" s="12">
        <f>VLOOKUP(A70,'Données projet'!$A$87:$I$107,9,0)</f>
        <v>5.9431089743589762</v>
      </c>
      <c r="BC70" s="12">
        <f t="array" ref="BC70">INDEX(BB:BB,MIN(IF(ISNUMBER(BB70:BB266),ROW(BB70:BB266),"")))</f>
        <v>5.9431089743589762</v>
      </c>
      <c r="BD70" s="12">
        <f>IF('Données projet'!$A$88&gt;35,BD69+BC70-BL69,IF(A70&lt;'Données projet'!$A$88,$BA$205^A70,IF(A70='Données projet'!$A$88,'Données projet'!$B$88,BD69+BC70-BL69)))</f>
        <v>167.85897435897436</v>
      </c>
      <c r="BE70" s="13">
        <f>BD70*VLOOKUP('Données projet'!$B$11,Paramètres!$A$1:$I$89,3,0)*VLOOKUP('Données projet'!$B$11,Paramètres!$A$1:$I$89,5,0)</f>
        <v>167.59040000000002</v>
      </c>
      <c r="BF70" s="13">
        <f t="shared" si="91"/>
        <v>42.549905784068002</v>
      </c>
      <c r="BG70" s="20">
        <f t="shared" si="61"/>
        <v>365.99436590725173</v>
      </c>
      <c r="BH70" s="59">
        <f t="shared" si="62"/>
        <v>659.32769924058505</v>
      </c>
      <c r="BI70" s="59">
        <f ca="1">AVERAGE(OFFSET($BH$3,0,0,'Données projet'!$E$11+1,1))-AVERAGE(OFFSET($H$3,0,0,'Données projet'!$E$11+1,1))</f>
        <v>245.06609107649069</v>
      </c>
      <c r="BJ70" s="59">
        <f t="shared" si="92"/>
        <v>156.24531945456499</v>
      </c>
      <c r="BK70" s="15">
        <f>IF(ISNA(VLOOKUP(A70,'Données projet'!$A$87:$I$107,3,0)),0,VLOOKUP(A70,'Données projet'!$A$87:$I$107,3,0))</f>
        <v>4</v>
      </c>
      <c r="BL70" s="15">
        <f>IF(ISNA(VLOOKUP(A70,'Données projet'!$A$87:$I$107,4,0)),0,VLOOKUP(A70,'Données projet'!$A$87:$I$107,4,0))</f>
        <v>31.993589743589741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12.965877330862041</v>
      </c>
      <c r="BQ70" s="21">
        <f>EXP(-LN(2)/25)*BQ69+(1-EXP(-LN(2)/25))/(LN(2)/25)*Calculateur!BL70*Calculateur!BN70*VLOOKUP('Données projet'!$B$11,Paramètres!$A$1:$I$89,3,0)*0.475*44/12</f>
        <v>8.2577604118455952</v>
      </c>
      <c r="BR70" s="21">
        <f>EXP(-LN(2)/2)*BR69+(1-EXP(-LN(2)/2))/(LN(2)/2)*BL70*BO70*VLOOKUP('Données projet'!$B$11,Paramètres!$A$1:$I$89,3,0)*0.475*44/12</f>
        <v>4.7887867671481364E-2</v>
      </c>
      <c r="BS70" s="22">
        <f t="shared" si="63"/>
        <v>21.271525610379118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3.1453526923383279</v>
      </c>
      <c r="BY70" s="12">
        <f>IF('Données projet'!$A$114&gt;35,BY69+BX70-CG69,IF(A70&lt;'Données projet'!$A$114,$BV$205^A70,IF(A70='Données projet'!$A$114,'Données projet'!$B$114,BY69+BX70-CG69)))</f>
        <v>136.92512132756187</v>
      </c>
      <c r="BZ70" s="13">
        <f>BY70*VLOOKUP('Données projet'!$B$12,Paramètres!$A$1:$I$89,3,0)*VLOOKUP('Données projet'!$B$12,Paramètres!$A$1:$I$89,5,0)</f>
        <v>149.52223248969756</v>
      </c>
      <c r="CA70" s="13">
        <f t="shared" si="93"/>
        <v>38.469991088992394</v>
      </c>
      <c r="CB70" s="20">
        <f t="shared" si="64"/>
        <v>327.41978939955169</v>
      </c>
      <c r="CC70" s="59">
        <f t="shared" si="65"/>
        <v>620.753122732885</v>
      </c>
      <c r="CD70" s="59">
        <f ca="1">AVERAGE(OFFSET($CC$3,0,0,'Données projet'!$E$12+1,1))-AVERAGE(OFFSET($H$3,0,0,'Données projet'!$E$12+1,1))</f>
        <v>173.63857221119594</v>
      </c>
      <c r="CE70" s="59">
        <f t="shared" si="94"/>
        <v>52.373745617370105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0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-1.1368683772161603E-13</v>
      </c>
      <c r="O71" s="13">
        <f>N71*VLOOKUP('Données projet'!$B$9,Paramètres!$A$1:$I$89,3,0)*VLOOKUP('Données projet'!$B$9,Paramètres!$A$1:$I$89,5,0)</f>
        <v>-6.7984728957526396E-14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175.34314856709307</v>
      </c>
      <c r="T71" s="59">
        <f t="shared" si="88"/>
        <v>296.28950942251339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6.9619760957722683</v>
      </c>
      <c r="AA71" s="21">
        <f>EXP(-LN(2)/25)*AA70+(1-EXP(-LN(2)/25))/(LN(2)/25)*Calculateur!V71*Calculateur!X71*VLOOKUP('Données projet'!$B$9,Paramètres!$A$1:$I$89,3,0)*0.475*44/12</f>
        <v>6.542945356237392</v>
      </c>
      <c r="AB71" s="21">
        <f>EXP(-LN(2)/2)*AB70+(1-EXP(-LN(2)/2))/(LN(2)/2)*V71*Y71*VLOOKUP('Données projet'!$B$9,Paramètres!$A$1:$I$89,3,0)*0.475*44/12</f>
        <v>4.8853958176991184E-6</v>
      </c>
      <c r="AC71" s="22">
        <f t="shared" si="57"/>
        <v>13.504926337405479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6.8</v>
      </c>
      <c r="AI71" s="13">
        <f>IF('Données projet'!$A$62&gt;35,AI70+AH71-AQ70,IF(A71&lt;'Données projet'!$A$62,$AF$205^A71,IF(A71='Données projet'!$A$62,'Données projet'!$B$62,AI70+AH71-AQ70)))</f>
        <v>231.4</v>
      </c>
      <c r="AJ71" s="13">
        <f>AI71*VLOOKUP('Données projet'!$B$10,Paramètres!$A$1:$I$89,3,0)*VLOOKUP('Données projet'!$B$10,Paramètres!$A$1:$I$89,5,0)</f>
        <v>194.93136000000004</v>
      </c>
      <c r="AK71" s="13">
        <f t="shared" si="89"/>
        <v>48.628575335847394</v>
      </c>
      <c r="AL71" s="20">
        <f t="shared" si="58"/>
        <v>424.20022070993423</v>
      </c>
      <c r="AM71" s="59">
        <f t="shared" si="59"/>
        <v>717.53355404326749</v>
      </c>
      <c r="AN71" s="59">
        <f ca="1">AVERAGE(OFFSET($AM$3,0,0,'Données projet'!$E$10+1,1))-AVERAGE(OFFSET($H$3,0,0,'Données projet'!$E$10+1,1))</f>
        <v>247.67539667223065</v>
      </c>
      <c r="AO71" s="59">
        <f t="shared" si="90"/>
        <v>174.54442616983778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0.6037419258367841</v>
      </c>
      <c r="AV71" s="21">
        <f>EXP(-LN(2)/25)*AV70+(1-EXP(-LN(2)/25))/(LN(2)/25)*Calculateur!AQ71*Calculateur!AS71*VLOOKUP('Données projet'!$B$10,Paramètres!$A$1:$I$89,3,0)*0.475*44/12</f>
        <v>2.2925588028374744</v>
      </c>
      <c r="AW71" s="21">
        <f>EXP(-LN(2)/2)*AW70+(1-EXP(-LN(2)/2))/(LN(2)/2)*AQ71*AT71*VLOOKUP('Données projet'!$B$10,Paramètres!$A$1:$I$89,3,0)*0.475*44/12</f>
        <v>2.196085987245513E-5</v>
      </c>
      <c r="AX71" s="21">
        <f t="shared" si="60"/>
        <v>2.8963226895341307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5.6899038461538431</v>
      </c>
      <c r="BD71" s="12">
        <f>IF('Données projet'!$A$88&gt;35,BD70+BC71-BL70,IF(A71&lt;'Données projet'!$A$88,$BA$205^A71,IF(A71='Données projet'!$A$88,'Données projet'!$B$88,BD70+BC71-BL70)))</f>
        <v>141.55528846153845</v>
      </c>
      <c r="BE71" s="13">
        <f>BD71*VLOOKUP('Données projet'!$B$11,Paramètres!$A$1:$I$89,3,0)*VLOOKUP('Données projet'!$B$11,Paramètres!$A$1:$I$89,5,0)</f>
        <v>141.3288</v>
      </c>
      <c r="BF71" s="13">
        <f t="shared" si="91"/>
        <v>36.601247350248563</v>
      </c>
      <c r="BG71" s="20">
        <f t="shared" si="61"/>
        <v>309.89483246834959</v>
      </c>
      <c r="BH71" s="59">
        <f t="shared" si="62"/>
        <v>603.22816580168296</v>
      </c>
      <c r="BI71" s="59">
        <f ca="1">AVERAGE(OFFSET($BH$3,0,0,'Données projet'!$E$11+1,1))-AVERAGE(OFFSET($H$3,0,0,'Données projet'!$E$11+1,1))</f>
        <v>245.06609107649069</v>
      </c>
      <c r="BJ71" s="59">
        <f t="shared" si="92"/>
        <v>156.24531945456499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12.711624384808118</v>
      </c>
      <c r="BQ71" s="21">
        <f>EXP(-LN(2)/25)*BQ70+(1-EXP(-LN(2)/25))/(LN(2)/25)*Calculateur!BL71*Calculateur!BN71*VLOOKUP('Données projet'!$B$11,Paramètres!$A$1:$I$89,3,0)*0.475*44/12</f>
        <v>8.0319515191269311</v>
      </c>
      <c r="BR71" s="21">
        <f>EXP(-LN(2)/2)*BR70+(1-EXP(-LN(2)/2))/(LN(2)/2)*BL71*BO71*VLOOKUP('Données projet'!$B$11,Paramètres!$A$1:$I$89,3,0)*0.475*44/12</f>
        <v>3.3861835967068515E-2</v>
      </c>
      <c r="BS71" s="22">
        <f t="shared" si="63"/>
        <v>20.777437739902119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3.1453526923383279</v>
      </c>
      <c r="BY71" s="12">
        <f>IF('Données projet'!$A$114&gt;35,BY70+BX71-CG70,IF(A71&lt;'Données projet'!$A$114,$BV$205^A71,IF(A71='Données projet'!$A$114,'Données projet'!$B$114,BY70+BX71-CG70)))</f>
        <v>140.07047401990019</v>
      </c>
      <c r="BZ71" s="13">
        <f>BY71*VLOOKUP('Données projet'!$B$12,Paramètres!$A$1:$I$89,3,0)*VLOOKUP('Données projet'!$B$12,Paramètres!$A$1:$I$89,5,0)</f>
        <v>152.95695762973099</v>
      </c>
      <c r="CA71" s="13">
        <f t="shared" si="93"/>
        <v>39.249799488781449</v>
      </c>
      <c r="CB71" s="20">
        <f t="shared" si="64"/>
        <v>334.76010198140915</v>
      </c>
      <c r="CC71" s="59">
        <f t="shared" si="65"/>
        <v>628.09343531474246</v>
      </c>
      <c r="CD71" s="59">
        <f ca="1">AVERAGE(OFFSET($CC$3,0,0,'Données projet'!$E$12+1,1))-AVERAGE(OFFSET($H$3,0,0,'Données projet'!$E$12+1,1))</f>
        <v>173.63857221119594</v>
      </c>
      <c r="CE71" s="59">
        <f t="shared" si="94"/>
        <v>52.373745617370105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0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-1.1368683772161603E-13</v>
      </c>
      <c r="O72" s="13">
        <f>N72*VLOOKUP('Données projet'!$B$9,Paramètres!$A$1:$I$89,3,0)*VLOOKUP('Données projet'!$B$9,Paramètres!$A$1:$I$89,5,0)</f>
        <v>-6.7984728957526396E-14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175.34314856709307</v>
      </c>
      <c r="T72" s="59">
        <f t="shared" si="88"/>
        <v>296.28950942251339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6.8254559909202968</v>
      </c>
      <c r="AA72" s="21">
        <f>EXP(-LN(2)/25)*AA71+(1-EXP(-LN(2)/25))/(LN(2)/25)*Calculateur!V72*Calculateur!X72*VLOOKUP('Données projet'!$B$9,Paramètres!$A$1:$I$89,3,0)*0.475*44/12</f>
        <v>6.3640281713925386</v>
      </c>
      <c r="AB72" s="21">
        <f>EXP(-LN(2)/2)*AB71+(1-EXP(-LN(2)/2))/(LN(2)/2)*V72*Y72*VLOOKUP('Données projet'!$B$9,Paramètres!$A$1:$I$89,3,0)*0.475*44/12</f>
        <v>3.454496511475445E-6</v>
      </c>
      <c r="AC72" s="22">
        <f t="shared" si="57"/>
        <v>13.189487616809346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6.8</v>
      </c>
      <c r="AI72" s="13">
        <f>IF('Données projet'!$A$62&gt;35,AI71+AH72-AQ71,IF(A72&lt;'Données projet'!$A$62,$AF$205^A72,IF(A72='Données projet'!$A$62,'Données projet'!$B$62,AI71+AH72-AQ71)))</f>
        <v>238.20000000000002</v>
      </c>
      <c r="AJ72" s="13">
        <f>AI72*VLOOKUP('Données projet'!$B$10,Paramètres!$A$1:$I$89,3,0)*VLOOKUP('Données projet'!$B$10,Paramètres!$A$1:$I$89,5,0)</f>
        <v>200.65968000000004</v>
      </c>
      <c r="AK72" s="13">
        <f t="shared" si="89"/>
        <v>49.889117626040878</v>
      </c>
      <c r="AL72" s="20">
        <f t="shared" si="58"/>
        <v>436.3724891986879</v>
      </c>
      <c r="AM72" s="59">
        <f t="shared" si="59"/>
        <v>729.70582253202122</v>
      </c>
      <c r="AN72" s="59">
        <f ca="1">AVERAGE(OFFSET($AM$3,0,0,'Données projet'!$E$10+1,1))-AVERAGE(OFFSET($H$3,0,0,'Données projet'!$E$10+1,1))</f>
        <v>247.67539667223065</v>
      </c>
      <c r="AO72" s="59">
        <f t="shared" si="90"/>
        <v>174.54442616983778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0.59190291491733826</v>
      </c>
      <c r="AV72" s="21">
        <f>EXP(-LN(2)/25)*AV71+(1-EXP(-LN(2)/25))/(LN(2)/25)*Calculateur!AQ72*Calculateur!AS72*VLOOKUP('Données projet'!$B$10,Paramètres!$A$1:$I$89,3,0)*0.475*44/12</f>
        <v>2.2298686618134558</v>
      </c>
      <c r="AW72" s="21">
        <f>EXP(-LN(2)/2)*AW71+(1-EXP(-LN(2)/2))/(LN(2)/2)*AQ72*AT72*VLOOKUP('Données projet'!$B$10,Paramètres!$A$1:$I$89,3,0)*0.475*44/12</f>
        <v>1.5528672936500561E-5</v>
      </c>
      <c r="AX72" s="21">
        <f t="shared" si="60"/>
        <v>2.8217871054037302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5.6899038461538431</v>
      </c>
      <c r="BD72" s="12">
        <f>IF('Données projet'!$A$88&gt;35,BD71+BC72-BL71,IF(A72&lt;'Données projet'!$A$88,$BA$205^A72,IF(A72='Données projet'!$A$88,'Données projet'!$B$88,BD71+BC72-BL71)))</f>
        <v>147.24519230769229</v>
      </c>
      <c r="BE72" s="13">
        <f>BD72*VLOOKUP('Données projet'!$B$11,Paramètres!$A$1:$I$89,3,0)*VLOOKUP('Données projet'!$B$11,Paramètres!$A$1:$I$89,5,0)</f>
        <v>147.00959999999998</v>
      </c>
      <c r="BF72" s="13">
        <f t="shared" si="91"/>
        <v>37.898212079162633</v>
      </c>
      <c r="BG72" s="20">
        <f t="shared" si="61"/>
        <v>322.04777270454156</v>
      </c>
      <c r="BH72" s="59">
        <f t="shared" si="62"/>
        <v>615.38110603787482</v>
      </c>
      <c r="BI72" s="59">
        <f ca="1">AVERAGE(OFFSET($BH$3,0,0,'Données projet'!$E$11+1,1))-AVERAGE(OFFSET($H$3,0,0,'Données projet'!$E$11+1,1))</f>
        <v>245.06609107649069</v>
      </c>
      <c r="BJ72" s="59">
        <f t="shared" si="92"/>
        <v>156.24531945456499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12.462357183947329</v>
      </c>
      <c r="BQ72" s="21">
        <f>EXP(-LN(2)/25)*BQ71+(1-EXP(-LN(2)/25))/(LN(2)/25)*Calculateur!BL72*Calculateur!BN72*VLOOKUP('Données projet'!$B$11,Paramètres!$A$1:$I$89,3,0)*0.475*44/12</f>
        <v>7.8123173824544319</v>
      </c>
      <c r="BR72" s="21">
        <f>EXP(-LN(2)/2)*BR71+(1-EXP(-LN(2)/2))/(LN(2)/2)*BL72*BO72*VLOOKUP('Données projet'!$B$11,Paramètres!$A$1:$I$89,3,0)*0.475*44/12</f>
        <v>2.3943933835740682E-2</v>
      </c>
      <c r="BS72" s="22">
        <f t="shared" si="63"/>
        <v>20.298618500237502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3.1453526923383279</v>
      </c>
      <c r="BY72" s="12">
        <f>IF('Données projet'!$A$114&gt;35,BY71+BX72-CG71,IF(A72&lt;'Données projet'!$A$114,$BV$205^A72,IF(A72='Données projet'!$A$114,'Données projet'!$B$114,BY71+BX72-CG71)))</f>
        <v>143.21582671223851</v>
      </c>
      <c r="BZ72" s="13">
        <f>BY72*VLOOKUP('Données projet'!$B$12,Paramètres!$A$1:$I$89,3,0)*VLOOKUP('Données projet'!$B$12,Paramètres!$A$1:$I$89,5,0)</f>
        <v>156.39168276976446</v>
      </c>
      <c r="CA72" s="13">
        <f t="shared" si="93"/>
        <v>40.027572090210747</v>
      </c>
      <c r="CB72" s="20">
        <f t="shared" si="64"/>
        <v>342.0968688811235</v>
      </c>
      <c r="CC72" s="59">
        <f t="shared" si="65"/>
        <v>635.43020221445681</v>
      </c>
      <c r="CD72" s="59">
        <f ca="1">AVERAGE(OFFSET($CC$3,0,0,'Données projet'!$E$12+1,1))-AVERAGE(OFFSET($H$3,0,0,'Données projet'!$E$12+1,1))</f>
        <v>173.63857221119594</v>
      </c>
      <c r="CE72" s="59">
        <f t="shared" si="94"/>
        <v>52.373745617370105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0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-1.1368683772161603E-13</v>
      </c>
      <c r="O73" s="13">
        <f>N73*VLOOKUP('Données projet'!$B$9,Paramètres!$A$1:$I$89,3,0)*VLOOKUP('Données projet'!$B$9,Paramètres!$A$1:$I$89,5,0)</f>
        <v>-6.7984728957526396E-14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175.34314856709307</v>
      </c>
      <c r="T73" s="59">
        <f t="shared" si="88"/>
        <v>296.28950942251339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6.6916129620554301</v>
      </c>
      <c r="AA73" s="21">
        <f>EXP(-LN(2)/25)*AA72+(1-EXP(-LN(2)/25))/(LN(2)/25)*Calculateur!V73*Calculateur!X73*VLOOKUP('Données projet'!$B$9,Paramètres!$A$1:$I$89,3,0)*0.475*44/12</f>
        <v>6.1900034863761135</v>
      </c>
      <c r="AB73" s="21">
        <f>EXP(-LN(2)/2)*AB72+(1-EXP(-LN(2)/2))/(LN(2)/2)*V73*Y73*VLOOKUP('Données projet'!$B$9,Paramètres!$A$1:$I$89,3,0)*0.475*44/12</f>
        <v>2.4426979088495592E-6</v>
      </c>
      <c r="AC73" s="22">
        <f t="shared" si="57"/>
        <v>12.881618891129452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245</v>
      </c>
      <c r="AG73" s="12">
        <f>VLOOKUP(A73,'Données projet'!$A$61:$I$81,9,0)</f>
        <v>6.8</v>
      </c>
      <c r="AH73" s="12">
        <f t="array" ref="AH73">INDEX(AG:AG,MIN(IF(ISNUMBER(AG73:AG269),ROW(AG73:AG269),"")))</f>
        <v>6.8</v>
      </c>
      <c r="AI73" s="13">
        <f>IF('Données projet'!$A$62&gt;35,AI72+AH73-AQ72,IF(A73&lt;'Données projet'!$A$62,$AF$205^A73,IF(A73='Données projet'!$A$62,'Données projet'!$B$62,AI72+AH73-AQ72)))</f>
        <v>245.00000000000003</v>
      </c>
      <c r="AJ73" s="13">
        <f>AI73*VLOOKUP('Données projet'!$B$10,Paramètres!$A$1:$I$89,3,0)*VLOOKUP('Données projet'!$B$10,Paramètres!$A$1:$I$89,5,0)</f>
        <v>206.38800000000003</v>
      </c>
      <c r="AK73" s="13">
        <f t="shared" si="89"/>
        <v>51.145477584014834</v>
      </c>
      <c r="AL73" s="20">
        <f t="shared" si="58"/>
        <v>448.53747345882584</v>
      </c>
      <c r="AM73" s="59">
        <f t="shared" si="59"/>
        <v>741.8708067921591</v>
      </c>
      <c r="AN73" s="59">
        <f ca="1">AVERAGE(OFFSET($AM$3,0,0,'Données projet'!$E$10+1,1))-AVERAGE(OFFSET($H$3,0,0,'Données projet'!$E$10+1,1))</f>
        <v>247.67539667223065</v>
      </c>
      <c r="AO73" s="59">
        <f t="shared" si="90"/>
        <v>174.54442616983778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44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0.58029605978093912</v>
      </c>
      <c r="AV73" s="21">
        <f>EXP(-LN(2)/25)*AV72+(1-EXP(-LN(2)/25))/(LN(2)/25)*Calculateur!AQ73*Calculateur!AS73*VLOOKUP('Données projet'!$B$10,Paramètres!$A$1:$I$89,3,0)*0.475*44/12</f>
        <v>2.1688927859924703</v>
      </c>
      <c r="AW73" s="21">
        <f>EXP(-LN(2)/2)*AW72+(1-EXP(-LN(2)/2))/(LN(2)/2)*AQ73*AT73*VLOOKUP('Données projet'!$B$10,Paramètres!$A$1:$I$89,3,0)*0.475*44/12</f>
        <v>1.0980429936227565E-5</v>
      </c>
      <c r="AX73" s="21">
        <f t="shared" si="60"/>
        <v>2.7491998262033457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5.6899038461538431</v>
      </c>
      <c r="BD73" s="12">
        <f>IF('Données projet'!$A$88&gt;35,BD72+BC73-BL72,IF(A73&lt;'Données projet'!$A$88,$BA$205^A73,IF(A73='Données projet'!$A$88,'Données projet'!$B$88,BD72+BC73-BL72)))</f>
        <v>152.93509615384613</v>
      </c>
      <c r="BE73" s="13">
        <f>BD73*VLOOKUP('Données projet'!$B$11,Paramètres!$A$1:$I$89,3,0)*VLOOKUP('Données projet'!$B$11,Paramètres!$A$1:$I$89,5,0)</f>
        <v>152.69039999999998</v>
      </c>
      <c r="BF73" s="13">
        <f t="shared" si="91"/>
        <v>39.189354666431989</v>
      </c>
      <c r="BG73" s="20">
        <f t="shared" si="61"/>
        <v>334.19057271070238</v>
      </c>
      <c r="BH73" s="59">
        <f t="shared" si="62"/>
        <v>627.5239060440357</v>
      </c>
      <c r="BI73" s="59">
        <f ca="1">AVERAGE(OFFSET($BH$3,0,0,'Données projet'!$E$11+1,1))-AVERAGE(OFFSET($H$3,0,0,'Données projet'!$E$11+1,1))</f>
        <v>245.06609107649069</v>
      </c>
      <c r="BJ73" s="59">
        <f t="shared" si="92"/>
        <v>156.24531945456499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12.217977960857439</v>
      </c>
      <c r="BQ73" s="21">
        <f>EXP(-LN(2)/25)*BQ72+(1-EXP(-LN(2)/25))/(LN(2)/25)*Calculateur!BL73*Calculateur!BN73*VLOOKUP('Données projet'!$B$11,Paramètres!$A$1:$I$89,3,0)*0.475*44/12</f>
        <v>7.5986891527992997</v>
      </c>
      <c r="BR73" s="21">
        <f>EXP(-LN(2)/2)*BR72+(1-EXP(-LN(2)/2))/(LN(2)/2)*BL73*BO73*VLOOKUP('Données projet'!$B$11,Paramètres!$A$1:$I$89,3,0)*0.475*44/12</f>
        <v>1.6930917983534258E-2</v>
      </c>
      <c r="BS73" s="22">
        <f t="shared" si="63"/>
        <v>19.833598031640271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146.361179404577</v>
      </c>
      <c r="BW73" s="12">
        <f>VLOOKUP(A73,'Données projet'!$A$113:$I$133,9,0)</f>
        <v>3.1453526923383279</v>
      </c>
      <c r="BX73" s="12">
        <f t="array" ref="BX73">INDEX(BW:BW,MIN(IF(ISNUMBER(BW73:BW269),ROW(BW73:BW269),"")))</f>
        <v>3.1453526923383279</v>
      </c>
      <c r="BY73" s="12">
        <f>IF('Données projet'!$A$114&gt;35,BY72+BX73-CG72,IF(A73&lt;'Données projet'!$A$114,$BV$205^A73,IF(A73='Données projet'!$A$114,'Données projet'!$B$114,BY72+BX73-CG72)))</f>
        <v>146.36117940457683</v>
      </c>
      <c r="BZ73" s="13">
        <f>BY73*VLOOKUP('Données projet'!$B$12,Paramètres!$A$1:$I$89,3,0)*VLOOKUP('Données projet'!$B$12,Paramètres!$A$1:$I$89,5,0)</f>
        <v>159.82640790979789</v>
      </c>
      <c r="CA73" s="13">
        <f t="shared" si="93"/>
        <v>40.803358752842179</v>
      </c>
      <c r="CB73" s="20">
        <f t="shared" si="64"/>
        <v>349.43017693743144</v>
      </c>
      <c r="CC73" s="59">
        <f t="shared" si="65"/>
        <v>642.76351027076475</v>
      </c>
      <c r="CD73" s="59">
        <f ca="1">AVERAGE(OFFSET($CC$3,0,0,'Données projet'!$E$12+1,1))-AVERAGE(OFFSET($H$3,0,0,'Données projet'!$E$12+1,1))</f>
        <v>173.63857221119594</v>
      </c>
      <c r="CE73" s="59">
        <f t="shared" si="94"/>
        <v>52.373745617370105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0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-1.1368683772161603E-13</v>
      </c>
      <c r="O74" s="13">
        <f>N74*VLOOKUP('Données projet'!$B$9,Paramètres!$A$1:$I$89,3,0)*VLOOKUP('Données projet'!$B$9,Paramètres!$A$1:$I$89,5,0)</f>
        <v>-6.7984728957526396E-14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175.34314856709307</v>
      </c>
      <c r="T74" s="59">
        <f t="shared" si="88"/>
        <v>296.28950942251339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6.5603945133504169</v>
      </c>
      <c r="AA74" s="21">
        <f>EXP(-LN(2)/25)*AA73+(1-EXP(-LN(2)/25))/(LN(2)/25)*Calculateur!V74*Calculateur!X74*VLOOKUP('Données projet'!$B$9,Paramètres!$A$1:$I$89,3,0)*0.475*44/12</f>
        <v>6.0207375155230229</v>
      </c>
      <c r="AB74" s="21">
        <f>EXP(-LN(2)/2)*AB73+(1-EXP(-LN(2)/2))/(LN(2)/2)*V74*Y74*VLOOKUP('Données projet'!$B$9,Paramètres!$A$1:$I$89,3,0)*0.475*44/12</f>
        <v>1.7272482557377225E-6</v>
      </c>
      <c r="AC74" s="22">
        <f t="shared" si="57"/>
        <v>12.581133756121696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6.4</v>
      </c>
      <c r="AI74" s="13">
        <f>IF('Données projet'!$A$62&gt;35,AI73+AH74-AQ73,IF(A74&lt;'Données projet'!$A$62,$AF$205^A74,IF(A74='Données projet'!$A$62,'Données projet'!$B$62,AI73+AH74-AQ73)))</f>
        <v>207.40000000000003</v>
      </c>
      <c r="AJ74" s="13">
        <f>AI74*VLOOKUP('Données projet'!$B$10,Paramètres!$A$1:$I$89,3,0)*VLOOKUP('Données projet'!$B$10,Paramètres!$A$1:$I$89,5,0)</f>
        <v>174.71376000000004</v>
      </c>
      <c r="AK74" s="13">
        <f t="shared" si="89"/>
        <v>44.144062647515817</v>
      </c>
      <c r="AL74" s="20">
        <f t="shared" si="58"/>
        <v>381.17737444442349</v>
      </c>
      <c r="AM74" s="59">
        <f t="shared" si="59"/>
        <v>674.51070777775681</v>
      </c>
      <c r="AN74" s="59">
        <f ca="1">AVERAGE(OFFSET($AM$3,0,0,'Données projet'!$E$10+1,1))-AVERAGE(OFFSET($H$3,0,0,'Données projet'!$E$10+1,1))</f>
        <v>247.67539667223065</v>
      </c>
      <c r="AO74" s="59">
        <f t="shared" si="90"/>
        <v>174.54442616983778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0.56891680799428213</v>
      </c>
      <c r="AV74" s="21">
        <f>EXP(-LN(2)/25)*AV73+(1-EXP(-LN(2)/25))/(LN(2)/25)*Calculateur!AQ74*Calculateur!AS74*VLOOKUP('Données projet'!$B$10,Paramètres!$A$1:$I$89,3,0)*0.475*44/12</f>
        <v>2.1095842987023916</v>
      </c>
      <c r="AW74" s="21">
        <f>EXP(-LN(2)/2)*AW73+(1-EXP(-LN(2)/2))/(LN(2)/2)*AQ74*AT74*VLOOKUP('Données projet'!$B$10,Paramètres!$A$1:$I$89,3,0)*0.475*44/12</f>
        <v>7.7643364682502805E-6</v>
      </c>
      <c r="AX74" s="21">
        <f t="shared" si="60"/>
        <v>2.6785088710331419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5.6899038461538431</v>
      </c>
      <c r="BD74" s="12">
        <f>IF('Données projet'!$A$88&gt;35,BD73+BC74-BL73,IF(A74&lt;'Données projet'!$A$88,$BA$205^A74,IF(A74='Données projet'!$A$88,'Données projet'!$B$88,BD73+BC74-BL73)))</f>
        <v>158.62499999999997</v>
      </c>
      <c r="BE74" s="13">
        <f>BD74*VLOOKUP('Données projet'!$B$11,Paramètres!$A$1:$I$89,3,0)*VLOOKUP('Données projet'!$B$11,Paramètres!$A$1:$I$89,5,0)</f>
        <v>158.37119999999999</v>
      </c>
      <c r="BF74" s="13">
        <f t="shared" si="91"/>
        <v>40.474916527059669</v>
      </c>
      <c r="BG74" s="20">
        <f t="shared" si="61"/>
        <v>346.32365295129557</v>
      </c>
      <c r="BH74" s="59">
        <f t="shared" si="62"/>
        <v>639.65698628462883</v>
      </c>
      <c r="BI74" s="59">
        <f ca="1">AVERAGE(OFFSET($BH$3,0,0,'Données projet'!$E$11+1,1))-AVERAGE(OFFSET($H$3,0,0,'Données projet'!$E$11+1,1))</f>
        <v>245.06609107649069</v>
      </c>
      <c r="BJ74" s="59">
        <f t="shared" si="92"/>
        <v>156.24531945456499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11.978390865275735</v>
      </c>
      <c r="BQ74" s="21">
        <f>EXP(-LN(2)/25)*BQ73+(1-EXP(-LN(2)/25))/(LN(2)/25)*Calculateur!BL74*Calculateur!BN74*VLOOKUP('Données projet'!$B$11,Paramètres!$A$1:$I$89,3,0)*0.475*44/12</f>
        <v>7.3909025983183074</v>
      </c>
      <c r="BR74" s="21">
        <f>EXP(-LN(2)/2)*BR73+(1-EXP(-LN(2)/2))/(LN(2)/2)*BL74*BO74*VLOOKUP('Données projet'!$B$11,Paramètres!$A$1:$I$89,3,0)*0.475*44/12</f>
        <v>1.1971966917870341E-2</v>
      </c>
      <c r="BS74" s="22">
        <f t="shared" si="63"/>
        <v>19.38126543051191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3.3010743854446729</v>
      </c>
      <c r="BY74" s="12">
        <f>IF('Données projet'!$A$114&gt;35,BY73+BX74-CG73,IF(A74&lt;'Données projet'!$A$114,$BV$205^A74,IF(A74='Données projet'!$A$114,'Données projet'!$B$114,BY73+BX74-CG73)))</f>
        <v>149.66225379002151</v>
      </c>
      <c r="BZ74" s="13">
        <f>BY74*VLOOKUP('Données projet'!$B$12,Paramètres!$A$1:$I$89,3,0)*VLOOKUP('Données projet'!$B$12,Paramètres!$A$1:$I$89,5,0)</f>
        <v>163.43118113870349</v>
      </c>
      <c r="CA74" s="13">
        <f t="shared" si="93"/>
        <v>41.615469598041557</v>
      </c>
      <c r="CB74" s="20">
        <f t="shared" si="64"/>
        <v>357.12291669983097</v>
      </c>
      <c r="CC74" s="59">
        <f t="shared" si="65"/>
        <v>650.45625003316422</v>
      </c>
      <c r="CD74" s="59">
        <f ca="1">AVERAGE(OFFSET($CC$3,0,0,'Données projet'!$E$12+1,1))-AVERAGE(OFFSET($H$3,0,0,'Données projet'!$E$12+1,1))</f>
        <v>173.63857221119594</v>
      </c>
      <c r="CE74" s="59">
        <f t="shared" si="94"/>
        <v>52.373745617370105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0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-1.1368683772161603E-13</v>
      </c>
      <c r="O75" s="13">
        <f>N75*VLOOKUP('Données projet'!$B$9,Paramètres!$A$1:$I$89,3,0)*VLOOKUP('Données projet'!$B$9,Paramètres!$A$1:$I$89,5,0)</f>
        <v>-6.7984728957526396E-14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175.34314856709307</v>
      </c>
      <c r="T75" s="59">
        <f t="shared" si="88"/>
        <v>296.28950942251339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6.4317491783891585</v>
      </c>
      <c r="AA75" s="21">
        <f>EXP(-LN(2)/25)*AA74+(1-EXP(-LN(2)/25))/(LN(2)/25)*Calculateur!V75*Calculateur!X75*VLOOKUP('Données projet'!$B$9,Paramètres!$A$1:$I$89,3,0)*0.475*44/12</f>
        <v>5.8561001315442205</v>
      </c>
      <c r="AB75" s="21">
        <f>EXP(-LN(2)/2)*AB74+(1-EXP(-LN(2)/2))/(LN(2)/2)*V75*Y75*VLOOKUP('Données projet'!$B$9,Paramètres!$A$1:$I$89,3,0)*0.475*44/12</f>
        <v>1.2213489544247796E-6</v>
      </c>
      <c r="AC75" s="22">
        <f t="shared" si="57"/>
        <v>12.287850531282333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6.4</v>
      </c>
      <c r="AI75" s="13">
        <f>IF('Données projet'!$A$62&gt;35,AI74+AH75-AQ74,IF(A75&lt;'Données projet'!$A$62,$AF$205^A75,IF(A75='Données projet'!$A$62,'Données projet'!$B$62,AI74+AH75-AQ74)))</f>
        <v>213.80000000000004</v>
      </c>
      <c r="AJ75" s="13">
        <f>AI75*VLOOKUP('Données projet'!$B$10,Paramètres!$A$1:$I$89,3,0)*VLOOKUP('Données projet'!$B$10,Paramètres!$A$1:$I$89,5,0)</f>
        <v>180.10512000000006</v>
      </c>
      <c r="AK75" s="13">
        <f t="shared" si="89"/>
        <v>45.345572635110635</v>
      </c>
      <c r="AL75" s="20">
        <f t="shared" si="58"/>
        <v>392.65995633948449</v>
      </c>
      <c r="AM75" s="59">
        <f t="shared" si="59"/>
        <v>685.99328967281781</v>
      </c>
      <c r="AN75" s="59">
        <f ca="1">AVERAGE(OFFSET($AM$3,0,0,'Données projet'!$E$10+1,1))-AVERAGE(OFFSET($H$3,0,0,'Données projet'!$E$10+1,1))</f>
        <v>247.67539667223065</v>
      </c>
      <c r="AO75" s="59">
        <f t="shared" si="90"/>
        <v>174.54442616983778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0.55776069639450321</v>
      </c>
      <c r="AV75" s="21">
        <f>EXP(-LN(2)/25)*AV74+(1-EXP(-LN(2)/25))/(LN(2)/25)*Calculateur!AQ75*Calculateur!AS75*VLOOKUP('Données projet'!$B$10,Paramètres!$A$1:$I$89,3,0)*0.475*44/12</f>
        <v>2.0518976051161579</v>
      </c>
      <c r="AW75" s="21">
        <f>EXP(-LN(2)/2)*AW74+(1-EXP(-LN(2)/2))/(LN(2)/2)*AQ75*AT75*VLOOKUP('Données projet'!$B$10,Paramètres!$A$1:$I$89,3,0)*0.475*44/12</f>
        <v>5.4902149681137824E-6</v>
      </c>
      <c r="AX75" s="21">
        <f t="shared" si="60"/>
        <v>2.6096637917256293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5.6899038461538431</v>
      </c>
      <c r="BD75" s="12">
        <f>IF('Données projet'!$A$88&gt;35,BD74+BC75-BL74,IF(A75&lt;'Données projet'!$A$88,$BA$205^A75,IF(A75='Données projet'!$A$88,'Données projet'!$B$88,BD74+BC75-BL74)))</f>
        <v>164.31490384615381</v>
      </c>
      <c r="BE75" s="13">
        <f>BD75*VLOOKUP('Données projet'!$B$11,Paramètres!$A$1:$I$89,3,0)*VLOOKUP('Données projet'!$B$11,Paramètres!$A$1:$I$89,5,0)</f>
        <v>164.05199999999996</v>
      </c>
      <c r="BF75" s="13">
        <f t="shared" si="91"/>
        <v>41.755120775124922</v>
      </c>
      <c r="BG75" s="20">
        <f t="shared" si="61"/>
        <v>358.44740201667582</v>
      </c>
      <c r="BH75" s="59">
        <f t="shared" si="62"/>
        <v>651.78073535000908</v>
      </c>
      <c r="BI75" s="59">
        <f ca="1">AVERAGE(OFFSET($BH$3,0,0,'Données projet'!$E$11+1,1))-AVERAGE(OFFSET($H$3,0,0,'Données projet'!$E$11+1,1))</f>
        <v>245.06609107649069</v>
      </c>
      <c r="BJ75" s="59">
        <f t="shared" si="92"/>
        <v>156.24531945456499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11.743501926504688</v>
      </c>
      <c r="BQ75" s="21">
        <f>EXP(-LN(2)/25)*BQ74+(1-EXP(-LN(2)/25))/(LN(2)/25)*Calculateur!BL75*Calculateur!BN75*VLOOKUP('Données projet'!$B$11,Paramètres!$A$1:$I$89,3,0)*0.475*44/12</f>
        <v>7.188797978096618</v>
      </c>
      <c r="BR75" s="21">
        <f>EXP(-LN(2)/2)*BR74+(1-EXP(-LN(2)/2))/(LN(2)/2)*BL75*BO75*VLOOKUP('Données projet'!$B$11,Paramètres!$A$1:$I$89,3,0)*0.475*44/12</f>
        <v>8.4654589917671288E-3</v>
      </c>
      <c r="BS75" s="22">
        <f t="shared" si="63"/>
        <v>18.940765363593076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3.3010743854446729</v>
      </c>
      <c r="BY75" s="12">
        <f>IF('Données projet'!$A$114&gt;35,BY74+BX75-CG74,IF(A75&lt;'Données projet'!$A$114,$BV$205^A75,IF(A75='Données projet'!$A$114,'Données projet'!$B$114,BY74+BX75-CG74)))</f>
        <v>152.96332817546619</v>
      </c>
      <c r="BZ75" s="13">
        <f>BY75*VLOOKUP('Données projet'!$B$12,Paramètres!$A$1:$I$89,3,0)*VLOOKUP('Données projet'!$B$12,Paramètres!$A$1:$I$89,5,0)</f>
        <v>167.03595436760907</v>
      </c>
      <c r="CA75" s="13">
        <f t="shared" si="93"/>
        <v>42.425497913777683</v>
      </c>
      <c r="CB75" s="20">
        <f t="shared" si="64"/>
        <v>364.81202939008193</v>
      </c>
      <c r="CC75" s="59">
        <f t="shared" si="65"/>
        <v>658.14536272341525</v>
      </c>
      <c r="CD75" s="59">
        <f ca="1">AVERAGE(OFFSET($CC$3,0,0,'Données projet'!$E$12+1,1))-AVERAGE(OFFSET($H$3,0,0,'Données projet'!$E$12+1,1))</f>
        <v>173.63857221119594</v>
      </c>
      <c r="CE75" s="59">
        <f t="shared" si="94"/>
        <v>52.373745617370105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0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-1.1368683772161603E-13</v>
      </c>
      <c r="O76" s="13">
        <f>N76*VLOOKUP('Données projet'!$B$9,Paramètres!$A$1:$I$89,3,0)*VLOOKUP('Données projet'!$B$9,Paramètres!$A$1:$I$89,5,0)</f>
        <v>-6.7984728957526396E-14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175.34314856709307</v>
      </c>
      <c r="T76" s="59">
        <f t="shared" si="88"/>
        <v>296.28950942251339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6.3056264999805842</v>
      </c>
      <c r="AA76" s="21">
        <f>EXP(-LN(2)/25)*AA75+(1-EXP(-LN(2)/25))/(LN(2)/25)*Calculateur!V76*Calculateur!X76*VLOOKUP('Données projet'!$B$9,Paramètres!$A$1:$I$89,3,0)*0.475*44/12</f>
        <v>5.6959647654882222</v>
      </c>
      <c r="AB76" s="21">
        <f>EXP(-LN(2)/2)*AB75+(1-EXP(-LN(2)/2))/(LN(2)/2)*V76*Y76*VLOOKUP('Données projet'!$B$9,Paramètres!$A$1:$I$89,3,0)*0.475*44/12</f>
        <v>8.6362412786886124E-7</v>
      </c>
      <c r="AC76" s="22">
        <f t="shared" si="57"/>
        <v>12.001592129092936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6.4</v>
      </c>
      <c r="AI76" s="13">
        <f>IF('Données projet'!$A$62&gt;35,AI75+AH76-AQ75,IF(A76&lt;'Données projet'!$A$62,$AF$205^A76,IF(A76='Données projet'!$A$62,'Données projet'!$B$62,AI75+AH76-AQ75)))</f>
        <v>220.20000000000005</v>
      </c>
      <c r="AJ76" s="13">
        <f>AI76*VLOOKUP('Données projet'!$B$10,Paramètres!$A$1:$I$89,3,0)*VLOOKUP('Données projet'!$B$10,Paramètres!$A$1:$I$89,5,0)</f>
        <v>185.49648000000005</v>
      </c>
      <c r="AK76" s="13">
        <f t="shared" si="89"/>
        <v>46.542902733492369</v>
      </c>
      <c r="AL76" s="20">
        <f t="shared" si="58"/>
        <v>404.13525826083259</v>
      </c>
      <c r="AM76" s="59">
        <f t="shared" si="59"/>
        <v>697.4685915941659</v>
      </c>
      <c r="AN76" s="59">
        <f ca="1">AVERAGE(OFFSET($AM$3,0,0,'Données projet'!$E$10+1,1))-AVERAGE(OFFSET($H$3,0,0,'Données projet'!$E$10+1,1))</f>
        <v>247.67539667223065</v>
      </c>
      <c r="AO76" s="59">
        <f t="shared" si="90"/>
        <v>174.54442616983778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0.54682334933863985</v>
      </c>
      <c r="AV76" s="21">
        <f>EXP(-LN(2)/25)*AV75+(1-EXP(-LN(2)/25))/(LN(2)/25)*Calculateur!AQ76*Calculateur!AS76*VLOOKUP('Données projet'!$B$10,Paramètres!$A$1:$I$89,3,0)*0.475*44/12</f>
        <v>1.9957883571996513</v>
      </c>
      <c r="AW76" s="21">
        <f>EXP(-LN(2)/2)*AW75+(1-EXP(-LN(2)/2))/(LN(2)/2)*AQ76*AT76*VLOOKUP('Données projet'!$B$10,Paramètres!$A$1:$I$89,3,0)*0.475*44/12</f>
        <v>3.8821682341251403E-6</v>
      </c>
      <c r="AX76" s="21">
        <f t="shared" si="60"/>
        <v>2.5426155887065249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5.6899038461538431</v>
      </c>
      <c r="BD76" s="12">
        <f>IF('Données projet'!$A$88&gt;35,BD75+BC76-BL75,IF(A76&lt;'Données projet'!$A$88,$BA$205^A76,IF(A76='Données projet'!$A$88,'Données projet'!$B$88,BD75+BC76-BL75)))</f>
        <v>170.00480769230765</v>
      </c>
      <c r="BE76" s="13">
        <f>BD76*VLOOKUP('Données projet'!$B$11,Paramètres!$A$1:$I$89,3,0)*VLOOKUP('Données projet'!$B$11,Paramètres!$A$1:$I$89,5,0)</f>
        <v>169.73279999999997</v>
      </c>
      <c r="BF76" s="13">
        <f t="shared" si="91"/>
        <v>43.030174196364548</v>
      </c>
      <c r="BG76" s="20">
        <f t="shared" si="61"/>
        <v>370.56218005866822</v>
      </c>
      <c r="BH76" s="59">
        <f t="shared" si="62"/>
        <v>663.89551339200148</v>
      </c>
      <c r="BI76" s="59">
        <f ca="1">AVERAGE(OFFSET($BH$3,0,0,'Données projet'!$E$11+1,1))-AVERAGE(OFFSET($H$3,0,0,'Données projet'!$E$11+1,1))</f>
        <v>245.06609107649069</v>
      </c>
      <c r="BJ76" s="59">
        <f t="shared" si="92"/>
        <v>156.24531945456499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11.513219016554835</v>
      </c>
      <c r="BQ76" s="21">
        <f>EXP(-LN(2)/25)*BQ75+(1-EXP(-LN(2)/25))/(LN(2)/25)*Calculateur!BL76*Calculateur!BN76*VLOOKUP('Données projet'!$B$11,Paramètres!$A$1:$I$89,3,0)*0.475*44/12</f>
        <v>6.9922199193431105</v>
      </c>
      <c r="BR76" s="21">
        <f>EXP(-LN(2)/2)*BR75+(1-EXP(-LN(2)/2))/(LN(2)/2)*BL76*BO76*VLOOKUP('Données projet'!$B$11,Paramètres!$A$1:$I$89,3,0)*0.475*44/12</f>
        <v>5.9859834589351705E-3</v>
      </c>
      <c r="BS76" s="22">
        <f t="shared" si="63"/>
        <v>18.51142491935688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3.3010743854446729</v>
      </c>
      <c r="BY76" s="12">
        <f>IF('Données projet'!$A$114&gt;35,BY75+BX76-CG75,IF(A76&lt;'Données projet'!$A$114,$BV$205^A76,IF(A76='Données projet'!$A$114,'Données projet'!$B$114,BY75+BX76-CG75)))</f>
        <v>156.26440256091087</v>
      </c>
      <c r="BZ76" s="13">
        <f>BY76*VLOOKUP('Données projet'!$B$12,Paramètres!$A$1:$I$89,3,0)*VLOOKUP('Données projet'!$B$12,Paramètres!$A$1:$I$89,5,0)</f>
        <v>170.64072759651467</v>
      </c>
      <c r="CA76" s="13">
        <f t="shared" si="93"/>
        <v>43.233493818970125</v>
      </c>
      <c r="CB76" s="20">
        <f t="shared" si="64"/>
        <v>372.49760229863597</v>
      </c>
      <c r="CC76" s="59">
        <f t="shared" si="65"/>
        <v>665.83093563196928</v>
      </c>
      <c r="CD76" s="59">
        <f ca="1">AVERAGE(OFFSET($CC$3,0,0,'Données projet'!$E$12+1,1))-AVERAGE(OFFSET($H$3,0,0,'Données projet'!$E$12+1,1))</f>
        <v>173.63857221119594</v>
      </c>
      <c r="CE76" s="59">
        <f t="shared" si="94"/>
        <v>52.373745617370105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0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-1.1368683772161603E-13</v>
      </c>
      <c r="O77" s="13">
        <f>N77*VLOOKUP('Données projet'!$B$9,Paramètres!$A$1:$I$89,3,0)*VLOOKUP('Données projet'!$B$9,Paramètres!$A$1:$I$89,5,0)</f>
        <v>-6.7984728957526396E-14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175.34314856709307</v>
      </c>
      <c r="T77" s="59">
        <f t="shared" si="88"/>
        <v>296.28950942251339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6.1819770103683638</v>
      </c>
      <c r="AA77" s="21">
        <f>EXP(-LN(2)/25)*AA76+(1-EXP(-LN(2)/25))/(LN(2)/25)*Calculateur!V77*Calculateur!X77*VLOOKUP('Données projet'!$B$9,Paramètres!$A$1:$I$89,3,0)*0.475*44/12</f>
        <v>5.540208309438178</v>
      </c>
      <c r="AB77" s="21">
        <f>EXP(-LN(2)/2)*AB76+(1-EXP(-LN(2)/2))/(LN(2)/2)*V77*Y77*VLOOKUP('Données projet'!$B$9,Paramètres!$A$1:$I$89,3,0)*0.475*44/12</f>
        <v>6.106744772123898E-7</v>
      </c>
      <c r="AC77" s="22">
        <f t="shared" si="57"/>
        <v>11.72218593048102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6.4</v>
      </c>
      <c r="AI77" s="13">
        <f>IF('Données projet'!$A$62&gt;35,AI76+AH77-AQ76,IF(A77&lt;'Données projet'!$A$62,$AF$205^A77,IF(A77='Données projet'!$A$62,'Données projet'!$B$62,AI76+AH77-AQ76)))</f>
        <v>226.60000000000005</v>
      </c>
      <c r="AJ77" s="13">
        <f>AI77*VLOOKUP('Données projet'!$B$10,Paramètres!$A$1:$I$89,3,0)*VLOOKUP('Données projet'!$B$10,Paramètres!$A$1:$I$89,5,0)</f>
        <v>190.88784000000007</v>
      </c>
      <c r="AK77" s="13">
        <f t="shared" si="89"/>
        <v>47.736188379493683</v>
      </c>
      <c r="AL77" s="20">
        <f t="shared" si="58"/>
        <v>415.60351609428494</v>
      </c>
      <c r="AM77" s="59">
        <f t="shared" si="59"/>
        <v>708.9368494276182</v>
      </c>
      <c r="AN77" s="59">
        <f ca="1">AVERAGE(OFFSET($AM$3,0,0,'Données projet'!$E$10+1,1))-AVERAGE(OFFSET($H$3,0,0,'Données projet'!$E$10+1,1))</f>
        <v>247.67539667223065</v>
      </c>
      <c r="AO77" s="59">
        <f t="shared" si="90"/>
        <v>174.54442616983778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0.53610047698741892</v>
      </c>
      <c r="AV77" s="21">
        <f>EXP(-LN(2)/25)*AV76+(1-EXP(-LN(2)/25))/(LN(2)/25)*Calculateur!AQ77*Calculateur!AS77*VLOOKUP('Données projet'!$B$10,Paramètres!$A$1:$I$89,3,0)*0.475*44/12</f>
        <v>1.9412134196180786</v>
      </c>
      <c r="AW77" s="21">
        <f>EXP(-LN(2)/2)*AW76+(1-EXP(-LN(2)/2))/(LN(2)/2)*AQ77*AT77*VLOOKUP('Données projet'!$B$10,Paramètres!$A$1:$I$89,3,0)*0.475*44/12</f>
        <v>2.7451074840568912E-6</v>
      </c>
      <c r="AX77" s="21">
        <f t="shared" si="60"/>
        <v>2.4773166417129815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5.6899038461538431</v>
      </c>
      <c r="BD77" s="12">
        <f>IF('Données projet'!$A$88&gt;35,BD76+BC77-BL76,IF(A77&lt;'Données projet'!$A$88,$BA$205^A77,IF(A77='Données projet'!$A$88,'Données projet'!$B$88,BD76+BC77-BL76)))</f>
        <v>175.69471153846149</v>
      </c>
      <c r="BE77" s="13">
        <f>BD77*VLOOKUP('Données projet'!$B$11,Paramètres!$A$1:$I$89,3,0)*VLOOKUP('Données projet'!$B$11,Paramètres!$A$1:$I$89,5,0)</f>
        <v>175.41359999999997</v>
      </c>
      <c r="BF77" s="13">
        <f t="shared" si="91"/>
        <v>44.300268949253812</v>
      </c>
      <c r="BG77" s="20">
        <f t="shared" si="61"/>
        <v>382.66832175328369</v>
      </c>
      <c r="BH77" s="59">
        <f t="shared" si="62"/>
        <v>676.00165508661701</v>
      </c>
      <c r="BI77" s="59">
        <f ca="1">AVERAGE(OFFSET($BH$3,0,0,'Données projet'!$E$11+1,1))-AVERAGE(OFFSET($H$3,0,0,'Données projet'!$E$11+1,1))</f>
        <v>245.06609107649069</v>
      </c>
      <c r="BJ77" s="59">
        <f t="shared" si="92"/>
        <v>156.24531945456499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11.287451814010394</v>
      </c>
      <c r="BQ77" s="21">
        <f>EXP(-LN(2)/25)*BQ76+(1-EXP(-LN(2)/25))/(LN(2)/25)*Calculateur!BL77*Calculateur!BN77*VLOOKUP('Données projet'!$B$11,Paramètres!$A$1:$I$89,3,0)*0.475*44/12</f>
        <v>6.8010172979438082</v>
      </c>
      <c r="BR77" s="21">
        <f>EXP(-LN(2)/2)*BR76+(1-EXP(-LN(2)/2))/(LN(2)/2)*BL77*BO77*VLOOKUP('Données projet'!$B$11,Paramètres!$A$1:$I$89,3,0)*0.475*44/12</f>
        <v>4.2327294958835644E-3</v>
      </c>
      <c r="BS77" s="22">
        <f t="shared" si="63"/>
        <v>18.092701841450086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3.3010743854446729</v>
      </c>
      <c r="BY77" s="12">
        <f>IF('Données projet'!$A$114&gt;35,BY76+BX77-CG76,IF(A77&lt;'Données projet'!$A$114,$BV$205^A77,IF(A77='Données projet'!$A$114,'Données projet'!$B$114,BY76+BX77-CG76)))</f>
        <v>159.56547694635555</v>
      </c>
      <c r="BZ77" s="13">
        <f>BY77*VLOOKUP('Données projet'!$B$12,Paramètres!$A$1:$I$89,3,0)*VLOOKUP('Données projet'!$B$12,Paramètres!$A$1:$I$89,5,0)</f>
        <v>174.24550082542027</v>
      </c>
      <c r="CA77" s="13">
        <f t="shared" si="93"/>
        <v>44.039505194034426</v>
      </c>
      <c r="CB77" s="20">
        <f t="shared" si="64"/>
        <v>380.17971881721695</v>
      </c>
      <c r="CC77" s="59">
        <f t="shared" si="65"/>
        <v>673.51305215055027</v>
      </c>
      <c r="CD77" s="59">
        <f ca="1">AVERAGE(OFFSET($CC$3,0,0,'Données projet'!$E$12+1,1))-AVERAGE(OFFSET($H$3,0,0,'Données projet'!$E$12+1,1))</f>
        <v>173.63857221119594</v>
      </c>
      <c r="CE77" s="59">
        <f t="shared" si="94"/>
        <v>52.373745617370105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0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-1.1368683772161603E-13</v>
      </c>
      <c r="O78" s="13">
        <f>N78*VLOOKUP('Données projet'!$B$9,Paramètres!$A$1:$I$89,3,0)*VLOOKUP('Données projet'!$B$9,Paramètres!$A$1:$I$89,5,0)</f>
        <v>-6.7984728957526396E-14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175.34314856709307</v>
      </c>
      <c r="T78" s="59">
        <f t="shared" si="88"/>
        <v>296.28950942251339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6.0607522118286976</v>
      </c>
      <c r="AA78" s="21">
        <f>EXP(-LN(2)/25)*AA77+(1-EXP(-LN(2)/25))/(LN(2)/25)*Calculateur!V78*Calculateur!X78*VLOOKUP('Données projet'!$B$9,Paramètres!$A$1:$I$89,3,0)*0.475*44/12</f>
        <v>5.3887110218696987</v>
      </c>
      <c r="AB78" s="21">
        <f>EXP(-LN(2)/2)*AB77+(1-EXP(-LN(2)/2))/(LN(2)/2)*V78*Y78*VLOOKUP('Données projet'!$B$9,Paramètres!$A$1:$I$89,3,0)*0.475*44/12</f>
        <v>4.3181206393443062E-7</v>
      </c>
      <c r="AC78" s="22">
        <f t="shared" si="57"/>
        <v>11.449463665510459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6.4</v>
      </c>
      <c r="AI78" s="13">
        <f>IF('Données projet'!$A$62&gt;35,AI77+AH78-AQ77,IF(A78&lt;'Données projet'!$A$62,$AF$205^A78,IF(A78='Données projet'!$A$62,'Données projet'!$B$62,AI77+AH78-AQ77)))</f>
        <v>233.00000000000006</v>
      </c>
      <c r="AJ78" s="13">
        <f>AI78*VLOOKUP('Données projet'!$B$10,Paramètres!$A$1:$I$89,3,0)*VLOOKUP('Données projet'!$B$10,Paramètres!$A$1:$I$89,5,0)</f>
        <v>196.27920000000006</v>
      </c>
      <c r="AK78" s="13">
        <f t="shared" si="89"/>
        <v>48.925556924284628</v>
      </c>
      <c r="AL78" s="20">
        <f t="shared" si="58"/>
        <v>427.06495164312918</v>
      </c>
      <c r="AM78" s="59">
        <f t="shared" si="59"/>
        <v>720.39828497646249</v>
      </c>
      <c r="AN78" s="59">
        <f ca="1">AVERAGE(OFFSET($AM$3,0,0,'Données projet'!$E$10+1,1))-AVERAGE(OFFSET($H$3,0,0,'Données projet'!$E$10+1,1))</f>
        <v>247.67539667223065</v>
      </c>
      <c r="AO78" s="59">
        <f t="shared" si="90"/>
        <v>174.54442616983778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0.5255878736226991</v>
      </c>
      <c r="AV78" s="21">
        <f>EXP(-LN(2)/25)*AV77+(1-EXP(-LN(2)/25))/(LN(2)/25)*Calculateur!AQ78*Calculateur!AS78*VLOOKUP('Données projet'!$B$10,Paramètres!$A$1:$I$89,3,0)*0.475*44/12</f>
        <v>1.8881308365746452</v>
      </c>
      <c r="AW78" s="21">
        <f>EXP(-LN(2)/2)*AW77+(1-EXP(-LN(2)/2))/(LN(2)/2)*AQ78*AT78*VLOOKUP('Données projet'!$B$10,Paramètres!$A$1:$I$89,3,0)*0.475*44/12</f>
        <v>1.9410841170625701E-6</v>
      </c>
      <c r="AX78" s="21">
        <f t="shared" si="60"/>
        <v>2.4137206512814613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181.38461538461536</v>
      </c>
      <c r="BB78" s="12">
        <f>VLOOKUP(A78,'Données projet'!$A$87:$I$107,9,0)</f>
        <v>5.6899038461538431</v>
      </c>
      <c r="BC78" s="12">
        <f t="array" ref="BC78">INDEX(BB:BB,MIN(IF(ISNUMBER(BB78:BB274),ROW(BB78:BB274),"")))</f>
        <v>5.6899038461538431</v>
      </c>
      <c r="BD78" s="12">
        <f>IF('Données projet'!$A$88&gt;35,BD77+BC78-BL77,IF(A78&lt;'Données projet'!$A$88,$BA$205^A78,IF(A78='Données projet'!$A$88,'Données projet'!$B$88,BD77+BC78-BL77)))</f>
        <v>181.38461538461533</v>
      </c>
      <c r="BE78" s="13">
        <f>BD78*VLOOKUP('Données projet'!$B$11,Paramètres!$A$1:$I$89,3,0)*VLOOKUP('Données projet'!$B$11,Paramètres!$A$1:$I$89,5,0)</f>
        <v>181.09439999999998</v>
      </c>
      <c r="BF78" s="13">
        <f t="shared" si="91"/>
        <v>45.565584039538123</v>
      </c>
      <c r="BG78" s="20">
        <f t="shared" si="61"/>
        <v>394.76613886886213</v>
      </c>
      <c r="BH78" s="59">
        <f t="shared" si="62"/>
        <v>688.09947220219544</v>
      </c>
      <c r="BI78" s="59">
        <f ca="1">AVERAGE(OFFSET($BH$3,0,0,'Données projet'!$E$11+1,1))-AVERAGE(OFFSET($H$3,0,0,'Données projet'!$E$11+1,1))</f>
        <v>245.06609107649069</v>
      </c>
      <c r="BJ78" s="59">
        <f t="shared" si="92"/>
        <v>156.24531945456499</v>
      </c>
      <c r="BK78" s="15">
        <f>IF(ISNA(VLOOKUP(A78,'Données projet'!$A$87:$I$107,3,0)),0,VLOOKUP(A78,'Données projet'!$A$87:$I$107,3,0))</f>
        <v>5</v>
      </c>
      <c r="BL78" s="15">
        <f>IF(ISNA(VLOOKUP(A78,'Données projet'!$A$87:$I$107,4,0)),0,VLOOKUP(A78,'Données projet'!$A$87:$I$107,4,0))</f>
        <v>30.916666666666664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11.066111768603452</v>
      </c>
      <c r="BQ78" s="21">
        <f>EXP(-LN(2)/25)*BQ77+(1-EXP(-LN(2)/25))/(LN(2)/25)*Calculateur!BL78*Calculateur!BN78*VLOOKUP('Données projet'!$B$11,Paramètres!$A$1:$I$89,3,0)*0.475*44/12</f>
        <v>6.6150431222815786</v>
      </c>
      <c r="BR78" s="21">
        <f>EXP(-LN(2)/2)*BR77+(1-EXP(-LN(2)/2))/(LN(2)/2)*BL78*BO78*VLOOKUP('Données projet'!$B$11,Paramètres!$A$1:$I$89,3,0)*0.475*44/12</f>
        <v>2.9929917294675853E-3</v>
      </c>
      <c r="BS78" s="22">
        <f t="shared" si="63"/>
        <v>17.6841478826145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3.3010743854446729</v>
      </c>
      <c r="BY78" s="12">
        <f>IF('Données projet'!$A$114&gt;35,BY77+BX78-CG77,IF(A78&lt;'Données projet'!$A$114,$BV$205^A78,IF(A78='Données projet'!$A$114,'Données projet'!$B$114,BY77+BX78-CG77)))</f>
        <v>162.86655133180022</v>
      </c>
      <c r="BZ78" s="13">
        <f>BY78*VLOOKUP('Données projet'!$B$12,Paramètres!$A$1:$I$89,3,0)*VLOOKUP('Données projet'!$B$12,Paramètres!$A$1:$I$89,5,0)</f>
        <v>177.85027405432584</v>
      </c>
      <c r="CA78" s="13">
        <f t="shared" si="93"/>
        <v>44.84357782507</v>
      </c>
      <c r="CB78" s="20">
        <f t="shared" si="64"/>
        <v>387.85845868994778</v>
      </c>
      <c r="CC78" s="59">
        <f t="shared" si="65"/>
        <v>681.1917920232811</v>
      </c>
      <c r="CD78" s="59">
        <f ca="1">AVERAGE(OFFSET($CC$3,0,0,'Données projet'!$E$12+1,1))-AVERAGE(OFFSET($H$3,0,0,'Données projet'!$E$12+1,1))</f>
        <v>173.63857221119594</v>
      </c>
      <c r="CE78" s="59">
        <f t="shared" si="94"/>
        <v>52.373745617370105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0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-1.1368683772161603E-13</v>
      </c>
      <c r="O79" s="13">
        <f>N79*VLOOKUP('Données projet'!$B$9,Paramètres!$A$1:$I$89,3,0)*VLOOKUP('Données projet'!$B$9,Paramètres!$A$1:$I$89,5,0)</f>
        <v>-6.7984728957526396E-14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175.34314856709307</v>
      </c>
      <c r="T79" s="59">
        <f t="shared" si="88"/>
        <v>296.28950942251339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5.9419045576485683</v>
      </c>
      <c r="AA79" s="21">
        <f>EXP(-LN(2)/25)*AA78+(1-EXP(-LN(2)/25))/(LN(2)/25)*Calculateur!V79*Calculateur!X79*VLOOKUP('Données projet'!$B$9,Paramètres!$A$1:$I$89,3,0)*0.475*44/12</f>
        <v>5.2413564355966749</v>
      </c>
      <c r="AB79" s="21">
        <f>EXP(-LN(2)/2)*AB78+(1-EXP(-LN(2)/2))/(LN(2)/2)*V79*Y79*VLOOKUP('Données projet'!$B$9,Paramètres!$A$1:$I$89,3,0)*0.475*44/12</f>
        <v>3.053372386061949E-7</v>
      </c>
      <c r="AC79" s="22">
        <f t="shared" si="57"/>
        <v>11.183261298582481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6.4</v>
      </c>
      <c r="AI79" s="13">
        <f>IF('Données projet'!$A$62&gt;35,AI78+AH79-AQ78,IF(A79&lt;'Données projet'!$A$62,$AF$205^A79,IF(A79='Données projet'!$A$62,'Données projet'!$B$62,AI78+AH79-AQ78)))</f>
        <v>239.40000000000006</v>
      </c>
      <c r="AJ79" s="13">
        <f>AI79*VLOOKUP('Données projet'!$B$10,Paramètres!$A$1:$I$89,3,0)*VLOOKUP('Données projet'!$B$10,Paramètres!$A$1:$I$89,5,0)</f>
        <v>201.67056000000008</v>
      </c>
      <c r="AK79" s="13">
        <f t="shared" si="89"/>
        <v>50.111128324758013</v>
      </c>
      <c r="AL79" s="20">
        <f t="shared" si="58"/>
        <v>438.519773832287</v>
      </c>
      <c r="AM79" s="59">
        <f t="shared" si="59"/>
        <v>731.85310716562026</v>
      </c>
      <c r="AN79" s="59">
        <f ca="1">AVERAGE(OFFSET($AM$3,0,0,'Données projet'!$E$10+1,1))-AVERAGE(OFFSET($H$3,0,0,'Données projet'!$E$10+1,1))</f>
        <v>247.67539667223065</v>
      </c>
      <c r="AO79" s="59">
        <f t="shared" si="90"/>
        <v>174.54442616983778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0.51528141599790656</v>
      </c>
      <c r="AV79" s="21">
        <f>EXP(-LN(2)/25)*AV78+(1-EXP(-LN(2)/25))/(LN(2)/25)*Calculateur!AQ79*Calculateur!AS79*VLOOKUP('Données projet'!$B$10,Paramètres!$A$1:$I$89,3,0)*0.475*44/12</f>
        <v>1.8364997995560262</v>
      </c>
      <c r="AW79" s="21">
        <f>EXP(-LN(2)/2)*AW78+(1-EXP(-LN(2)/2))/(LN(2)/2)*AQ79*AT79*VLOOKUP('Données projet'!$B$10,Paramètres!$A$1:$I$89,3,0)*0.475*44/12</f>
        <v>1.3725537420284456E-6</v>
      </c>
      <c r="AX79" s="21">
        <f t="shared" si="60"/>
        <v>2.351782588107675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5.5042735042735051</v>
      </c>
      <c r="BD79" s="12">
        <f>IF('Données projet'!$A$88&gt;35,BD78+BC79-BL78,IF(A79&lt;'Données projet'!$A$88,$BA$205^A79,IF(A79='Données projet'!$A$88,'Données projet'!$B$88,BD78+BC79-BL78)))</f>
        <v>155.97222222222217</v>
      </c>
      <c r="BE79" s="13">
        <f>BD79*VLOOKUP('Données projet'!$B$11,Paramètres!$A$1:$I$89,3,0)*VLOOKUP('Données projet'!$B$11,Paramètres!$A$1:$I$89,5,0)</f>
        <v>155.72266666666664</v>
      </c>
      <c r="BF79" s="13">
        <f t="shared" si="91"/>
        <v>39.876234728273594</v>
      </c>
      <c r="BG79" s="20">
        <f t="shared" si="61"/>
        <v>340.66808659618761</v>
      </c>
      <c r="BH79" s="59">
        <f t="shared" si="62"/>
        <v>634.00141992952092</v>
      </c>
      <c r="BI79" s="59">
        <f ca="1">AVERAGE(OFFSET($BH$3,0,0,'Données projet'!$E$11+1,1))-AVERAGE(OFFSET($H$3,0,0,'Données projet'!$E$11+1,1))</f>
        <v>245.06609107649069</v>
      </c>
      <c r="BJ79" s="59">
        <f t="shared" si="92"/>
        <v>156.24531945456499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10.849112066482844</v>
      </c>
      <c r="BQ79" s="21">
        <f>EXP(-LN(2)/25)*BQ78+(1-EXP(-LN(2)/25))/(LN(2)/25)*Calculateur!BL79*Calculateur!BN79*VLOOKUP('Données projet'!$B$11,Paramètres!$A$1:$I$89,3,0)*0.475*44/12</f>
        <v>6.4341544202327903</v>
      </c>
      <c r="BR79" s="21">
        <f>EXP(-LN(2)/2)*BR78+(1-EXP(-LN(2)/2))/(LN(2)/2)*BL79*BO79*VLOOKUP('Données projet'!$B$11,Paramètres!$A$1:$I$89,3,0)*0.475*44/12</f>
        <v>2.1163647479417822E-3</v>
      </c>
      <c r="BS79" s="22">
        <f t="shared" si="63"/>
        <v>17.285382851463574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3.3010743854446729</v>
      </c>
      <c r="BY79" s="12">
        <f>IF('Données projet'!$A$114&gt;35,BY78+BX79-CG78,IF(A79&lt;'Données projet'!$A$114,$BV$205^A79,IF(A79='Données projet'!$A$114,'Données projet'!$B$114,BY78+BX79-CG78)))</f>
        <v>166.1676257172449</v>
      </c>
      <c r="BZ79" s="13">
        <f>BY79*VLOOKUP('Données projet'!$B$12,Paramètres!$A$1:$I$89,3,0)*VLOOKUP('Données projet'!$B$12,Paramètres!$A$1:$I$89,5,0)</f>
        <v>181.45504728323144</v>
      </c>
      <c r="CA79" s="13">
        <f t="shared" si="93"/>
        <v>45.645755536027998</v>
      </c>
      <c r="CB79" s="20">
        <f t="shared" si="64"/>
        <v>395.53389824354349</v>
      </c>
      <c r="CC79" s="59">
        <f t="shared" si="65"/>
        <v>688.86723157687675</v>
      </c>
      <c r="CD79" s="59">
        <f ca="1">AVERAGE(OFFSET($CC$3,0,0,'Données projet'!$E$12+1,1))-AVERAGE(OFFSET($H$3,0,0,'Données projet'!$E$12+1,1))</f>
        <v>173.63857221119594</v>
      </c>
      <c r="CE79" s="59">
        <f t="shared" si="94"/>
        <v>52.373745617370105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0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-1.1368683772161603E-13</v>
      </c>
      <c r="O80" s="13">
        <f>N80*VLOOKUP('Données projet'!$B$9,Paramètres!$A$1:$I$89,3,0)*VLOOKUP('Données projet'!$B$9,Paramètres!$A$1:$I$89,5,0)</f>
        <v>-6.7984728957526396E-14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175.34314856709307</v>
      </c>
      <c r="T80" s="59">
        <f t="shared" si="88"/>
        <v>296.28950942251339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5.8253874334769993</v>
      </c>
      <c r="AA80" s="21">
        <f>EXP(-LN(2)/25)*AA79+(1-EXP(-LN(2)/25))/(LN(2)/25)*Calculateur!V80*Calculateur!X80*VLOOKUP('Données projet'!$B$9,Paramètres!$A$1:$I$89,3,0)*0.475*44/12</f>
        <v>5.0980312682343278</v>
      </c>
      <c r="AB80" s="21">
        <f>EXP(-LN(2)/2)*AB79+(1-EXP(-LN(2)/2))/(LN(2)/2)*V80*Y80*VLOOKUP('Données projet'!$B$9,Paramètres!$A$1:$I$89,3,0)*0.475*44/12</f>
        <v>2.1590603196721531E-7</v>
      </c>
      <c r="AC80" s="22">
        <f t="shared" si="57"/>
        <v>10.92341891761736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6.4</v>
      </c>
      <c r="AI80" s="13">
        <f>IF('Données projet'!$A$62&gt;35,AI79+AH80-AQ79,IF(A80&lt;'Données projet'!$A$62,$AF$205^A80,IF(A80='Données projet'!$A$62,'Données projet'!$B$62,AI79+AH80-AQ79)))</f>
        <v>245.80000000000007</v>
      </c>
      <c r="AJ80" s="13">
        <f>AI80*VLOOKUP('Données projet'!$B$10,Paramètres!$A$1:$I$89,3,0)*VLOOKUP('Données projet'!$B$10,Paramètres!$A$1:$I$89,5,0)</f>
        <v>207.0619200000001</v>
      </c>
      <c r="AK80" s="13">
        <f t="shared" si="89"/>
        <v>51.293015758902222</v>
      </c>
      <c r="AL80" s="20">
        <f t="shared" si="58"/>
        <v>449.96817978008818</v>
      </c>
      <c r="AM80" s="59">
        <f t="shared" si="59"/>
        <v>743.30151311342149</v>
      </c>
      <c r="AN80" s="59">
        <f ca="1">AVERAGE(OFFSET($AM$3,0,0,'Données projet'!$E$10+1,1))-AVERAGE(OFFSET($H$3,0,0,'Données projet'!$E$10+1,1))</f>
        <v>247.67539667223065</v>
      </c>
      <c r="AO80" s="59">
        <f t="shared" si="90"/>
        <v>174.54442616983778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0.50517706172081778</v>
      </c>
      <c r="AV80" s="21">
        <f>EXP(-LN(2)/25)*AV79+(1-EXP(-LN(2)/25))/(LN(2)/25)*Calculateur!AQ80*Calculateur!AS80*VLOOKUP('Données projet'!$B$10,Paramètres!$A$1:$I$89,3,0)*0.475*44/12</f>
        <v>1.7862806159598394</v>
      </c>
      <c r="AW80" s="21">
        <f>EXP(-LN(2)/2)*AW79+(1-EXP(-LN(2)/2))/(LN(2)/2)*AQ80*AT80*VLOOKUP('Données projet'!$B$10,Paramètres!$A$1:$I$89,3,0)*0.475*44/12</f>
        <v>9.7054205853128507E-7</v>
      </c>
      <c r="AX80" s="21">
        <f t="shared" si="60"/>
        <v>2.2914586482227159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5.5042735042735051</v>
      </c>
      <c r="BD80" s="12">
        <f>IF('Données projet'!$A$88&gt;35,BD79+BC80-BL79,IF(A80&lt;'Données projet'!$A$88,$BA$205^A80,IF(A80='Données projet'!$A$88,'Données projet'!$B$88,BD79+BC80-BL79)))</f>
        <v>161.47649572649567</v>
      </c>
      <c r="BE80" s="13">
        <f>BD80*VLOOKUP('Données projet'!$B$11,Paramètres!$A$1:$I$89,3,0)*VLOOKUP('Données projet'!$B$11,Paramètres!$A$1:$I$89,5,0)</f>
        <v>161.2181333333333</v>
      </c>
      <c r="BF80" s="13">
        <f t="shared" si="91"/>
        <v>41.117147381658619</v>
      </c>
      <c r="BG80" s="20">
        <f t="shared" si="61"/>
        <v>352.40061391194422</v>
      </c>
      <c r="BH80" s="59">
        <f t="shared" si="62"/>
        <v>645.73394724527748</v>
      </c>
      <c r="BI80" s="59">
        <f ca="1">AVERAGE(OFFSET($BH$3,0,0,'Données projet'!$E$11+1,1))-AVERAGE(OFFSET($H$3,0,0,'Données projet'!$E$11+1,1))</f>
        <v>245.06609107649069</v>
      </c>
      <c r="BJ80" s="59">
        <f t="shared" si="92"/>
        <v>156.24531945456499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10.636367596164071</v>
      </c>
      <c r="BQ80" s="21">
        <f>EXP(-LN(2)/25)*BQ79+(1-EXP(-LN(2)/25))/(LN(2)/25)*Calculateur!BL80*Calculateur!BN80*VLOOKUP('Données projet'!$B$11,Paramètres!$A$1:$I$89,3,0)*0.475*44/12</f>
        <v>6.2582121292540487</v>
      </c>
      <c r="BR80" s="21">
        <f>EXP(-LN(2)/2)*BR79+(1-EXP(-LN(2)/2))/(LN(2)/2)*BL80*BO80*VLOOKUP('Données projet'!$B$11,Paramètres!$A$1:$I$89,3,0)*0.475*44/12</f>
        <v>1.4964958647337926E-3</v>
      </c>
      <c r="BS80" s="22">
        <f t="shared" si="63"/>
        <v>16.896076221282854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3.3010743854446729</v>
      </c>
      <c r="BY80" s="12">
        <f>IF('Données projet'!$A$114&gt;35,BY79+BX80-CG79,IF(A80&lt;'Données projet'!$A$114,$BV$205^A80,IF(A80='Données projet'!$A$114,'Données projet'!$B$114,BY79+BX80-CG79)))</f>
        <v>169.46870010268958</v>
      </c>
      <c r="BZ80" s="13">
        <f>BY80*VLOOKUP('Données projet'!$B$12,Paramètres!$A$1:$I$89,3,0)*VLOOKUP('Données projet'!$B$12,Paramètres!$A$1:$I$89,5,0)</f>
        <v>185.05982051213701</v>
      </c>
      <c r="CA80" s="13">
        <f t="shared" si="93"/>
        <v>46.446080310079715</v>
      </c>
      <c r="CB80" s="20">
        <f t="shared" si="64"/>
        <v>403.20611059869407</v>
      </c>
      <c r="CC80" s="59">
        <f t="shared" si="65"/>
        <v>696.53944393202732</v>
      </c>
      <c r="CD80" s="59">
        <f ca="1">AVERAGE(OFFSET($CC$3,0,0,'Données projet'!$E$12+1,1))-AVERAGE(OFFSET($H$3,0,0,'Données projet'!$E$12+1,1))</f>
        <v>173.63857221119594</v>
      </c>
      <c r="CE80" s="59">
        <f t="shared" si="94"/>
        <v>52.373745617370105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0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-1.1368683772161603E-13</v>
      </c>
      <c r="O81" s="13">
        <f>N81*VLOOKUP('Données projet'!$B$9,Paramètres!$A$1:$I$89,3,0)*VLOOKUP('Données projet'!$B$9,Paramètres!$A$1:$I$89,5,0)</f>
        <v>-6.7984728957526396E-14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175.34314856709307</v>
      </c>
      <c r="T81" s="59">
        <f t="shared" si="88"/>
        <v>296.28950942251339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5.711155139042007</v>
      </c>
      <c r="AA81" s="21">
        <f>EXP(-LN(2)/25)*AA80+(1-EXP(-LN(2)/25))/(LN(2)/25)*Calculateur!V81*Calculateur!X81*VLOOKUP('Données projet'!$B$9,Paramètres!$A$1:$I$89,3,0)*0.475*44/12</f>
        <v>4.9586253351106473</v>
      </c>
      <c r="AB81" s="21">
        <f>EXP(-LN(2)/2)*AB80+(1-EXP(-LN(2)/2))/(LN(2)/2)*V81*Y81*VLOOKUP('Données projet'!$B$9,Paramètres!$A$1:$I$89,3,0)*0.475*44/12</f>
        <v>1.5266861930309745E-7</v>
      </c>
      <c r="AC81" s="22">
        <f t="shared" si="57"/>
        <v>10.669780626821273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6.4</v>
      </c>
      <c r="AI81" s="13">
        <f>IF('Données projet'!$A$62&gt;35,AI80+AH81-AQ80,IF(A81&lt;'Données projet'!$A$62,$AF$205^A81,IF(A81='Données projet'!$A$62,'Données projet'!$B$62,AI80+AH81-AQ80)))</f>
        <v>252.20000000000007</v>
      </c>
      <c r="AJ81" s="13">
        <f>AI81*VLOOKUP('Données projet'!$B$10,Paramètres!$A$1:$I$89,3,0)*VLOOKUP('Données projet'!$B$10,Paramètres!$A$1:$I$89,5,0)</f>
        <v>212.45328000000006</v>
      </c>
      <c r="AK81" s="13">
        <f t="shared" si="89"/>
        <v>52.471326175280439</v>
      </c>
      <c r="AL81" s="20">
        <f t="shared" si="58"/>
        <v>461.41035575528014</v>
      </c>
      <c r="AM81" s="59">
        <f t="shared" si="59"/>
        <v>754.74368908861345</v>
      </c>
      <c r="AN81" s="59">
        <f ca="1">AVERAGE(OFFSET($AM$3,0,0,'Données projet'!$E$10+1,1))-AVERAGE(OFFSET($H$3,0,0,'Données projet'!$E$10+1,1))</f>
        <v>247.67539667223065</v>
      </c>
      <c r="AO81" s="59">
        <f t="shared" si="90"/>
        <v>174.54442616983778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0.49527084766805513</v>
      </c>
      <c r="AV81" s="21">
        <f>EXP(-LN(2)/25)*AV80+(1-EXP(-LN(2)/25))/(LN(2)/25)*Calculateur!AQ81*Calculateur!AS81*VLOOKUP('Données projet'!$B$10,Paramètres!$A$1:$I$89,3,0)*0.475*44/12</f>
        <v>1.7374346785800026</v>
      </c>
      <c r="AW81" s="21">
        <f>EXP(-LN(2)/2)*AW80+(1-EXP(-LN(2)/2))/(LN(2)/2)*AQ81*AT81*VLOOKUP('Données projet'!$B$10,Paramètres!$A$1:$I$89,3,0)*0.475*44/12</f>
        <v>6.862768710142228E-7</v>
      </c>
      <c r="AX81" s="21">
        <f t="shared" si="60"/>
        <v>2.2327062125249286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5.5042735042735051</v>
      </c>
      <c r="BD81" s="12">
        <f>IF('Données projet'!$A$88&gt;35,BD80+BC81-BL80,IF(A81&lt;'Données projet'!$A$88,$BA$205^A81,IF(A81='Données projet'!$A$88,'Données projet'!$B$88,BD80+BC81-BL80)))</f>
        <v>166.98076923076917</v>
      </c>
      <c r="BE81" s="13">
        <f>BD81*VLOOKUP('Données projet'!$B$11,Paramètres!$A$1:$I$89,3,0)*VLOOKUP('Données projet'!$B$11,Paramètres!$A$1:$I$89,5,0)</f>
        <v>166.71359999999993</v>
      </c>
      <c r="BF81" s="13">
        <f t="shared" si="91"/>
        <v>42.35314516047071</v>
      </c>
      <c r="BG81" s="20">
        <f t="shared" si="61"/>
        <v>364.12458115448635</v>
      </c>
      <c r="BH81" s="59">
        <f t="shared" si="62"/>
        <v>657.45791448781961</v>
      </c>
      <c r="BI81" s="59">
        <f ca="1">AVERAGE(OFFSET($BH$3,0,0,'Données projet'!$E$11+1,1))-AVERAGE(OFFSET($H$3,0,0,'Données projet'!$E$11+1,1))</f>
        <v>245.06609107649069</v>
      </c>
      <c r="BJ81" s="59">
        <f t="shared" si="92"/>
        <v>156.24531945456499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10.427794915146935</v>
      </c>
      <c r="BQ81" s="21">
        <f>EXP(-LN(2)/25)*BQ80+(1-EXP(-LN(2)/25))/(LN(2)/25)*Calculateur!BL81*Calculateur!BN81*VLOOKUP('Données projet'!$B$11,Paramètres!$A$1:$I$89,3,0)*0.475*44/12</f>
        <v>6.0870809894745239</v>
      </c>
      <c r="BR81" s="21">
        <f>EXP(-LN(2)/2)*BR80+(1-EXP(-LN(2)/2))/(LN(2)/2)*BL81*BO81*VLOOKUP('Données projet'!$B$11,Paramètres!$A$1:$I$89,3,0)*0.475*44/12</f>
        <v>1.0581823739708911E-3</v>
      </c>
      <c r="BS81" s="22">
        <f t="shared" si="63"/>
        <v>16.515934086995429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3.3010743854446729</v>
      </c>
      <c r="BY81" s="12">
        <f>IF('Données projet'!$A$114&gt;35,BY80+BX81-CG80,IF(A81&lt;'Données projet'!$A$114,$BV$205^A81,IF(A81='Données projet'!$A$114,'Données projet'!$B$114,BY80+BX81-CG80)))</f>
        <v>172.76977448813426</v>
      </c>
      <c r="BZ81" s="13">
        <f>BY81*VLOOKUP('Données projet'!$B$12,Paramètres!$A$1:$I$89,3,0)*VLOOKUP('Données projet'!$B$12,Paramètres!$A$1:$I$89,5,0)</f>
        <v>188.66459374104261</v>
      </c>
      <c r="CA81" s="13">
        <f t="shared" si="93"/>
        <v>47.244592401261677</v>
      </c>
      <c r="CB81" s="20">
        <f t="shared" si="64"/>
        <v>410.87516586451329</v>
      </c>
      <c r="CC81" s="59">
        <f t="shared" si="65"/>
        <v>704.20849919784655</v>
      </c>
      <c r="CD81" s="59">
        <f ca="1">AVERAGE(OFFSET($CC$3,0,0,'Données projet'!$E$12+1,1))-AVERAGE(OFFSET($H$3,0,0,'Données projet'!$E$12+1,1))</f>
        <v>173.63857221119594</v>
      </c>
      <c r="CE81" s="59">
        <f t="shared" si="94"/>
        <v>52.373745617370105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0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-1.1368683772161603E-13</v>
      </c>
      <c r="O82" s="13">
        <f>N82*VLOOKUP('Données projet'!$B$9,Paramètres!$A$1:$I$89,3,0)*VLOOKUP('Données projet'!$B$9,Paramètres!$A$1:$I$89,5,0)</f>
        <v>-6.7984728957526396E-14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175.34314856709307</v>
      </c>
      <c r="T82" s="59">
        <f t="shared" si="88"/>
        <v>296.28950942251339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5.5991628702260652</v>
      </c>
      <c r="AA82" s="21">
        <f>EXP(-LN(2)/25)*AA81+(1-EXP(-LN(2)/25))/(LN(2)/25)*Calculateur!V82*Calculateur!X82*VLOOKUP('Données projet'!$B$9,Paramètres!$A$1:$I$89,3,0)*0.475*44/12</f>
        <v>4.8230314645592731</v>
      </c>
      <c r="AB82" s="21">
        <f>EXP(-LN(2)/2)*AB81+(1-EXP(-LN(2)/2))/(LN(2)/2)*V82*Y82*VLOOKUP('Données projet'!$B$9,Paramètres!$A$1:$I$89,3,0)*0.475*44/12</f>
        <v>1.0795301598360765E-7</v>
      </c>
      <c r="AC82" s="22">
        <f t="shared" si="57"/>
        <v>10.422194442738354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6.4</v>
      </c>
      <c r="AI82" s="13">
        <f>IF('Données projet'!$A$62&gt;35,AI81+AH82-AQ81,IF(A82&lt;'Données projet'!$A$62,$AF$205^A82,IF(A82='Données projet'!$A$62,'Données projet'!$B$62,AI81+AH82-AQ81)))</f>
        <v>258.60000000000008</v>
      </c>
      <c r="AJ82" s="13">
        <f>AI82*VLOOKUP('Données projet'!$B$10,Paramètres!$A$1:$I$89,3,0)*VLOOKUP('Données projet'!$B$10,Paramètres!$A$1:$I$89,5,0)</f>
        <v>217.84464000000011</v>
      </c>
      <c r="AK82" s="13">
        <f t="shared" si="89"/>
        <v>53.646160785163993</v>
      </c>
      <c r="AL82" s="20">
        <f t="shared" si="58"/>
        <v>472.84647803416073</v>
      </c>
      <c r="AM82" s="59">
        <f t="shared" si="59"/>
        <v>766.17981136749404</v>
      </c>
      <c r="AN82" s="59">
        <f ca="1">AVERAGE(OFFSET($AM$3,0,0,'Données projet'!$E$10+1,1))-AVERAGE(OFFSET($H$3,0,0,'Données projet'!$E$10+1,1))</f>
        <v>247.67539667223065</v>
      </c>
      <c r="AO82" s="59">
        <f t="shared" si="90"/>
        <v>174.54442616983778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0.48555888843067319</v>
      </c>
      <c r="AV82" s="21">
        <f>EXP(-LN(2)/25)*AV81+(1-EXP(-LN(2)/25))/(LN(2)/25)*Calculateur!AQ82*Calculateur!AS82*VLOOKUP('Données projet'!$B$10,Paramètres!$A$1:$I$89,3,0)*0.475*44/12</f>
        <v>1.6899244359265135</v>
      </c>
      <c r="AW82" s="21">
        <f>EXP(-LN(2)/2)*AW81+(1-EXP(-LN(2)/2))/(LN(2)/2)*AQ82*AT82*VLOOKUP('Données projet'!$B$10,Paramètres!$A$1:$I$89,3,0)*0.475*44/12</f>
        <v>4.8527102926564253E-7</v>
      </c>
      <c r="AX82" s="21">
        <f t="shared" si="60"/>
        <v>2.1754838096282159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5.5042735042735051</v>
      </c>
      <c r="BD82" s="12">
        <f>IF('Données projet'!$A$88&gt;35,BD81+BC82-BL81,IF(A82&lt;'Données projet'!$A$88,$BA$205^A82,IF(A82='Données projet'!$A$88,'Données projet'!$B$88,BD81+BC82-BL81)))</f>
        <v>172.48504273504267</v>
      </c>
      <c r="BE82" s="13">
        <f>BD82*VLOOKUP('Données projet'!$B$11,Paramètres!$A$1:$I$89,3,0)*VLOOKUP('Données projet'!$B$11,Paramètres!$A$1:$I$89,5,0)</f>
        <v>172.20906666666662</v>
      </c>
      <c r="BF82" s="13">
        <f t="shared" si="91"/>
        <v>43.584408654273936</v>
      </c>
      <c r="BG82" s="20">
        <f t="shared" si="61"/>
        <v>375.84030285063812</v>
      </c>
      <c r="BH82" s="59">
        <f t="shared" si="62"/>
        <v>669.17363618397144</v>
      </c>
      <c r="BI82" s="59">
        <f ca="1">AVERAGE(OFFSET($BH$3,0,0,'Données projet'!$E$11+1,1))-AVERAGE(OFFSET($H$3,0,0,'Données projet'!$E$11+1,1))</f>
        <v>245.06609107649069</v>
      </c>
      <c r="BJ82" s="59">
        <f t="shared" si="92"/>
        <v>156.24531945456499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10.223312217187772</v>
      </c>
      <c r="BQ82" s="21">
        <f>EXP(-LN(2)/25)*BQ81+(1-EXP(-LN(2)/25))/(LN(2)/25)*Calculateur!BL82*Calculateur!BN82*VLOOKUP('Données projet'!$B$11,Paramètres!$A$1:$I$89,3,0)*0.475*44/12</f>
        <v>5.9206294397116661</v>
      </c>
      <c r="BR82" s="21">
        <f>EXP(-LN(2)/2)*BR81+(1-EXP(-LN(2)/2))/(LN(2)/2)*BL82*BO82*VLOOKUP('Données projet'!$B$11,Paramètres!$A$1:$I$89,3,0)*0.475*44/12</f>
        <v>7.4824793236689632E-4</v>
      </c>
      <c r="BS82" s="22">
        <f t="shared" si="63"/>
        <v>16.144689904831804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3.3010743854446729</v>
      </c>
      <c r="BY82" s="12">
        <f>IF('Données projet'!$A$114&gt;35,BY81+BX82-CG81,IF(A82&lt;'Données projet'!$A$114,$BV$205^A82,IF(A82='Données projet'!$A$114,'Données projet'!$B$114,BY81+BX82-CG81)))</f>
        <v>176.07084887357894</v>
      </c>
      <c r="BZ82" s="13">
        <f>BY82*VLOOKUP('Données projet'!$B$12,Paramètres!$A$1:$I$89,3,0)*VLOOKUP('Données projet'!$B$12,Paramètres!$A$1:$I$89,5,0)</f>
        <v>192.26936696994821</v>
      </c>
      <c r="CA82" s="13">
        <f t="shared" si="93"/>
        <v>48.041330437346119</v>
      </c>
      <c r="CB82" s="20">
        <f t="shared" si="64"/>
        <v>418.54113131770424</v>
      </c>
      <c r="CC82" s="59">
        <f t="shared" si="65"/>
        <v>711.87446465103756</v>
      </c>
      <c r="CD82" s="59">
        <f ca="1">AVERAGE(OFFSET($CC$3,0,0,'Données projet'!$E$12+1,1))-AVERAGE(OFFSET($H$3,0,0,'Données projet'!$E$12+1,1))</f>
        <v>173.63857221119594</v>
      </c>
      <c r="CE82" s="59">
        <f t="shared" si="94"/>
        <v>52.373745617370105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0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-1.1368683772161603E-13</v>
      </c>
      <c r="O83" s="13">
        <f>N83*VLOOKUP('Données projet'!$B$9,Paramètres!$A$1:$I$89,3,0)*VLOOKUP('Données projet'!$B$9,Paramètres!$A$1:$I$89,5,0)</f>
        <v>-6.7984728957526396E-14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175.34314856709307</v>
      </c>
      <c r="T83" s="59">
        <f t="shared" si="88"/>
        <v>296.28950942251339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5.4893667014930649</v>
      </c>
      <c r="AA83" s="21">
        <f>EXP(-LN(2)/25)*AA82+(1-EXP(-LN(2)/25))/(LN(2)/25)*Calculateur!V83*Calculateur!X83*VLOOKUP('Données projet'!$B$9,Paramètres!$A$1:$I$89,3,0)*0.475*44/12</f>
        <v>4.6911454155286982</v>
      </c>
      <c r="AB83" s="21">
        <f>EXP(-LN(2)/2)*AB82+(1-EXP(-LN(2)/2))/(LN(2)/2)*V83*Y83*VLOOKUP('Données projet'!$B$9,Paramètres!$A$1:$I$89,3,0)*0.475*44/12</f>
        <v>7.6334309651548724E-8</v>
      </c>
      <c r="AC83" s="22">
        <f t="shared" si="57"/>
        <v>10.180512193356073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265</v>
      </c>
      <c r="AG83" s="12">
        <f>VLOOKUP(A83,'Données projet'!$A$61:$I$81,9,0)</f>
        <v>6.4</v>
      </c>
      <c r="AH83" s="12">
        <f t="array" ref="AH83">INDEX(AG:AG,MIN(IF(ISNUMBER(AG83:AG279),ROW(AG83:AG279),"")))</f>
        <v>6.4</v>
      </c>
      <c r="AI83" s="13">
        <f>IF('Données projet'!$A$62&gt;35,AI82+AH83-AQ82,IF(A83&lt;'Données projet'!$A$62,$AF$205^A83,IF(A83='Données projet'!$A$62,'Données projet'!$B$62,AI82+AH83-AQ82)))</f>
        <v>265.00000000000006</v>
      </c>
      <c r="AJ83" s="13">
        <f>AI83*VLOOKUP('Données projet'!$B$10,Paramètres!$A$1:$I$89,3,0)*VLOOKUP('Données projet'!$B$10,Paramètres!$A$1:$I$89,5,0)</f>
        <v>223.23600000000008</v>
      </c>
      <c r="AK83" s="13">
        <f t="shared" si="89"/>
        <v>54.817615504575855</v>
      </c>
      <c r="AL83" s="20">
        <f t="shared" si="58"/>
        <v>484.27671367046969</v>
      </c>
      <c r="AM83" s="59">
        <f t="shared" si="59"/>
        <v>777.61004700380295</v>
      </c>
      <c r="AN83" s="59">
        <f ca="1">AVERAGE(OFFSET($AM$3,0,0,'Données projet'!$E$10+1,1))-AVERAGE(OFFSET($H$3,0,0,'Données projet'!$E$10+1,1))</f>
        <v>247.67539667223065</v>
      </c>
      <c r="AO83" s="59">
        <f t="shared" si="90"/>
        <v>174.54442616983778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43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0.47603737479022606</v>
      </c>
      <c r="AV83" s="21">
        <f>EXP(-LN(2)/25)*AV82+(1-EXP(-LN(2)/25))/(LN(2)/25)*Calculateur!AQ83*Calculateur!AS83*VLOOKUP('Données projet'!$B$10,Paramètres!$A$1:$I$89,3,0)*0.475*44/12</f>
        <v>1.6437133633568393</v>
      </c>
      <c r="AW83" s="21">
        <f>EXP(-LN(2)/2)*AW82+(1-EXP(-LN(2)/2))/(LN(2)/2)*AQ83*AT83*VLOOKUP('Données projet'!$B$10,Paramètres!$A$1:$I$89,3,0)*0.475*44/12</f>
        <v>3.431384355071114E-7</v>
      </c>
      <c r="AX83" s="21">
        <f t="shared" si="60"/>
        <v>2.1197510812855009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5.5042735042735051</v>
      </c>
      <c r="BD83" s="12">
        <f>IF('Données projet'!$A$88&gt;35,BD82+BC83-BL82,IF(A83&lt;'Données projet'!$A$88,$BA$205^A83,IF(A83='Données projet'!$A$88,'Données projet'!$B$88,BD82+BC83-BL82)))</f>
        <v>177.98931623931617</v>
      </c>
      <c r="BE83" s="13">
        <f>BD83*VLOOKUP('Données projet'!$B$11,Paramètres!$A$1:$I$89,3,0)*VLOOKUP('Données projet'!$B$11,Paramètres!$A$1:$I$89,5,0)</f>
        <v>177.70453333333327</v>
      </c>
      <c r="BF83" s="13">
        <f t="shared" si="91"/>
        <v>44.811106272374367</v>
      </c>
      <c r="BG83" s="20">
        <f t="shared" si="61"/>
        <v>387.54807231327413</v>
      </c>
      <c r="BH83" s="59">
        <f t="shared" si="62"/>
        <v>680.88140564660739</v>
      </c>
      <c r="BI83" s="59">
        <f ca="1">AVERAGE(OFFSET($BH$3,0,0,'Données projet'!$E$11+1,1))-AVERAGE(OFFSET($H$3,0,0,'Données projet'!$E$11+1,1))</f>
        <v>245.06609107649069</v>
      </c>
      <c r="BJ83" s="59">
        <f t="shared" si="92"/>
        <v>156.24531945456499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10.022839300213457</v>
      </c>
      <c r="BQ83" s="21">
        <f>EXP(-LN(2)/25)*BQ82+(1-EXP(-LN(2)/25))/(LN(2)/25)*Calculateur!BL83*Calculateur!BN83*VLOOKUP('Données projet'!$B$11,Paramètres!$A$1:$I$89,3,0)*0.475*44/12</f>
        <v>5.75872951633038</v>
      </c>
      <c r="BR83" s="21">
        <f>EXP(-LN(2)/2)*BR82+(1-EXP(-LN(2)/2))/(LN(2)/2)*BL83*BO83*VLOOKUP('Données projet'!$B$11,Paramètres!$A$1:$I$89,3,0)*0.475*44/12</f>
        <v>5.2909118698544555E-4</v>
      </c>
      <c r="BS83" s="22">
        <f t="shared" si="63"/>
        <v>15.782097907730822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179.37192325902373</v>
      </c>
      <c r="BW83" s="12">
        <f>VLOOKUP(A83,'Données projet'!$A$113:$I$133,9,0)</f>
        <v>3.3010743854446729</v>
      </c>
      <c r="BX83" s="12">
        <f t="array" ref="BX83">INDEX(BW:BW,MIN(IF(ISNUMBER(BW83:BW279),ROW(BW83:BW279),"")))</f>
        <v>3.3010743854446729</v>
      </c>
      <c r="BY83" s="12">
        <f>IF('Données projet'!$A$114&gt;35,BY82+BX83-CG82,IF(A83&lt;'Données projet'!$A$114,$BV$205^A83,IF(A83='Données projet'!$A$114,'Données projet'!$B$114,BY82+BX83-CG82)))</f>
        <v>179.37192325902362</v>
      </c>
      <c r="BZ83" s="13">
        <f>BY83*VLOOKUP('Données projet'!$B$12,Paramètres!$A$1:$I$89,3,0)*VLOOKUP('Données projet'!$B$12,Paramètres!$A$1:$I$89,5,0)</f>
        <v>195.87414019885378</v>
      </c>
      <c r="CA83" s="13">
        <f t="shared" si="93"/>
        <v>48.836331514779282</v>
      </c>
      <c r="CB83" s="20">
        <f t="shared" si="64"/>
        <v>426.20407156791089</v>
      </c>
      <c r="CC83" s="59">
        <f t="shared" si="65"/>
        <v>719.53740490124414</v>
      </c>
      <c r="CD83" s="59">
        <f ca="1">AVERAGE(OFFSET($CC$3,0,0,'Données projet'!$E$12+1,1))-AVERAGE(OFFSET($H$3,0,0,'Données projet'!$E$12+1,1))</f>
        <v>173.63857221119594</v>
      </c>
      <c r="CE83" s="59">
        <f t="shared" si="94"/>
        <v>52.373745617370105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0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-1.1368683772161603E-13</v>
      </c>
      <c r="O84" s="13">
        <f>N84*VLOOKUP('Données projet'!$B$9,Paramètres!$A$1:$I$89,3,0)*VLOOKUP('Données projet'!$B$9,Paramètres!$A$1:$I$89,5,0)</f>
        <v>-6.7984728957526396E-14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175.34314856709307</v>
      </c>
      <c r="T84" s="59">
        <f t="shared" si="88"/>
        <v>296.28950942251339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5.3817235686598686</v>
      </c>
      <c r="AA84" s="21">
        <f>EXP(-LN(2)/25)*AA83+(1-EXP(-LN(2)/25))/(LN(2)/25)*Calculateur!V84*Calculateur!X84*VLOOKUP('Données projet'!$B$9,Paramètres!$A$1:$I$89,3,0)*0.475*44/12</f>
        <v>4.5628657974444504</v>
      </c>
      <c r="AB84" s="21">
        <f>EXP(-LN(2)/2)*AB83+(1-EXP(-LN(2)/2))/(LN(2)/2)*V84*Y84*VLOOKUP('Données projet'!$B$9,Paramètres!$A$1:$I$89,3,0)*0.475*44/12</f>
        <v>5.3976507991803827E-8</v>
      </c>
      <c r="AC84" s="22">
        <f t="shared" si="57"/>
        <v>9.9445894200808276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5.7</v>
      </c>
      <c r="AI84" s="13">
        <f>IF('Données projet'!$A$62&gt;35,AI83+AH84-AQ83,IF(A84&lt;'Données projet'!$A$62,$AF$205^A84,IF(A84='Données projet'!$A$62,'Données projet'!$B$62,AI83+AH84-AQ83)))</f>
        <v>227.70000000000005</v>
      </c>
      <c r="AJ84" s="13">
        <f>AI84*VLOOKUP('Données projet'!$B$10,Paramètres!$A$1:$I$89,3,0)*VLOOKUP('Données projet'!$B$10,Paramètres!$A$1:$I$89,5,0)</f>
        <v>191.81448000000006</v>
      </c>
      <c r="AK84" s="13">
        <f t="shared" si="89"/>
        <v>47.94088644132102</v>
      </c>
      <c r="AL84" s="20">
        <f t="shared" si="58"/>
        <v>417.57392988530086</v>
      </c>
      <c r="AM84" s="59">
        <f t="shared" si="59"/>
        <v>710.90726321863417</v>
      </c>
      <c r="AN84" s="59">
        <f ca="1">AVERAGE(OFFSET($AM$3,0,0,'Données projet'!$E$10+1,1))-AVERAGE(OFFSET($H$3,0,0,'Données projet'!$E$10+1,1))</f>
        <v>247.67539667223065</v>
      </c>
      <c r="AO84" s="59">
        <f t="shared" si="90"/>
        <v>174.54442616983778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0.46670257222471828</v>
      </c>
      <c r="AV84" s="21">
        <f>EXP(-LN(2)/25)*AV83+(1-EXP(-LN(2)/25))/(LN(2)/25)*Calculateur!AQ84*Calculateur!AS84*VLOOKUP('Données projet'!$B$10,Paramètres!$A$1:$I$89,3,0)*0.475*44/12</f>
        <v>1.5987659349967174</v>
      </c>
      <c r="AW84" s="21">
        <f>EXP(-LN(2)/2)*AW83+(1-EXP(-LN(2)/2))/(LN(2)/2)*AQ84*AT84*VLOOKUP('Données projet'!$B$10,Paramètres!$A$1:$I$89,3,0)*0.475*44/12</f>
        <v>2.4263551463282127E-7</v>
      </c>
      <c r="AX84" s="21">
        <f t="shared" si="60"/>
        <v>2.0654687498569504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5.5042735042735051</v>
      </c>
      <c r="BD84" s="12">
        <f>IF('Données projet'!$A$88&gt;35,BD83+BC84-BL83,IF(A84&lt;'Données projet'!$A$88,$BA$205^A84,IF(A84='Données projet'!$A$88,'Données projet'!$B$88,BD83+BC84-BL83)))</f>
        <v>183.49358974358967</v>
      </c>
      <c r="BE84" s="13">
        <f>BD84*VLOOKUP('Données projet'!$B$11,Paramètres!$A$1:$I$89,3,0)*VLOOKUP('Données projet'!$B$11,Paramètres!$A$1:$I$89,5,0)</f>
        <v>183.19999999999993</v>
      </c>
      <c r="BF84" s="13">
        <f t="shared" si="91"/>
        <v>46.03339541632932</v>
      </c>
      <c r="BG84" s="20">
        <f t="shared" si="61"/>
        <v>399.24816368344005</v>
      </c>
      <c r="BH84" s="59">
        <f t="shared" si="62"/>
        <v>692.58149701677337</v>
      </c>
      <c r="BI84" s="59">
        <f ca="1">AVERAGE(OFFSET($BH$3,0,0,'Données projet'!$E$11+1,1))-AVERAGE(OFFSET($H$3,0,0,'Données projet'!$E$11+1,1))</f>
        <v>245.06609107649069</v>
      </c>
      <c r="BJ84" s="59">
        <f t="shared" si="92"/>
        <v>156.24531945456499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9.8262975348646027</v>
      </c>
      <c r="BQ84" s="21">
        <f>EXP(-LN(2)/25)*BQ83+(1-EXP(-LN(2)/25))/(LN(2)/25)*Calculateur!BL84*Calculateur!BN84*VLOOKUP('Données projet'!$B$11,Paramètres!$A$1:$I$89,3,0)*0.475*44/12</f>
        <v>5.6012567548679026</v>
      </c>
      <c r="BR84" s="21">
        <f>EXP(-LN(2)/2)*BR83+(1-EXP(-LN(2)/2))/(LN(2)/2)*BL84*BO84*VLOOKUP('Données projet'!$B$11,Paramètres!$A$1:$I$89,3,0)*0.475*44/12</f>
        <v>3.7412396618344816E-4</v>
      </c>
      <c r="BS84" s="22">
        <f t="shared" si="63"/>
        <v>15.427928413698689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3.4011202926386175</v>
      </c>
      <c r="BY84" s="12">
        <f>IF('Données projet'!$A$114&gt;35,BY83+BX84-CG83,IF(A84&lt;'Données projet'!$A$114,$BV$205^A84,IF(A84='Données projet'!$A$114,'Données projet'!$B$114,BY83+BX84-CG83)))</f>
        <v>182.77304355166223</v>
      </c>
      <c r="BZ84" s="13">
        <f>BY84*VLOOKUP('Données projet'!$B$12,Paramètres!$A$1:$I$89,3,0)*VLOOKUP('Données projet'!$B$12,Paramètres!$A$1:$I$89,5,0)</f>
        <v>199.58816355841515</v>
      </c>
      <c r="CA84" s="13">
        <f t="shared" si="93"/>
        <v>49.653647685231583</v>
      </c>
      <c r="CB84" s="20">
        <f t="shared" si="64"/>
        <v>434.09615458268473</v>
      </c>
      <c r="CC84" s="59">
        <f t="shared" si="65"/>
        <v>727.42948791601805</v>
      </c>
      <c r="CD84" s="59">
        <f ca="1">AVERAGE(OFFSET($CC$3,0,0,'Données projet'!$E$12+1,1))-AVERAGE(OFFSET($H$3,0,0,'Données projet'!$E$12+1,1))</f>
        <v>173.63857221119594</v>
      </c>
      <c r="CE84" s="59">
        <f t="shared" si="94"/>
        <v>52.373745617370105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0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-1.1368683772161603E-13</v>
      </c>
      <c r="O85" s="13">
        <f>N85*VLOOKUP('Données projet'!$B$9,Paramètres!$A$1:$I$89,3,0)*VLOOKUP('Données projet'!$B$9,Paramètres!$A$1:$I$89,5,0)</f>
        <v>-6.7984728957526396E-14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175.34314856709307</v>
      </c>
      <c r="T85" s="59">
        <f t="shared" si="88"/>
        <v>296.28950942251339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5.2761912520057024</v>
      </c>
      <c r="AA85" s="21">
        <f>EXP(-LN(2)/25)*AA84+(1-EXP(-LN(2)/25))/(LN(2)/25)*Calculateur!V85*Calculateur!X85*VLOOKUP('Données projet'!$B$9,Paramètres!$A$1:$I$89,3,0)*0.475*44/12</f>
        <v>4.4380939922626483</v>
      </c>
      <c r="AB85" s="21">
        <f>EXP(-LN(2)/2)*AB84+(1-EXP(-LN(2)/2))/(LN(2)/2)*V85*Y85*VLOOKUP('Données projet'!$B$9,Paramètres!$A$1:$I$89,3,0)*0.475*44/12</f>
        <v>3.8167154825774362E-8</v>
      </c>
      <c r="AC85" s="22">
        <f t="shared" si="57"/>
        <v>9.7142852824355046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5.7</v>
      </c>
      <c r="AI85" s="13">
        <f>IF('Données projet'!$A$62&gt;35,AI84+AH85-AQ84,IF(A85&lt;'Données projet'!$A$62,$AF$205^A85,IF(A85='Données projet'!$A$62,'Données projet'!$B$62,AI84+AH85-AQ84)))</f>
        <v>233.40000000000003</v>
      </c>
      <c r="AJ85" s="13">
        <f>AI85*VLOOKUP('Données projet'!$B$10,Paramètres!$A$1:$I$89,3,0)*VLOOKUP('Données projet'!$B$10,Paramètres!$A$1:$I$89,5,0)</f>
        <v>196.61616000000006</v>
      </c>
      <c r="AK85" s="13">
        <f t="shared" si="89"/>
        <v>48.999765174076551</v>
      </c>
      <c r="AL85" s="20">
        <f t="shared" si="58"/>
        <v>427.78106967818343</v>
      </c>
      <c r="AM85" s="59">
        <f t="shared" si="59"/>
        <v>721.11440301151674</v>
      </c>
      <c r="AN85" s="59">
        <f ca="1">AVERAGE(OFFSET($AM$3,0,0,'Données projet'!$E$10+1,1))-AVERAGE(OFFSET($H$3,0,0,'Données projet'!$E$10+1,1))</f>
        <v>247.67539667223065</v>
      </c>
      <c r="AO85" s="59">
        <f t="shared" si="90"/>
        <v>174.54442616983778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0.45755081944385273</v>
      </c>
      <c r="AV85" s="21">
        <f>EXP(-LN(2)/25)*AV84+(1-EXP(-LN(2)/25))/(LN(2)/25)*Calculateur!AQ85*Calculateur!AS85*VLOOKUP('Données projet'!$B$10,Paramètres!$A$1:$I$89,3,0)*0.475*44/12</f>
        <v>1.5550475964287855</v>
      </c>
      <c r="AW85" s="21">
        <f>EXP(-LN(2)/2)*AW84+(1-EXP(-LN(2)/2))/(LN(2)/2)*AQ85*AT85*VLOOKUP('Données projet'!$B$10,Paramètres!$A$1:$I$89,3,0)*0.475*44/12</f>
        <v>1.715692177535557E-7</v>
      </c>
      <c r="AX85" s="21">
        <f t="shared" si="60"/>
        <v>2.0125985874418562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5.5042735042735051</v>
      </c>
      <c r="BD85" s="12">
        <f>IF('Données projet'!$A$88&gt;35,BD84+BC85-BL84,IF(A85&lt;'Données projet'!$A$88,$BA$205^A85,IF(A85='Données projet'!$A$88,'Données projet'!$B$88,BD84+BC85-BL84)))</f>
        <v>188.99786324786317</v>
      </c>
      <c r="BE85" s="13">
        <f>BD85*VLOOKUP('Données projet'!$B$11,Paramètres!$A$1:$I$89,3,0)*VLOOKUP('Données projet'!$B$11,Paramètres!$A$1:$I$89,5,0)</f>
        <v>188.69546666666659</v>
      </c>
      <c r="BF85" s="13">
        <f t="shared" si="91"/>
        <v>47.251423507816483</v>
      </c>
      <c r="BG85" s="20">
        <f t="shared" si="61"/>
        <v>410.94083372055803</v>
      </c>
      <c r="BH85" s="59">
        <f t="shared" si="62"/>
        <v>704.27416705389135</v>
      </c>
      <c r="BI85" s="59">
        <f ca="1">AVERAGE(OFFSET($BH$3,0,0,'Données projet'!$E$11+1,1))-AVERAGE(OFFSET($H$3,0,0,'Données projet'!$E$11+1,1))</f>
        <v>245.06609107649069</v>
      </c>
      <c r="BJ85" s="59">
        <f t="shared" si="92"/>
        <v>156.24531945456499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9.6336098336555995</v>
      </c>
      <c r="BQ85" s="21">
        <f>EXP(-LN(2)/25)*BQ84+(1-EXP(-LN(2)/25))/(LN(2)/25)*Calculateur!BL85*Calculateur!BN85*VLOOKUP('Données projet'!$B$11,Paramètres!$A$1:$I$89,3,0)*0.475*44/12</f>
        <v>5.4480900943487489</v>
      </c>
      <c r="BR85" s="21">
        <f>EXP(-LN(2)/2)*BR84+(1-EXP(-LN(2)/2))/(LN(2)/2)*BL85*BO85*VLOOKUP('Données projet'!$B$11,Paramètres!$A$1:$I$89,3,0)*0.475*44/12</f>
        <v>2.6454559349272278E-4</v>
      </c>
      <c r="BS85" s="22">
        <f t="shared" si="63"/>
        <v>15.081964473597841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3.4011202926386175</v>
      </c>
      <c r="BY85" s="12">
        <f>IF('Données projet'!$A$114&gt;35,BY84+BX85-CG84,IF(A85&lt;'Données projet'!$A$114,$BV$205^A85,IF(A85='Données projet'!$A$114,'Données projet'!$B$114,BY84+BX85-CG84)))</f>
        <v>186.17416384430084</v>
      </c>
      <c r="BZ85" s="13">
        <f>BY85*VLOOKUP('Données projet'!$B$12,Paramètres!$A$1:$I$89,3,0)*VLOOKUP('Données projet'!$B$12,Paramètres!$A$1:$I$89,5,0)</f>
        <v>203.30218691797654</v>
      </c>
      <c r="CA85" s="13">
        <f t="shared" si="93"/>
        <v>50.469195339017503</v>
      </c>
      <c r="CB85" s="20">
        <f t="shared" si="64"/>
        <v>441.98515743093134</v>
      </c>
      <c r="CC85" s="59">
        <f t="shared" si="65"/>
        <v>735.31849076426465</v>
      </c>
      <c r="CD85" s="59">
        <f ca="1">AVERAGE(OFFSET($CC$3,0,0,'Données projet'!$E$12+1,1))-AVERAGE(OFFSET($H$3,0,0,'Données projet'!$E$12+1,1))</f>
        <v>173.63857221119594</v>
      </c>
      <c r="CE85" s="59">
        <f t="shared" si="94"/>
        <v>52.373745617370105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0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-1.1368683772161603E-13</v>
      </c>
      <c r="O86" s="13">
        <f>N86*VLOOKUP('Données projet'!$B$9,Paramètres!$A$1:$I$89,3,0)*VLOOKUP('Données projet'!$B$9,Paramètres!$A$1:$I$89,5,0)</f>
        <v>-6.7984728957526396E-14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175.34314856709307</v>
      </c>
      <c r="T86" s="59">
        <f t="shared" si="88"/>
        <v>296.28950942251339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5.1727283597127673</v>
      </c>
      <c r="AA86" s="21">
        <f>EXP(-LN(2)/25)*AA85+(1-EXP(-LN(2)/25))/(LN(2)/25)*Calculateur!V86*Calculateur!X86*VLOOKUP('Données projet'!$B$9,Paramètres!$A$1:$I$89,3,0)*0.475*44/12</f>
        <v>4.3167340786550064</v>
      </c>
      <c r="AB86" s="21">
        <f>EXP(-LN(2)/2)*AB85+(1-EXP(-LN(2)/2))/(LN(2)/2)*V86*Y86*VLOOKUP('Données projet'!$B$9,Paramètres!$A$1:$I$89,3,0)*0.475*44/12</f>
        <v>2.6988253995901914E-8</v>
      </c>
      <c r="AC86" s="22">
        <f t="shared" si="57"/>
        <v>9.4894624653560271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5.7</v>
      </c>
      <c r="AI86" s="13">
        <f>IF('Données projet'!$A$62&gt;35,AI85+AH86-AQ85,IF(A86&lt;'Données projet'!$A$62,$AF$205^A86,IF(A86='Données projet'!$A$62,'Données projet'!$B$62,AI85+AH86-AQ85)))</f>
        <v>239.10000000000002</v>
      </c>
      <c r="AJ86" s="13">
        <f>AI86*VLOOKUP('Données projet'!$B$10,Paramètres!$A$1:$I$89,3,0)*VLOOKUP('Données projet'!$B$10,Paramètres!$A$1:$I$89,5,0)</f>
        <v>201.41784000000007</v>
      </c>
      <c r="AK86" s="13">
        <f t="shared" si="89"/>
        <v>50.05563781873483</v>
      </c>
      <c r="AL86" s="20">
        <f t="shared" si="58"/>
        <v>437.98297386762988</v>
      </c>
      <c r="AM86" s="59">
        <f t="shared" si="59"/>
        <v>731.31630720096314</v>
      </c>
      <c r="AN86" s="59">
        <f ca="1">AVERAGE(OFFSET($AM$3,0,0,'Données projet'!$E$10+1,1))-AVERAGE(OFFSET($H$3,0,0,'Données projet'!$E$10+1,1))</f>
        <v>247.67539667223065</v>
      </c>
      <c r="AO86" s="59">
        <f t="shared" si="90"/>
        <v>174.54442616983778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0.44857852695300193</v>
      </c>
      <c r="AV86" s="21">
        <f>EXP(-LN(2)/25)*AV85+(1-EXP(-LN(2)/25))/(LN(2)/25)*Calculateur!AQ86*Calculateur!AS86*VLOOKUP('Données projet'!$B$10,Paramètres!$A$1:$I$89,3,0)*0.475*44/12</f>
        <v>1.5125247381280413</v>
      </c>
      <c r="AW86" s="21">
        <f>EXP(-LN(2)/2)*AW85+(1-EXP(-LN(2)/2))/(LN(2)/2)*AQ86*AT86*VLOOKUP('Données projet'!$B$10,Paramètres!$A$1:$I$89,3,0)*0.475*44/12</f>
        <v>1.2131775731641063E-7</v>
      </c>
      <c r="AX86" s="21">
        <f t="shared" si="60"/>
        <v>1.9611033863988008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5.5042735042735051</v>
      </c>
      <c r="BD86" s="12">
        <f>IF('Données projet'!$A$88&gt;35,BD85+BC86-BL85,IF(A86&lt;'Données projet'!$A$88,$BA$205^A86,IF(A86='Données projet'!$A$88,'Données projet'!$B$88,BD85+BC86-BL85)))</f>
        <v>194.50213675213666</v>
      </c>
      <c r="BE86" s="13">
        <f>BD86*VLOOKUP('Données projet'!$B$11,Paramètres!$A$1:$I$89,3,0)*VLOOKUP('Données projet'!$B$11,Paramètres!$A$1:$I$89,5,0)</f>
        <v>194.19093333333328</v>
      </c>
      <c r="BF86" s="13">
        <f t="shared" si="91"/>
        <v>48.465328893397</v>
      </c>
      <c r="BG86" s="20">
        <f t="shared" si="61"/>
        <v>422.62632337822191</v>
      </c>
      <c r="BH86" s="59">
        <f t="shared" si="62"/>
        <v>715.95965671155523</v>
      </c>
      <c r="BI86" s="59">
        <f ca="1">AVERAGE(OFFSET($BH$3,0,0,'Données projet'!$E$11+1,1))-AVERAGE(OFFSET($H$3,0,0,'Données projet'!$E$11+1,1))</f>
        <v>245.06609107649069</v>
      </c>
      <c r="BJ86" s="59">
        <f t="shared" si="92"/>
        <v>156.24531945456499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9.4447006207394129</v>
      </c>
      <c r="BQ86" s="21">
        <f>EXP(-LN(2)/25)*BQ85+(1-EXP(-LN(2)/25))/(LN(2)/25)*Calculateur!BL86*Calculateur!BN86*VLOOKUP('Données projet'!$B$11,Paramètres!$A$1:$I$89,3,0)*0.475*44/12</f>
        <v>5.2991117842161763</v>
      </c>
      <c r="BR86" s="21">
        <f>EXP(-LN(2)/2)*BR85+(1-EXP(-LN(2)/2))/(LN(2)/2)*BL86*BO86*VLOOKUP('Données projet'!$B$11,Paramètres!$A$1:$I$89,3,0)*0.475*44/12</f>
        <v>1.8706198309172408E-4</v>
      </c>
      <c r="BS86" s="22">
        <f t="shared" si="63"/>
        <v>14.74399946693868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3.4011202926386175</v>
      </c>
      <c r="BY86" s="12">
        <f>IF('Données projet'!$A$114&gt;35,BY85+BX86-CG85,IF(A86&lt;'Données projet'!$A$114,$BV$205^A86,IF(A86='Données projet'!$A$114,'Données projet'!$B$114,BY85+BX86-CG85)))</f>
        <v>189.57528413693944</v>
      </c>
      <c r="BZ86" s="13">
        <f>BY86*VLOOKUP('Données projet'!$B$12,Paramètres!$A$1:$I$89,3,0)*VLOOKUP('Données projet'!$B$12,Paramètres!$A$1:$I$89,5,0)</f>
        <v>207.01621027753785</v>
      </c>
      <c r="CA86" s="13">
        <f t="shared" si="93"/>
        <v>51.283010510646271</v>
      </c>
      <c r="CB86" s="20">
        <f t="shared" si="64"/>
        <v>449.87114287275404</v>
      </c>
      <c r="CC86" s="59">
        <f t="shared" si="65"/>
        <v>743.20447620608729</v>
      </c>
      <c r="CD86" s="59">
        <f ca="1">AVERAGE(OFFSET($CC$3,0,0,'Données projet'!$E$12+1,1))-AVERAGE(OFFSET($H$3,0,0,'Données projet'!$E$12+1,1))</f>
        <v>173.63857221119594</v>
      </c>
      <c r="CE86" s="59">
        <f t="shared" si="94"/>
        <v>52.373745617370105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0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-1.1368683772161603E-13</v>
      </c>
      <c r="O87" s="13">
        <f>N87*VLOOKUP('Données projet'!$B$9,Paramètres!$A$1:$I$89,3,0)*VLOOKUP('Données projet'!$B$9,Paramètres!$A$1:$I$89,5,0)</f>
        <v>-6.7984728957526396E-14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175.34314856709307</v>
      </c>
      <c r="T87" s="59">
        <f t="shared" si="88"/>
        <v>296.28950942251339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5.0712943116315641</v>
      </c>
      <c r="AA87" s="21">
        <f>EXP(-LN(2)/25)*AA86+(1-EXP(-LN(2)/25))/(LN(2)/25)*Calculateur!V87*Calculateur!X87*VLOOKUP('Données projet'!$B$9,Paramètres!$A$1:$I$89,3,0)*0.475*44/12</f>
        <v>4.1986927582670059</v>
      </c>
      <c r="AB87" s="21">
        <f>EXP(-LN(2)/2)*AB86+(1-EXP(-LN(2)/2))/(LN(2)/2)*V87*Y87*VLOOKUP('Données projet'!$B$9,Paramètres!$A$1:$I$89,3,0)*0.475*44/12</f>
        <v>1.9083577412887181E-8</v>
      </c>
      <c r="AC87" s="22">
        <f t="shared" si="57"/>
        <v>9.2699870889821465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5.7</v>
      </c>
      <c r="AI87" s="13">
        <f>IF('Données projet'!$A$62&gt;35,AI86+AH87-AQ86,IF(A87&lt;'Données projet'!$A$62,$AF$205^A87,IF(A87='Données projet'!$A$62,'Données projet'!$B$62,AI86+AH87-AQ86)))</f>
        <v>244.8</v>
      </c>
      <c r="AJ87" s="13">
        <f>AI87*VLOOKUP('Données projet'!$B$10,Paramètres!$A$1:$I$89,3,0)*VLOOKUP('Données projet'!$B$10,Paramètres!$A$1:$I$89,5,0)</f>
        <v>206.21952000000002</v>
      </c>
      <c r="AK87" s="13">
        <f t="shared" si="89"/>
        <v>51.108584284640322</v>
      </c>
      <c r="AL87" s="20">
        <f t="shared" si="58"/>
        <v>448.1797816290819</v>
      </c>
      <c r="AM87" s="59">
        <f t="shared" si="59"/>
        <v>741.51311496241522</v>
      </c>
      <c r="AN87" s="59">
        <f ca="1">AVERAGE(OFFSET($AM$3,0,0,'Données projet'!$E$10+1,1))-AVERAGE(OFFSET($H$3,0,0,'Données projet'!$E$10+1,1))</f>
        <v>247.67539667223065</v>
      </c>
      <c r="AO87" s="59">
        <f t="shared" si="90"/>
        <v>174.54442616983778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0.43978217564533867</v>
      </c>
      <c r="AV87" s="21">
        <f>EXP(-LN(2)/25)*AV86+(1-EXP(-LN(2)/25))/(LN(2)/25)*Calculateur!AQ87*Calculateur!AS87*VLOOKUP('Données projet'!$B$10,Paramètres!$A$1:$I$89,3,0)*0.475*44/12</f>
        <v>1.4711646696237111</v>
      </c>
      <c r="AW87" s="21">
        <f>EXP(-LN(2)/2)*AW86+(1-EXP(-LN(2)/2))/(LN(2)/2)*AQ87*AT87*VLOOKUP('Données projet'!$B$10,Paramètres!$A$1:$I$89,3,0)*0.475*44/12</f>
        <v>8.578460887677785E-8</v>
      </c>
      <c r="AX87" s="21">
        <f t="shared" si="60"/>
        <v>1.9109469310536586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200.00641025641025</v>
      </c>
      <c r="BB87" s="12">
        <f>VLOOKUP(A87,'Données projet'!$A$87:$I$107,9,0)</f>
        <v>5.5042735042735051</v>
      </c>
      <c r="BC87" s="12">
        <f t="array" ref="BC87">INDEX(BB:BB,MIN(IF(ISNUMBER(BB87:BB283),ROW(BB87:BB283),"")))</f>
        <v>5.5042735042735051</v>
      </c>
      <c r="BD87" s="12">
        <f>IF('Données projet'!$A$88&gt;35,BD86+BC87-BL86,IF(A87&lt;'Données projet'!$A$88,$BA$205^A87,IF(A87='Données projet'!$A$88,'Données projet'!$B$88,BD86+BC87-BL86)))</f>
        <v>200.00641025641016</v>
      </c>
      <c r="BE87" s="13">
        <f>BD87*VLOOKUP('Données projet'!$B$11,Paramètres!$A$1:$I$89,3,0)*VLOOKUP('Données projet'!$B$11,Paramètres!$A$1:$I$89,5,0)</f>
        <v>199.68639999999994</v>
      </c>
      <c r="BF87" s="13">
        <f t="shared" si="91"/>
        <v>49.675241643983554</v>
      </c>
      <c r="BG87" s="20">
        <f t="shared" si="61"/>
        <v>434.30485919660458</v>
      </c>
      <c r="BH87" s="59">
        <f t="shared" si="62"/>
        <v>727.6381925299379</v>
      </c>
      <c r="BI87" s="59">
        <f ca="1">AVERAGE(OFFSET($BH$3,0,0,'Données projet'!$E$11+1,1))-AVERAGE(OFFSET($H$3,0,0,'Données projet'!$E$11+1,1))</f>
        <v>245.06609107649069</v>
      </c>
      <c r="BJ87" s="59">
        <f t="shared" si="92"/>
        <v>156.24531945456499</v>
      </c>
      <c r="BK87" s="15">
        <f>IF(ISNA(VLOOKUP(A87,'Données projet'!$A$87:$I$107,3,0)),0,VLOOKUP(A87,'Données projet'!$A$87:$I$107,3,0))</f>
        <v>6</v>
      </c>
      <c r="BL87" s="15">
        <f>IF(ISNA(VLOOKUP(A87,'Données projet'!$A$87:$I$107,4,0)),0,VLOOKUP(A87,'Données projet'!$A$87:$I$107,4,0))</f>
        <v>35.083333333333329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9.2594958022652705</v>
      </c>
      <c r="BQ87" s="21">
        <f>EXP(-LN(2)/25)*BQ86+(1-EXP(-LN(2)/25))/(LN(2)/25)*Calculateur!BL87*Calculateur!BN87*VLOOKUP('Données projet'!$B$11,Paramètres!$A$1:$I$89,3,0)*0.475*44/12</f>
        <v>5.1542072938086072</v>
      </c>
      <c r="BR87" s="21">
        <f>EXP(-LN(2)/2)*BR86+(1-EXP(-LN(2)/2))/(LN(2)/2)*BL87*BO87*VLOOKUP('Données projet'!$B$11,Paramètres!$A$1:$I$89,3,0)*0.475*44/12</f>
        <v>1.3227279674636139E-4</v>
      </c>
      <c r="BS87" s="22">
        <f t="shared" si="63"/>
        <v>14.413835368870624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3.4011202926386175</v>
      </c>
      <c r="BY87" s="12">
        <f>IF('Données projet'!$A$114&gt;35,BY86+BX87-CG86,IF(A87&lt;'Données projet'!$A$114,$BV$205^A87,IF(A87='Données projet'!$A$114,'Données projet'!$B$114,BY86+BX87-CG86)))</f>
        <v>192.97640442957805</v>
      </c>
      <c r="BZ87" s="13">
        <f>BY87*VLOOKUP('Données projet'!$B$12,Paramètres!$A$1:$I$89,3,0)*VLOOKUP('Données projet'!$B$12,Paramètres!$A$1:$I$89,5,0)</f>
        <v>210.73023363709922</v>
      </c>
      <c r="CA87" s="13">
        <f t="shared" si="93"/>
        <v>52.095127867612987</v>
      </c>
      <c r="CB87" s="20">
        <f t="shared" si="64"/>
        <v>457.75417128737371</v>
      </c>
      <c r="CC87" s="59">
        <f t="shared" si="65"/>
        <v>751.08750462070702</v>
      </c>
      <c r="CD87" s="59">
        <f ca="1">AVERAGE(OFFSET($CC$3,0,0,'Données projet'!$E$12+1,1))-AVERAGE(OFFSET($H$3,0,0,'Données projet'!$E$12+1,1))</f>
        <v>173.63857221119594</v>
      </c>
      <c r="CE87" s="59">
        <f t="shared" si="94"/>
        <v>52.373745617370105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0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-1.1368683772161603E-13</v>
      </c>
      <c r="O88" s="13">
        <f>N88*VLOOKUP('Données projet'!$B$9,Paramètres!$A$1:$I$89,3,0)*VLOOKUP('Données projet'!$B$9,Paramètres!$A$1:$I$89,5,0)</f>
        <v>-6.7984728957526396E-14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175.34314856709307</v>
      </c>
      <c r="T88" s="59">
        <f t="shared" si="88"/>
        <v>296.28950942251339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4.9718493233645731</v>
      </c>
      <c r="AA88" s="21">
        <f>EXP(-LN(2)/25)*AA87+(1-EXP(-LN(2)/25))/(LN(2)/25)*Calculateur!V88*Calculateur!X88*VLOOKUP('Données projet'!$B$9,Paramètres!$A$1:$I$89,3,0)*0.475*44/12</f>
        <v>4.0838792839925384</v>
      </c>
      <c r="AB88" s="21">
        <f>EXP(-LN(2)/2)*AB87+(1-EXP(-LN(2)/2))/(LN(2)/2)*V88*Y88*VLOOKUP('Données projet'!$B$9,Paramètres!$A$1:$I$89,3,0)*0.475*44/12</f>
        <v>1.3494126997950957E-8</v>
      </c>
      <c r="AC88" s="22">
        <f t="shared" si="57"/>
        <v>9.0557286208512373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5.7</v>
      </c>
      <c r="AI88" s="13">
        <f>IF('Données projet'!$A$62&gt;35,AI87+AH88-AQ87,IF(A88&lt;'Données projet'!$A$62,$AF$205^A88,IF(A88='Données projet'!$A$62,'Données projet'!$B$62,AI87+AH88-AQ87)))</f>
        <v>250.5</v>
      </c>
      <c r="AJ88" s="13">
        <f>AI88*VLOOKUP('Données projet'!$B$10,Paramètres!$A$1:$I$89,3,0)*VLOOKUP('Données projet'!$B$10,Paramètres!$A$1:$I$89,5,0)</f>
        <v>211.02120000000002</v>
      </c>
      <c r="AK88" s="13">
        <f t="shared" si="89"/>
        <v>52.158680547553367</v>
      </c>
      <c r="AL88" s="20">
        <f t="shared" si="58"/>
        <v>458.37162528698883</v>
      </c>
      <c r="AM88" s="59">
        <f t="shared" si="59"/>
        <v>751.70495862032215</v>
      </c>
      <c r="AN88" s="59">
        <f ca="1">AVERAGE(OFFSET($AM$3,0,0,'Données projet'!$E$10+1,1))-AVERAGE(OFFSET($H$3,0,0,'Données projet'!$E$10+1,1))</f>
        <v>247.67539667223065</v>
      </c>
      <c r="AO88" s="59">
        <f t="shared" si="90"/>
        <v>174.54442616983778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0.43115831542157418</v>
      </c>
      <c r="AV88" s="21">
        <f>EXP(-LN(2)/25)*AV87+(1-EXP(-LN(2)/25))/(LN(2)/25)*Calculateur!AQ88*Calculateur!AS88*VLOOKUP('Données projet'!$B$10,Paramètres!$A$1:$I$89,3,0)*0.475*44/12</f>
        <v>1.4309355943676632</v>
      </c>
      <c r="AW88" s="21">
        <f>EXP(-LN(2)/2)*AW87+(1-EXP(-LN(2)/2))/(LN(2)/2)*AQ88*AT88*VLOOKUP('Données projet'!$B$10,Paramètres!$A$1:$I$89,3,0)*0.475*44/12</f>
        <v>6.0658878658205317E-8</v>
      </c>
      <c r="AX88" s="21">
        <f t="shared" si="60"/>
        <v>1.8620939704481159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5.2606837606837598</v>
      </c>
      <c r="BD88" s="12">
        <f>IF('Données projet'!$A$88&gt;35,BD87+BC88-BL87,IF(A88&lt;'Données projet'!$A$88,$BA$205^A88,IF(A88='Données projet'!$A$88,'Données projet'!$B$88,BD87+BC88-BL87)))</f>
        <v>170.18376068376057</v>
      </c>
      <c r="BE88" s="13">
        <f>BD88*VLOOKUP('Données projet'!$B$11,Paramètres!$A$1:$I$89,3,0)*VLOOKUP('Données projet'!$B$11,Paramètres!$A$1:$I$89,5,0)</f>
        <v>169.91146666666657</v>
      </c>
      <c r="BF88" s="13">
        <f t="shared" si="91"/>
        <v>43.070194462652083</v>
      </c>
      <c r="BG88" s="20">
        <f t="shared" si="61"/>
        <v>370.94305980022995</v>
      </c>
      <c r="BH88" s="59">
        <f t="shared" si="62"/>
        <v>664.27639313356326</v>
      </c>
      <c r="BI88" s="59">
        <f ca="1">AVERAGE(OFFSET($BH$3,0,0,'Données projet'!$E$11+1,1))-AVERAGE(OFFSET($H$3,0,0,'Données projet'!$E$11+1,1))</f>
        <v>245.06609107649069</v>
      </c>
      <c r="BJ88" s="59">
        <f t="shared" si="92"/>
        <v>156.24531945456499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9.0779227373176212</v>
      </c>
      <c r="BQ88" s="21">
        <f>EXP(-LN(2)/25)*BQ87+(1-EXP(-LN(2)/25))/(LN(2)/25)*Calculateur!BL88*Calculateur!BN88*VLOOKUP('Données projet'!$B$11,Paramètres!$A$1:$I$89,3,0)*0.475*44/12</f>
        <v>5.0132652243114295</v>
      </c>
      <c r="BR88" s="21">
        <f>EXP(-LN(2)/2)*BR87+(1-EXP(-LN(2)/2))/(LN(2)/2)*BL88*BO88*VLOOKUP('Données projet'!$B$11,Paramètres!$A$1:$I$89,3,0)*0.475*44/12</f>
        <v>9.3530991545862039E-5</v>
      </c>
      <c r="BS88" s="22">
        <f t="shared" si="63"/>
        <v>14.091281492620595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3.4011202926386175</v>
      </c>
      <c r="BY88" s="12">
        <f>IF('Données projet'!$A$114&gt;35,BY87+BX88-CG87,IF(A88&lt;'Données projet'!$A$114,$BV$205^A88,IF(A88='Données projet'!$A$114,'Données projet'!$B$114,BY87+BX88-CG87)))</f>
        <v>196.37752472221666</v>
      </c>
      <c r="BZ88" s="13">
        <f>BY88*VLOOKUP('Données projet'!$B$12,Paramètres!$A$1:$I$89,3,0)*VLOOKUP('Données projet'!$B$12,Paramètres!$A$1:$I$89,5,0)</f>
        <v>214.44425699666058</v>
      </c>
      <c r="CA88" s="13">
        <f t="shared" si="93"/>
        <v>52.905580785420632</v>
      </c>
      <c r="CB88" s="20">
        <f t="shared" si="64"/>
        <v>465.6343008037914</v>
      </c>
      <c r="CC88" s="59">
        <f t="shared" si="65"/>
        <v>758.96763413712472</v>
      </c>
      <c r="CD88" s="59">
        <f ca="1">AVERAGE(OFFSET($CC$3,0,0,'Données projet'!$E$12+1,1))-AVERAGE(OFFSET($H$3,0,0,'Données projet'!$E$12+1,1))</f>
        <v>173.63857221119594</v>
      </c>
      <c r="CE88" s="59">
        <f t="shared" si="94"/>
        <v>52.373745617370105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0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-1.1368683772161603E-13</v>
      </c>
      <c r="O89" s="13">
        <f>N89*VLOOKUP('Données projet'!$B$9,Paramètres!$A$1:$I$89,3,0)*VLOOKUP('Données projet'!$B$9,Paramètres!$A$1:$I$89,5,0)</f>
        <v>-6.7984728957526396E-14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175.34314856709307</v>
      </c>
      <c r="T89" s="59">
        <f t="shared" si="88"/>
        <v>296.28950942251339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4.8743543906620435</v>
      </c>
      <c r="AA89" s="21">
        <f>EXP(-LN(2)/25)*AA88+(1-EXP(-LN(2)/25))/(LN(2)/25)*Calculateur!V89*Calculateur!X89*VLOOKUP('Données projet'!$B$9,Paramètres!$A$1:$I$89,3,0)*0.475*44/12</f>
        <v>3.9722053902098846</v>
      </c>
      <c r="AB89" s="21">
        <f>EXP(-LN(2)/2)*AB88+(1-EXP(-LN(2)/2))/(LN(2)/2)*V89*Y89*VLOOKUP('Données projet'!$B$9,Paramètres!$A$1:$I$89,3,0)*0.475*44/12</f>
        <v>9.5417887064435905E-9</v>
      </c>
      <c r="AC89" s="22">
        <f t="shared" si="57"/>
        <v>8.8465597904137176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5.7</v>
      </c>
      <c r="AI89" s="13">
        <f>IF('Données projet'!$A$62&gt;35,AI88+AH89-AQ88,IF(A89&lt;'Données projet'!$A$62,$AF$205^A89,IF(A89='Données projet'!$A$62,'Données projet'!$B$62,AI88+AH89-AQ88)))</f>
        <v>256.2</v>
      </c>
      <c r="AJ89" s="13">
        <f>AI89*VLOOKUP('Données projet'!$B$10,Paramètres!$A$1:$I$89,3,0)*VLOOKUP('Données projet'!$B$10,Paramètres!$A$1:$I$89,5,0)</f>
        <v>215.82288000000003</v>
      </c>
      <c r="AK89" s="13">
        <f t="shared" si="89"/>
        <v>53.205998928315829</v>
      </c>
      <c r="AL89" s="20">
        <f t="shared" si="58"/>
        <v>468.55863080015007</v>
      </c>
      <c r="AM89" s="59">
        <f t="shared" si="59"/>
        <v>761.89196413348338</v>
      </c>
      <c r="AN89" s="59">
        <f ca="1">AVERAGE(OFFSET($AM$3,0,0,'Données projet'!$E$10+1,1))-AVERAGE(OFFSET($H$3,0,0,'Données projet'!$E$10+1,1))</f>
        <v>247.67539667223065</v>
      </c>
      <c r="AO89" s="59">
        <f t="shared" si="90"/>
        <v>174.54442616983778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0.42270356383676233</v>
      </c>
      <c r="AV89" s="21">
        <f>EXP(-LN(2)/25)*AV88+(1-EXP(-LN(2)/25))/(LN(2)/25)*Calculateur!AQ89*Calculateur!AS89*VLOOKUP('Données projet'!$B$10,Paramètres!$A$1:$I$89,3,0)*0.475*44/12</f>
        <v>1.391806585290047</v>
      </c>
      <c r="AW89" s="21">
        <f>EXP(-LN(2)/2)*AW88+(1-EXP(-LN(2)/2))/(LN(2)/2)*AQ89*AT89*VLOOKUP('Données projet'!$B$10,Paramètres!$A$1:$I$89,3,0)*0.475*44/12</f>
        <v>4.2892304438388925E-8</v>
      </c>
      <c r="AX89" s="21">
        <f t="shared" si="60"/>
        <v>1.8145101920191138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5.2606837606837598</v>
      </c>
      <c r="BD89" s="12">
        <f>IF('Données projet'!$A$88&gt;35,BD88+BC89-BL88,IF(A89&lt;'Données projet'!$A$88,$BA$205^A89,IF(A89='Données projet'!$A$88,'Données projet'!$B$88,BD88+BC89-BL88)))</f>
        <v>175.44444444444431</v>
      </c>
      <c r="BE89" s="13">
        <f>BD89*VLOOKUP('Données projet'!$B$11,Paramètres!$A$1:$I$89,3,0)*VLOOKUP('Données projet'!$B$11,Paramètres!$A$1:$I$89,5,0)</f>
        <v>175.1637333333332</v>
      </c>
      <c r="BF89" s="13">
        <f t="shared" si="91"/>
        <v>44.244506331504681</v>
      </c>
      <c r="BG89" s="20">
        <f t="shared" si="61"/>
        <v>382.13601741625922</v>
      </c>
      <c r="BH89" s="59">
        <f t="shared" si="62"/>
        <v>675.46935074959254</v>
      </c>
      <c r="BI89" s="59">
        <f ca="1">AVERAGE(OFFSET($BH$3,0,0,'Données projet'!$E$11+1,1))-AVERAGE(OFFSET($H$3,0,0,'Données projet'!$E$11+1,1))</f>
        <v>245.06609107649069</v>
      </c>
      <c r="BJ89" s="59">
        <f t="shared" si="92"/>
        <v>156.24531945456499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8.8999102094249611</v>
      </c>
      <c r="BQ89" s="21">
        <f>EXP(-LN(2)/25)*BQ88+(1-EXP(-LN(2)/25))/(LN(2)/25)*Calculateur!BL89*Calculateur!BN89*VLOOKUP('Données projet'!$B$11,Paramètres!$A$1:$I$89,3,0)*0.475*44/12</f>
        <v>4.8761772231164731</v>
      </c>
      <c r="BR89" s="21">
        <f>EXP(-LN(2)/2)*BR88+(1-EXP(-LN(2)/2))/(LN(2)/2)*BL89*BO89*VLOOKUP('Données projet'!$B$11,Paramètres!$A$1:$I$89,3,0)*0.475*44/12</f>
        <v>6.6136398373180694E-5</v>
      </c>
      <c r="BS89" s="22">
        <f t="shared" si="63"/>
        <v>13.776153568939808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3.4011202926386175</v>
      </c>
      <c r="BY89" s="12">
        <f>IF('Données projet'!$A$114&gt;35,BY88+BX89-CG88,IF(A89&lt;'Données projet'!$A$114,$BV$205^A89,IF(A89='Données projet'!$A$114,'Données projet'!$B$114,BY88+BX89-CG88)))</f>
        <v>199.77864501485527</v>
      </c>
      <c r="BZ89" s="13">
        <f>BY89*VLOOKUP('Données projet'!$B$12,Paramètres!$A$1:$I$89,3,0)*VLOOKUP('Données projet'!$B$12,Paramètres!$A$1:$I$89,5,0)</f>
        <v>218.15828035622195</v>
      </c>
      <c r="CA89" s="13">
        <f t="shared" si="93"/>
        <v>53.714401417257356</v>
      </c>
      <c r="CB89" s="20">
        <f t="shared" si="64"/>
        <v>473.51158742214312</v>
      </c>
      <c r="CC89" s="59">
        <f t="shared" si="65"/>
        <v>766.84492075547644</v>
      </c>
      <c r="CD89" s="59">
        <f ca="1">AVERAGE(OFFSET($CC$3,0,0,'Données projet'!$E$12+1,1))-AVERAGE(OFFSET($H$3,0,0,'Données projet'!$E$12+1,1))</f>
        <v>173.63857221119594</v>
      </c>
      <c r="CE89" s="59">
        <f t="shared" si="94"/>
        <v>52.373745617370105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0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-1.1368683772161603E-13</v>
      </c>
      <c r="O90" s="13">
        <f>N90*VLOOKUP('Données projet'!$B$9,Paramètres!$A$1:$I$89,3,0)*VLOOKUP('Données projet'!$B$9,Paramètres!$A$1:$I$89,5,0)</f>
        <v>-6.7984728957526396E-14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175.34314856709307</v>
      </c>
      <c r="T90" s="59">
        <f t="shared" si="88"/>
        <v>296.28950942251339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4.7787712741237733</v>
      </c>
      <c r="AA90" s="21">
        <f>EXP(-LN(2)/25)*AA89+(1-EXP(-LN(2)/25))/(LN(2)/25)*Calculateur!V90*Calculateur!X90*VLOOKUP('Données projet'!$B$9,Paramètres!$A$1:$I$89,3,0)*0.475*44/12</f>
        <v>3.8635852249253926</v>
      </c>
      <c r="AB90" s="21">
        <f>EXP(-LN(2)/2)*AB89+(1-EXP(-LN(2)/2))/(LN(2)/2)*V90*Y90*VLOOKUP('Données projet'!$B$9,Paramètres!$A$1:$I$89,3,0)*0.475*44/12</f>
        <v>6.7470634989754784E-9</v>
      </c>
      <c r="AC90" s="22">
        <f t="shared" si="57"/>
        <v>8.6423565057962293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5.7</v>
      </c>
      <c r="AI90" s="13">
        <f>IF('Données projet'!$A$62&gt;35,AI89+AH90-AQ89,IF(A90&lt;'Données projet'!$A$62,$AF$205^A90,IF(A90='Données projet'!$A$62,'Données projet'!$B$62,AI89+AH90-AQ89)))</f>
        <v>261.89999999999998</v>
      </c>
      <c r="AJ90" s="13">
        <f>AI90*VLOOKUP('Données projet'!$B$10,Paramètres!$A$1:$I$89,3,0)*VLOOKUP('Données projet'!$B$10,Paramètres!$A$1:$I$89,5,0)</f>
        <v>220.62456</v>
      </c>
      <c r="AK90" s="13">
        <f t="shared" si="89"/>
        <v>54.250608346019369</v>
      </c>
      <c r="AL90" s="20">
        <f t="shared" si="58"/>
        <v>478.74091820265045</v>
      </c>
      <c r="AM90" s="59">
        <f t="shared" si="59"/>
        <v>772.07425153598376</v>
      </c>
      <c r="AN90" s="59">
        <f ca="1">AVERAGE(OFFSET($AM$3,0,0,'Données projet'!$E$10+1,1))-AVERAGE(OFFSET($H$3,0,0,'Données projet'!$E$10+1,1))</f>
        <v>247.67539667223065</v>
      </c>
      <c r="AO90" s="59">
        <f t="shared" si="90"/>
        <v>174.54442616983778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0.41441460477363939</v>
      </c>
      <c r="AV90" s="21">
        <f>EXP(-LN(2)/25)*AV89+(1-EXP(-LN(2)/25))/(LN(2)/25)*Calculateur!AQ90*Calculateur!AS90*VLOOKUP('Données projet'!$B$10,Paramètres!$A$1:$I$89,3,0)*0.475*44/12</f>
        <v>1.3537475610233634</v>
      </c>
      <c r="AW90" s="21">
        <f>EXP(-LN(2)/2)*AW89+(1-EXP(-LN(2)/2))/(LN(2)/2)*AQ90*AT90*VLOOKUP('Données projet'!$B$10,Paramètres!$A$1:$I$89,3,0)*0.475*44/12</f>
        <v>3.0329439329102658E-8</v>
      </c>
      <c r="AX90" s="21">
        <f t="shared" si="60"/>
        <v>1.7681621961264422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5.2606837606837598</v>
      </c>
      <c r="BD90" s="12">
        <f>IF('Données projet'!$A$88&gt;35,BD89+BC90-BL89,IF(A90&lt;'Données projet'!$A$88,$BA$205^A90,IF(A90='Données projet'!$A$88,'Données projet'!$B$88,BD89+BC90-BL89)))</f>
        <v>180.70512820512806</v>
      </c>
      <c r="BE90" s="13">
        <f>BD90*VLOOKUP('Données projet'!$B$11,Paramètres!$A$1:$I$89,3,0)*VLOOKUP('Données projet'!$B$11,Paramètres!$A$1:$I$89,5,0)</f>
        <v>180.41599999999988</v>
      </c>
      <c r="BF90" s="13">
        <f t="shared" si="91"/>
        <v>45.414726064006082</v>
      </c>
      <c r="BG90" s="20">
        <f t="shared" si="61"/>
        <v>393.32184789481039</v>
      </c>
      <c r="BH90" s="59">
        <f t="shared" si="62"/>
        <v>686.65518122814365</v>
      </c>
      <c r="BI90" s="59">
        <f ca="1">AVERAGE(OFFSET($BH$3,0,0,'Données projet'!$E$11+1,1))-AVERAGE(OFFSET($H$3,0,0,'Données projet'!$E$11+1,1))</f>
        <v>245.06609107649069</v>
      </c>
      <c r="BJ90" s="59">
        <f t="shared" si="92"/>
        <v>156.24531945456499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8.7253883986273539</v>
      </c>
      <c r="BQ90" s="21">
        <f>EXP(-LN(2)/25)*BQ89+(1-EXP(-LN(2)/25))/(LN(2)/25)*Calculateur!BL90*Calculateur!BN90*VLOOKUP('Données projet'!$B$11,Paramètres!$A$1:$I$89,3,0)*0.475*44/12</f>
        <v>4.7428379005233374</v>
      </c>
      <c r="BR90" s="21">
        <f>EXP(-LN(2)/2)*BR89+(1-EXP(-LN(2)/2))/(LN(2)/2)*BL90*BO90*VLOOKUP('Données projet'!$B$11,Paramètres!$A$1:$I$89,3,0)*0.475*44/12</f>
        <v>4.676549577293102E-5</v>
      </c>
      <c r="BS90" s="22">
        <f t="shared" si="63"/>
        <v>13.468273064646464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3.4011202926386175</v>
      </c>
      <c r="BY90" s="12">
        <f>IF('Données projet'!$A$114&gt;35,BY89+BX90-CG89,IF(A90&lt;'Données projet'!$A$114,$BV$205^A90,IF(A90='Données projet'!$A$114,'Données projet'!$B$114,BY89+BX90-CG89)))</f>
        <v>203.17976530749388</v>
      </c>
      <c r="BZ90" s="13">
        <f>BY90*VLOOKUP('Données projet'!$B$12,Paramètres!$A$1:$I$89,3,0)*VLOOKUP('Données projet'!$B$12,Paramètres!$A$1:$I$89,5,0)</f>
        <v>221.87230371578329</v>
      </c>
      <c r="CA90" s="13">
        <f t="shared" si="93"/>
        <v>54.521620758794874</v>
      </c>
      <c r="CB90" s="20">
        <f t="shared" si="64"/>
        <v>481.38608512655702</v>
      </c>
      <c r="CC90" s="59">
        <f t="shared" si="65"/>
        <v>774.71941845989033</v>
      </c>
      <c r="CD90" s="59">
        <f ca="1">AVERAGE(OFFSET($CC$3,0,0,'Données projet'!$E$12+1,1))-AVERAGE(OFFSET($H$3,0,0,'Données projet'!$E$12+1,1))</f>
        <v>173.63857221119594</v>
      </c>
      <c r="CE90" s="59">
        <f t="shared" si="94"/>
        <v>52.373745617370105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0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-1.1368683772161603E-13</v>
      </c>
      <c r="O91" s="13">
        <f>N91*VLOOKUP('Données projet'!$B$9,Paramètres!$A$1:$I$89,3,0)*VLOOKUP('Données projet'!$B$9,Paramètres!$A$1:$I$89,5,0)</f>
        <v>-6.7984728957526396E-14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175.34314856709307</v>
      </c>
      <c r="T91" s="59">
        <f t="shared" si="88"/>
        <v>296.28950942251339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4.6850624842008743</v>
      </c>
      <c r="AA91" s="21">
        <f>EXP(-LN(2)/25)*AA90+(1-EXP(-LN(2)/25))/(LN(2)/25)*Calculateur!V91*Calculateur!X91*VLOOKUP('Données projet'!$B$9,Paramètres!$A$1:$I$89,3,0)*0.475*44/12</f>
        <v>3.7579352837726909</v>
      </c>
      <c r="AB91" s="21">
        <f>EXP(-LN(2)/2)*AB90+(1-EXP(-LN(2)/2))/(LN(2)/2)*V91*Y91*VLOOKUP('Données projet'!$B$9,Paramètres!$A$1:$I$89,3,0)*0.475*44/12</f>
        <v>4.7708943532217953E-9</v>
      </c>
      <c r="AC91" s="22">
        <f t="shared" si="57"/>
        <v>8.4429977727444605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5.7</v>
      </c>
      <c r="AI91" s="13">
        <f>IF('Données projet'!$A$62&gt;35,AI90+AH91-AQ90,IF(A91&lt;'Données projet'!$A$62,$AF$205^A91,IF(A91='Données projet'!$A$62,'Données projet'!$B$62,AI90+AH91-AQ90)))</f>
        <v>267.59999999999997</v>
      </c>
      <c r="AJ91" s="13">
        <f>AI91*VLOOKUP('Données projet'!$B$10,Paramètres!$A$1:$I$89,3,0)*VLOOKUP('Données projet'!$B$10,Paramètres!$A$1:$I$89,5,0)</f>
        <v>225.42624000000001</v>
      </c>
      <c r="AK91" s="13">
        <f t="shared" si="89"/>
        <v>55.292574548511105</v>
      </c>
      <c r="AL91" s="20">
        <f t="shared" si="58"/>
        <v>488.91860200532346</v>
      </c>
      <c r="AM91" s="59">
        <f t="shared" si="59"/>
        <v>782.25193533865672</v>
      </c>
      <c r="AN91" s="59">
        <f ca="1">AVERAGE(OFFSET($AM$3,0,0,'Données projet'!$E$10+1,1))-AVERAGE(OFFSET($H$3,0,0,'Données projet'!$E$10+1,1))</f>
        <v>247.67539667223065</v>
      </c>
      <c r="AO91" s="59">
        <f t="shared" si="90"/>
        <v>174.54442616983778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0.40628818714197845</v>
      </c>
      <c r="AV91" s="21">
        <f>EXP(-LN(2)/25)*AV90+(1-EXP(-LN(2)/25))/(LN(2)/25)*Calculateur!AQ91*Calculateur!AS91*VLOOKUP('Données projet'!$B$10,Paramètres!$A$1:$I$89,3,0)*0.475*44/12</f>
        <v>1.3167292627766893</v>
      </c>
      <c r="AW91" s="21">
        <f>EXP(-LN(2)/2)*AW90+(1-EXP(-LN(2)/2))/(LN(2)/2)*AQ91*AT91*VLOOKUP('Données projet'!$B$10,Paramètres!$A$1:$I$89,3,0)*0.475*44/12</f>
        <v>2.1446152219194463E-8</v>
      </c>
      <c r="AX91" s="21">
        <f t="shared" si="60"/>
        <v>1.7230174713648199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5.2606837606837598</v>
      </c>
      <c r="BD91" s="12">
        <f>IF('Données projet'!$A$88&gt;35,BD90+BC91-BL90,IF(A91&lt;'Données projet'!$A$88,$BA$205^A91,IF(A91='Données projet'!$A$88,'Données projet'!$B$88,BD90+BC91-BL90)))</f>
        <v>185.96581196581181</v>
      </c>
      <c r="BE91" s="13">
        <f>BD91*VLOOKUP('Données projet'!$B$11,Paramètres!$A$1:$I$89,3,0)*VLOOKUP('Données projet'!$B$11,Paramètres!$A$1:$I$89,5,0)</f>
        <v>185.66826666666651</v>
      </c>
      <c r="BF91" s="13">
        <f t="shared" si="91"/>
        <v>46.580986470035221</v>
      </c>
      <c r="BG91" s="20">
        <f t="shared" si="61"/>
        <v>404.50078254642216</v>
      </c>
      <c r="BH91" s="59">
        <f t="shared" si="62"/>
        <v>697.83411587975547</v>
      </c>
      <c r="BI91" s="59">
        <f ca="1">AVERAGE(OFFSET($BH$3,0,0,'Données projet'!$E$11+1,1))-AVERAGE(OFFSET($H$3,0,0,'Données projet'!$E$11+1,1))</f>
        <v>245.06609107649069</v>
      </c>
      <c r="BJ91" s="59">
        <f t="shared" si="92"/>
        <v>156.24531945456499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8.5542888540916948</v>
      </c>
      <c r="BQ91" s="21">
        <f>EXP(-LN(2)/25)*BQ90+(1-EXP(-LN(2)/25))/(LN(2)/25)*Calculateur!BL91*Calculateur!BN91*VLOOKUP('Données projet'!$B$11,Paramètres!$A$1:$I$89,3,0)*0.475*44/12</f>
        <v>4.6131447487185211</v>
      </c>
      <c r="BR91" s="21">
        <f>EXP(-LN(2)/2)*BR90+(1-EXP(-LN(2)/2))/(LN(2)/2)*BL91*BO91*VLOOKUP('Données projet'!$B$11,Paramètres!$A$1:$I$89,3,0)*0.475*44/12</f>
        <v>3.3068199186590347E-5</v>
      </c>
      <c r="BS91" s="22">
        <f t="shared" si="63"/>
        <v>13.167466671009404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3.4011202926386175</v>
      </c>
      <c r="BY91" s="12">
        <f>IF('Données projet'!$A$114&gt;35,BY90+BX91-CG90,IF(A91&lt;'Données projet'!$A$114,$BV$205^A91,IF(A91='Données projet'!$A$114,'Données projet'!$B$114,BY90+BX91-CG90)))</f>
        <v>206.58088560013249</v>
      </c>
      <c r="BZ91" s="13">
        <f>BY91*VLOOKUP('Données projet'!$B$12,Paramètres!$A$1:$I$89,3,0)*VLOOKUP('Données projet'!$B$12,Paramètres!$A$1:$I$89,5,0)</f>
        <v>225.58632707534466</v>
      </c>
      <c r="CA91" s="13">
        <f t="shared" si="93"/>
        <v>55.327268708524549</v>
      </c>
      <c r="CB91" s="20">
        <f t="shared" si="64"/>
        <v>489.25784599023882</v>
      </c>
      <c r="CC91" s="59">
        <f t="shared" si="65"/>
        <v>782.59117932357208</v>
      </c>
      <c r="CD91" s="59">
        <f ca="1">AVERAGE(OFFSET($CC$3,0,0,'Données projet'!$E$12+1,1))-AVERAGE(OFFSET($H$3,0,0,'Données projet'!$E$12+1,1))</f>
        <v>173.63857221119594</v>
      </c>
      <c r="CE91" s="59">
        <f t="shared" si="94"/>
        <v>52.373745617370105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0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-1.1368683772161603E-13</v>
      </c>
      <c r="O92" s="13">
        <f>N92*VLOOKUP('Données projet'!$B$9,Paramètres!$A$1:$I$89,3,0)*VLOOKUP('Données projet'!$B$9,Paramètres!$A$1:$I$89,5,0)</f>
        <v>-6.7984728957526396E-14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175.34314856709307</v>
      </c>
      <c r="T92" s="59">
        <f t="shared" si="88"/>
        <v>296.28950942251339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4.5931912664916457</v>
      </c>
      <c r="AA92" s="21">
        <f>EXP(-LN(2)/25)*AA91+(1-EXP(-LN(2)/25))/(LN(2)/25)*Calculateur!V92*Calculateur!X92*VLOOKUP('Données projet'!$B$9,Paramètres!$A$1:$I$89,3,0)*0.475*44/12</f>
        <v>3.655174345816699</v>
      </c>
      <c r="AB92" s="21">
        <f>EXP(-LN(2)/2)*AB91+(1-EXP(-LN(2)/2))/(LN(2)/2)*V92*Y92*VLOOKUP('Données projet'!$B$9,Paramètres!$A$1:$I$89,3,0)*0.475*44/12</f>
        <v>3.3735317494877392E-9</v>
      </c>
      <c r="AC92" s="22">
        <f t="shared" si="57"/>
        <v>8.2483656156818768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5.7</v>
      </c>
      <c r="AI92" s="13">
        <f>IF('Données projet'!$A$62&gt;35,AI91+AH92-AQ91,IF(A92&lt;'Données projet'!$A$62,$AF$205^A92,IF(A92='Données projet'!$A$62,'Données projet'!$B$62,AI91+AH92-AQ91)))</f>
        <v>273.29999999999995</v>
      </c>
      <c r="AJ92" s="13">
        <f>AI92*VLOOKUP('Données projet'!$B$10,Paramètres!$A$1:$I$89,3,0)*VLOOKUP('Données projet'!$B$10,Paramètres!$A$1:$I$89,5,0)</f>
        <v>230.22792000000001</v>
      </c>
      <c r="AK92" s="13">
        <f t="shared" si="89"/>
        <v>56.331960322706529</v>
      </c>
      <c r="AL92" s="20">
        <f t="shared" si="58"/>
        <v>499.09179156204715</v>
      </c>
      <c r="AM92" s="59">
        <f t="shared" si="59"/>
        <v>792.42512489538046</v>
      </c>
      <c r="AN92" s="59">
        <f ca="1">AVERAGE(OFFSET($AM$3,0,0,'Données projet'!$E$10+1,1))-AVERAGE(OFFSET($H$3,0,0,'Données projet'!$E$10+1,1))</f>
        <v>247.67539667223065</v>
      </c>
      <c r="AO92" s="59">
        <f t="shared" si="90"/>
        <v>174.54442616983778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0.39832112360344907</v>
      </c>
      <c r="AV92" s="21">
        <f>EXP(-LN(2)/25)*AV91+(1-EXP(-LN(2)/25))/(LN(2)/25)*Calculateur!AQ92*Calculateur!AS92*VLOOKUP('Données projet'!$B$10,Paramètres!$A$1:$I$89,3,0)*0.475*44/12</f>
        <v>1.2807232318422783</v>
      </c>
      <c r="AW92" s="21">
        <f>EXP(-LN(2)/2)*AW91+(1-EXP(-LN(2)/2))/(LN(2)/2)*AQ92*AT92*VLOOKUP('Données projet'!$B$10,Paramètres!$A$1:$I$89,3,0)*0.475*44/12</f>
        <v>1.5164719664551329E-8</v>
      </c>
      <c r="AX92" s="21">
        <f t="shared" si="60"/>
        <v>1.679044370610447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5.2606837606837598</v>
      </c>
      <c r="BD92" s="12">
        <f>IF('Données projet'!$A$88&gt;35,BD91+BC92-BL91,IF(A92&lt;'Données projet'!$A$88,$BA$205^A92,IF(A92='Données projet'!$A$88,'Données projet'!$B$88,BD91+BC92-BL91)))</f>
        <v>191.22649572649556</v>
      </c>
      <c r="BE92" s="13">
        <f>BD92*VLOOKUP('Données projet'!$B$11,Paramètres!$A$1:$I$89,3,0)*VLOOKUP('Données projet'!$B$11,Paramètres!$A$1:$I$89,5,0)</f>
        <v>190.9205333333332</v>
      </c>
      <c r="BF92" s="13">
        <f t="shared" si="91"/>
        <v>47.743412418060544</v>
      </c>
      <c r="BG92" s="20">
        <f t="shared" si="61"/>
        <v>415.67303885034403</v>
      </c>
      <c r="BH92" s="59">
        <f t="shared" si="62"/>
        <v>709.00637218367729</v>
      </c>
      <c r="BI92" s="59">
        <f ca="1">AVERAGE(OFFSET($BH$3,0,0,'Données projet'!$E$11+1,1))-AVERAGE(OFFSET($H$3,0,0,'Données projet'!$E$11+1,1))</f>
        <v>245.06609107649069</v>
      </c>
      <c r="BJ92" s="59">
        <f t="shared" si="92"/>
        <v>156.24531945456499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8.3865444672639615</v>
      </c>
      <c r="BQ92" s="21">
        <f>EXP(-LN(2)/25)*BQ91+(1-EXP(-LN(2)/25))/(LN(2)/25)*Calculateur!BL92*Calculateur!BN92*VLOOKUP('Données projet'!$B$11,Paramètres!$A$1:$I$89,3,0)*0.475*44/12</f>
        <v>4.4869980629700743</v>
      </c>
      <c r="BR92" s="21">
        <f>EXP(-LN(2)/2)*BR91+(1-EXP(-LN(2)/2))/(LN(2)/2)*BL92*BO92*VLOOKUP('Données projet'!$B$11,Paramètres!$A$1:$I$89,3,0)*0.475*44/12</f>
        <v>2.338274788646551E-5</v>
      </c>
      <c r="BS92" s="22">
        <f t="shared" si="63"/>
        <v>12.873565912981924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3.4011202926386175</v>
      </c>
      <c r="BY92" s="12">
        <f>IF('Données projet'!$A$114&gt;35,BY91+BX92-CG91,IF(A92&lt;'Données projet'!$A$114,$BV$205^A92,IF(A92='Données projet'!$A$114,'Données projet'!$B$114,BY91+BX92-CG91)))</f>
        <v>209.9820058927711</v>
      </c>
      <c r="BZ92" s="13">
        <f>BY92*VLOOKUP('Données projet'!$B$12,Paramètres!$A$1:$I$89,3,0)*VLOOKUP('Données projet'!$B$12,Paramètres!$A$1:$I$89,5,0)</f>
        <v>229.30035043490602</v>
      </c>
      <c r="CA92" s="13">
        <f t="shared" si="93"/>
        <v>56.131374124007998</v>
      </c>
      <c r="CB92" s="20">
        <f t="shared" si="64"/>
        <v>497.12692027344195</v>
      </c>
      <c r="CC92" s="59">
        <f t="shared" si="65"/>
        <v>790.46025360677527</v>
      </c>
      <c r="CD92" s="59">
        <f ca="1">AVERAGE(OFFSET($CC$3,0,0,'Données projet'!$E$12+1,1))-AVERAGE(OFFSET($H$3,0,0,'Données projet'!$E$12+1,1))</f>
        <v>173.63857221119594</v>
      </c>
      <c r="CE92" s="59">
        <f t="shared" si="94"/>
        <v>52.373745617370105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0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-1.1368683772161603E-13</v>
      </c>
      <c r="O93" s="13">
        <f>N93*VLOOKUP('Données projet'!$B$9,Paramètres!$A$1:$I$89,3,0)*VLOOKUP('Données projet'!$B$9,Paramètres!$A$1:$I$89,5,0)</f>
        <v>-6.7984728957526396E-14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175.34314856709307</v>
      </c>
      <c r="T93" s="59">
        <f t="shared" si="88"/>
        <v>296.28950942251339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4.5031215873257846</v>
      </c>
      <c r="AA93" s="21">
        <f>EXP(-LN(2)/25)*AA92+(1-EXP(-LN(2)/25))/(LN(2)/25)*Calculateur!V93*Calculateur!X93*VLOOKUP('Données projet'!$B$9,Paramètres!$A$1:$I$89,3,0)*0.475*44/12</f>
        <v>3.5552234111130767</v>
      </c>
      <c r="AB93" s="21">
        <f>EXP(-LN(2)/2)*AB92+(1-EXP(-LN(2)/2))/(LN(2)/2)*V93*Y93*VLOOKUP('Données projet'!$B$9,Paramètres!$A$1:$I$89,3,0)*0.475*44/12</f>
        <v>2.3854471766108976E-9</v>
      </c>
      <c r="AC93" s="22">
        <f t="shared" si="57"/>
        <v>8.0583450008243087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279</v>
      </c>
      <c r="AG93" s="12">
        <f>VLOOKUP(A93,'Données projet'!$A$61:$I$81,9,0)</f>
        <v>5.7</v>
      </c>
      <c r="AH93" s="12">
        <f t="array" ref="AH93">INDEX(AG:AG,MIN(IF(ISNUMBER(AG93:AG289),ROW(AG93:AG289),"")))</f>
        <v>5.7</v>
      </c>
      <c r="AI93" s="13">
        <f>IF('Données projet'!$A$62&gt;35,AI92+AH93-AQ92,IF(A93&lt;'Données projet'!$A$62,$AF$205^A93,IF(A93='Données projet'!$A$62,'Données projet'!$B$62,AI92+AH93-AQ92)))</f>
        <v>278.99999999999994</v>
      </c>
      <c r="AJ93" s="13">
        <f>AI93*VLOOKUP('Données projet'!$B$10,Paramètres!$A$1:$I$89,3,0)*VLOOKUP('Données projet'!$B$10,Paramètres!$A$1:$I$89,5,0)</f>
        <v>235.02959999999996</v>
      </c>
      <c r="AK93" s="13">
        <f t="shared" si="89"/>
        <v>57.368825686861157</v>
      </c>
      <c r="AL93" s="20">
        <f t="shared" si="58"/>
        <v>509.26059140461638</v>
      </c>
      <c r="AM93" s="59">
        <f t="shared" si="59"/>
        <v>802.59392473794969</v>
      </c>
      <c r="AN93" s="59">
        <f ca="1">AVERAGE(OFFSET($AM$3,0,0,'Données projet'!$E$10+1,1))-AVERAGE(OFFSET($H$3,0,0,'Données projet'!$E$10+1,1))</f>
        <v>247.67539667223065</v>
      </c>
      <c r="AO93" s="59">
        <f t="shared" si="90"/>
        <v>174.54442616983778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40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0.3905102893214813</v>
      </c>
      <c r="AV93" s="21">
        <f>EXP(-LN(2)/25)*AV92+(1-EXP(-LN(2)/25))/(LN(2)/25)*Calculateur!AQ93*Calculateur!AS93*VLOOKUP('Données projet'!$B$10,Paramètres!$A$1:$I$89,3,0)*0.475*44/12</f>
        <v>1.2457017877172436</v>
      </c>
      <c r="AW93" s="21">
        <f>EXP(-LN(2)/2)*AW92+(1-EXP(-LN(2)/2))/(LN(2)/2)*AQ93*AT93*VLOOKUP('Données projet'!$B$10,Paramètres!$A$1:$I$89,3,0)*0.475*44/12</f>
        <v>1.0723076109597231E-8</v>
      </c>
      <c r="AX93" s="21">
        <f t="shared" si="60"/>
        <v>1.6362120877618012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5.2606837606837598</v>
      </c>
      <c r="BD93" s="12">
        <f>IF('Données projet'!$A$88&gt;35,BD92+BC93-BL92,IF(A93&lt;'Données projet'!$A$88,$BA$205^A93,IF(A93='Données projet'!$A$88,'Données projet'!$B$88,BD92+BC93-BL92)))</f>
        <v>196.4871794871793</v>
      </c>
      <c r="BE93" s="13">
        <f>BD93*VLOOKUP('Données projet'!$B$11,Paramètres!$A$1:$I$89,3,0)*VLOOKUP('Données projet'!$B$11,Paramètres!$A$1:$I$89,5,0)</f>
        <v>196.17279999999982</v>
      </c>
      <c r="BF93" s="13">
        <f t="shared" si="91"/>
        <v>48.902121515238363</v>
      </c>
      <c r="BG93" s="20">
        <f t="shared" si="61"/>
        <v>426.83882163903991</v>
      </c>
      <c r="BH93" s="59">
        <f t="shared" si="62"/>
        <v>720.17215497237316</v>
      </c>
      <c r="BI93" s="59">
        <f ca="1">AVERAGE(OFFSET($BH$3,0,0,'Données projet'!$E$11+1,1))-AVERAGE(OFFSET($H$3,0,0,'Données projet'!$E$11+1,1))</f>
        <v>245.06609107649069</v>
      </c>
      <c r="BJ93" s="59">
        <f t="shared" si="92"/>
        <v>156.24531945456499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8.2220894455479474</v>
      </c>
      <c r="BQ93" s="21">
        <f>EXP(-LN(2)/25)*BQ92+(1-EXP(-LN(2)/25))/(LN(2)/25)*Calculateur!BL93*Calculateur!BN93*VLOOKUP('Données projet'!$B$11,Paramètres!$A$1:$I$89,3,0)*0.475*44/12</f>
        <v>4.3643008649771851</v>
      </c>
      <c r="BR93" s="21">
        <f>EXP(-LN(2)/2)*BR92+(1-EXP(-LN(2)/2))/(LN(2)/2)*BL93*BO93*VLOOKUP('Données projet'!$B$11,Paramètres!$A$1:$I$89,3,0)*0.475*44/12</f>
        <v>1.6534099593295174E-5</v>
      </c>
      <c r="BS93" s="22">
        <f t="shared" si="63"/>
        <v>12.586406844624726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213.38312618540991</v>
      </c>
      <c r="BW93" s="12">
        <f>VLOOKUP(A93,'Données projet'!$A$113:$I$133,9,0)</f>
        <v>3.4011202926386175</v>
      </c>
      <c r="BX93" s="12">
        <f t="array" ref="BX93">INDEX(BW:BW,MIN(IF(ISNUMBER(BW93:BW289),ROW(BW93:BW289),"")))</f>
        <v>3.4011202926386175</v>
      </c>
      <c r="BY93" s="12">
        <f>IF('Données projet'!$A$114&gt;35,BY92+BX93-CG92,IF(A93&lt;'Données projet'!$A$114,$BV$205^A93,IF(A93='Données projet'!$A$114,'Données projet'!$B$114,BY92+BX93-CG92)))</f>
        <v>213.38312618540971</v>
      </c>
      <c r="BZ93" s="13">
        <f>BY93*VLOOKUP('Données projet'!$B$12,Paramètres!$A$1:$I$89,3,0)*VLOOKUP('Données projet'!$B$12,Paramètres!$A$1:$I$89,5,0)</f>
        <v>233.01437379446739</v>
      </c>
      <c r="CA93" s="13">
        <f t="shared" si="93"/>
        <v>56.933964874379591</v>
      </c>
      <c r="CB93" s="20">
        <f t="shared" si="64"/>
        <v>504.9933565149085</v>
      </c>
      <c r="CC93" s="59">
        <f t="shared" si="65"/>
        <v>798.32668984824181</v>
      </c>
      <c r="CD93" s="59">
        <f ca="1">AVERAGE(OFFSET($CC$3,0,0,'Données projet'!$E$12+1,1))-AVERAGE(OFFSET($H$3,0,0,'Données projet'!$E$12+1,1))</f>
        <v>173.63857221119594</v>
      </c>
      <c r="CE93" s="59">
        <f t="shared" si="94"/>
        <v>52.373745617370105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0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-1.1368683772161603E-13</v>
      </c>
      <c r="O94" s="13">
        <f>N94*VLOOKUP('Données projet'!$B$9,Paramètres!$A$1:$I$89,3,0)*VLOOKUP('Données projet'!$B$9,Paramètres!$A$1:$I$89,5,0)</f>
        <v>-6.7984728957526396E-14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175.34314856709307</v>
      </c>
      <c r="T94" s="59">
        <f t="shared" si="88"/>
        <v>296.28950942251339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4.4148181196312866</v>
      </c>
      <c r="AA94" s="21">
        <f>EXP(-LN(2)/25)*AA93+(1-EXP(-LN(2)/25))/(LN(2)/25)*Calculateur!V94*Calculateur!X94*VLOOKUP('Données projet'!$B$9,Paramètres!$A$1:$I$89,3,0)*0.475*44/12</f>
        <v>3.458005639975116</v>
      </c>
      <c r="AB94" s="21">
        <f>EXP(-LN(2)/2)*AB93+(1-EXP(-LN(2)/2))/(LN(2)/2)*V94*Y94*VLOOKUP('Données projet'!$B$9,Paramètres!$A$1:$I$89,3,0)*0.475*44/12</f>
        <v>1.6867658747438696E-9</v>
      </c>
      <c r="AC94" s="22">
        <f t="shared" si="57"/>
        <v>7.8728237612931693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5.0999999999999996</v>
      </c>
      <c r="AI94" s="13">
        <f>IF('Données projet'!$A$62&gt;35,AI93+AH94-AQ93,IF(A94&lt;'Données projet'!$A$62,$AF$205^A94,IF(A94='Données projet'!$A$62,'Données projet'!$B$62,AI93+AH94-AQ93)))</f>
        <v>244.09999999999997</v>
      </c>
      <c r="AJ94" s="13">
        <f>AI94*VLOOKUP('Données projet'!$B$10,Paramètres!$A$1:$I$89,3,0)*VLOOKUP('Données projet'!$B$10,Paramètres!$A$1:$I$89,5,0)</f>
        <v>205.62984</v>
      </c>
      <c r="AK94" s="13">
        <f t="shared" si="89"/>
        <v>50.979430085195993</v>
      </c>
      <c r="AL94" s="20">
        <f t="shared" si="58"/>
        <v>446.92781206504964</v>
      </c>
      <c r="AM94" s="59">
        <f t="shared" si="59"/>
        <v>740.26114539838295</v>
      </c>
      <c r="AN94" s="59">
        <f ca="1">AVERAGE(OFFSET($AM$3,0,0,'Données projet'!$E$10+1,1))-AVERAGE(OFFSET($H$3,0,0,'Données projet'!$E$10+1,1))</f>
        <v>247.67539667223065</v>
      </c>
      <c r="AO94" s="59">
        <f t="shared" si="90"/>
        <v>174.54442616983778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0.38285262073564447</v>
      </c>
      <c r="AV94" s="21">
        <f>EXP(-LN(2)/25)*AV93+(1-EXP(-LN(2)/25))/(LN(2)/25)*Calculateur!AQ94*Calculateur!AS94*VLOOKUP('Données projet'!$B$10,Paramètres!$A$1:$I$89,3,0)*0.475*44/12</f>
        <v>1.2116380068235058</v>
      </c>
      <c r="AW94" s="21">
        <f>EXP(-LN(2)/2)*AW93+(1-EXP(-LN(2)/2))/(LN(2)/2)*AQ94*AT94*VLOOKUP('Données projet'!$B$10,Paramètres!$A$1:$I$89,3,0)*0.475*44/12</f>
        <v>7.5823598322756646E-9</v>
      </c>
      <c r="AX94" s="21">
        <f t="shared" si="60"/>
        <v>1.59449063514151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5.2606837606837598</v>
      </c>
      <c r="BD94" s="12">
        <f>IF('Données projet'!$A$88&gt;35,BD93+BC94-BL93,IF(A94&lt;'Données projet'!$A$88,$BA$205^A94,IF(A94='Données projet'!$A$88,'Données projet'!$B$88,BD93+BC94-BL93)))</f>
        <v>201.74786324786305</v>
      </c>
      <c r="BE94" s="13">
        <f>BD94*VLOOKUP('Données projet'!$B$11,Paramètres!$A$1:$I$89,3,0)*VLOOKUP('Données projet'!$B$11,Paramètres!$A$1:$I$89,5,0)</f>
        <v>201.42506666666648</v>
      </c>
      <c r="BF94" s="13">
        <f t="shared" si="91"/>
        <v>50.057224712627729</v>
      </c>
      <c r="BG94" s="20">
        <f t="shared" si="61"/>
        <v>437.99832415227075</v>
      </c>
      <c r="BH94" s="59">
        <f t="shared" si="62"/>
        <v>731.33165748560407</v>
      </c>
      <c r="BI94" s="59">
        <f ca="1">AVERAGE(OFFSET($BH$3,0,0,'Données projet'!$E$11+1,1))-AVERAGE(OFFSET($H$3,0,0,'Données projet'!$E$11+1,1))</f>
        <v>245.06609107649069</v>
      </c>
      <c r="BJ94" s="59">
        <f t="shared" si="92"/>
        <v>156.24531945456499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8.0608592865001256</v>
      </c>
      <c r="BQ94" s="21">
        <f>EXP(-LN(2)/25)*BQ93+(1-EXP(-LN(2)/25))/(LN(2)/25)*Calculateur!BL94*Calculateur!BN94*VLOOKUP('Données projet'!$B$11,Paramètres!$A$1:$I$89,3,0)*0.475*44/12</f>
        <v>4.2449588283157764</v>
      </c>
      <c r="BR94" s="21">
        <f>EXP(-LN(2)/2)*BR93+(1-EXP(-LN(2)/2))/(LN(2)/2)*BL94*BO94*VLOOKUP('Données projet'!$B$11,Paramètres!$A$1:$I$89,3,0)*0.475*44/12</f>
        <v>1.1691373943232755E-5</v>
      </c>
      <c r="BS94" s="22">
        <f t="shared" si="63"/>
        <v>12.305829806189847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3.4528957063300028</v>
      </c>
      <c r="BY94" s="12">
        <f>IF('Données projet'!$A$114&gt;35,BY93+BX94-CG93,IF(A94&lt;'Données projet'!$A$114,$BV$205^A94,IF(A94='Données projet'!$A$114,'Données projet'!$B$114,BY93+BX94-CG93)))</f>
        <v>216.8360218917397</v>
      </c>
      <c r="BZ94" s="13">
        <f>BY94*VLOOKUP('Données projet'!$B$12,Paramètres!$A$1:$I$89,3,0)*VLOOKUP('Données projet'!$B$12,Paramètres!$A$1:$I$89,5,0)</f>
        <v>236.78493590577975</v>
      </c>
      <c r="CA94" s="13">
        <f t="shared" si="93"/>
        <v>57.747251758107929</v>
      </c>
      <c r="CB94" s="20">
        <f t="shared" si="64"/>
        <v>512.97689351460428</v>
      </c>
      <c r="CC94" s="59">
        <f t="shared" si="65"/>
        <v>806.31022684793766</v>
      </c>
      <c r="CD94" s="59">
        <f ca="1">AVERAGE(OFFSET($CC$3,0,0,'Données projet'!$E$12+1,1))-AVERAGE(OFFSET($H$3,0,0,'Données projet'!$E$12+1,1))</f>
        <v>173.63857221119594</v>
      </c>
      <c r="CE94" s="59">
        <f t="shared" si="94"/>
        <v>52.373745617370105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0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-1.1368683772161603E-13</v>
      </c>
      <c r="O95" s="13">
        <f>N95*VLOOKUP('Données projet'!$B$9,Paramètres!$A$1:$I$89,3,0)*VLOOKUP('Données projet'!$B$9,Paramètres!$A$1:$I$89,5,0)</f>
        <v>-6.7984728957526396E-14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175.34314856709307</v>
      </c>
      <c r="T95" s="59">
        <f t="shared" si="88"/>
        <v>296.28950942251339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4.3282462290784807</v>
      </c>
      <c r="AA95" s="21">
        <f>EXP(-LN(2)/25)*AA94+(1-EXP(-LN(2)/25))/(LN(2)/25)*Calculateur!V95*Calculateur!X95*VLOOKUP('Données projet'!$B$9,Paramètres!$A$1:$I$89,3,0)*0.475*44/12</f>
        <v>3.3634462939013834</v>
      </c>
      <c r="AB95" s="21">
        <f>EXP(-LN(2)/2)*AB94+(1-EXP(-LN(2)/2))/(LN(2)/2)*V95*Y95*VLOOKUP('Données projet'!$B$9,Paramètres!$A$1:$I$89,3,0)*0.475*44/12</f>
        <v>1.1927235883054488E-9</v>
      </c>
      <c r="AC95" s="22">
        <f t="shared" si="57"/>
        <v>7.6916925241725869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5.0999999999999996</v>
      </c>
      <c r="AI95" s="13">
        <f>IF('Données projet'!$A$62&gt;35,AI94+AH95-AQ94,IF(A95&lt;'Données projet'!$A$62,$AF$205^A95,IF(A95='Données projet'!$A$62,'Données projet'!$B$62,AI94+AH95-AQ94)))</f>
        <v>249.19999999999996</v>
      </c>
      <c r="AJ95" s="13">
        <f>AI95*VLOOKUP('Données projet'!$B$10,Paramètres!$A$1:$I$89,3,0)*VLOOKUP('Données projet'!$B$10,Paramètres!$A$1:$I$89,5,0)</f>
        <v>209.92607999999998</v>
      </c>
      <c r="AK95" s="13">
        <f t="shared" si="89"/>
        <v>51.919431987532874</v>
      </c>
      <c r="AL95" s="20">
        <f t="shared" si="58"/>
        <v>456.04760004495301</v>
      </c>
      <c r="AM95" s="59">
        <f t="shared" si="59"/>
        <v>749.38093337828627</v>
      </c>
      <c r="AN95" s="59">
        <f ca="1">AVERAGE(OFFSET($AM$3,0,0,'Données projet'!$E$10+1,1))-AVERAGE(OFFSET($H$3,0,0,'Données projet'!$E$10+1,1))</f>
        <v>247.67539667223065</v>
      </c>
      <c r="AO95" s="59">
        <f t="shared" si="90"/>
        <v>174.54442616983778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0.37534511436005924</v>
      </c>
      <c r="AV95" s="21">
        <f>EXP(-LN(2)/25)*AV94+(1-EXP(-LN(2)/25))/(LN(2)/25)*Calculateur!AQ95*Calculateur!AS95*VLOOKUP('Données projet'!$B$10,Paramètres!$A$1:$I$89,3,0)*0.475*44/12</f>
        <v>1.1785057018096434</v>
      </c>
      <c r="AW95" s="21">
        <f>EXP(-LN(2)/2)*AW94+(1-EXP(-LN(2)/2))/(LN(2)/2)*AQ95*AT95*VLOOKUP('Données projet'!$B$10,Paramètres!$A$1:$I$89,3,0)*0.475*44/12</f>
        <v>5.3615380547986156E-9</v>
      </c>
      <c r="AX95" s="21">
        <f t="shared" si="60"/>
        <v>1.5538508215312408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5.2606837606837598</v>
      </c>
      <c r="BD95" s="12">
        <f>IF('Données projet'!$A$88&gt;35,BD94+BC95-BL94,IF(A95&lt;'Données projet'!$A$88,$BA$205^A95,IF(A95='Données projet'!$A$88,'Données projet'!$B$88,BD94+BC95-BL94)))</f>
        <v>207.0085470085468</v>
      </c>
      <c r="BE95" s="13">
        <f>BD95*VLOOKUP('Données projet'!$B$11,Paramètres!$A$1:$I$89,3,0)*VLOOKUP('Données projet'!$B$11,Paramètres!$A$1:$I$89,5,0)</f>
        <v>206.67733333333314</v>
      </c>
      <c r="BF95" s="13">
        <f t="shared" si="91"/>
        <v>51.208826845504362</v>
      </c>
      <c r="BG95" s="20">
        <f t="shared" si="61"/>
        <v>449.15172897814188</v>
      </c>
      <c r="BH95" s="59">
        <f t="shared" si="62"/>
        <v>742.48506231147519</v>
      </c>
      <c r="BI95" s="59">
        <f ca="1">AVERAGE(OFFSET($BH$3,0,0,'Données projet'!$E$11+1,1))-AVERAGE(OFFSET($H$3,0,0,'Données projet'!$E$11+1,1))</f>
        <v>245.06609107649069</v>
      </c>
      <c r="BJ95" s="59">
        <f t="shared" si="92"/>
        <v>156.24531945456499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7.902790752530545</v>
      </c>
      <c r="BQ95" s="21">
        <f>EXP(-LN(2)/25)*BQ94+(1-EXP(-LN(2)/25))/(LN(2)/25)*Calculateur!BL95*Calculateur!BN95*VLOOKUP('Données projet'!$B$11,Paramètres!$A$1:$I$89,3,0)*0.475*44/12</f>
        <v>4.1288802059227985</v>
      </c>
      <c r="BR95" s="21">
        <f>EXP(-LN(2)/2)*BR94+(1-EXP(-LN(2)/2))/(LN(2)/2)*BL95*BO95*VLOOKUP('Données projet'!$B$11,Paramètres!$A$1:$I$89,3,0)*0.475*44/12</f>
        <v>8.2670497966475868E-6</v>
      </c>
      <c r="BS95" s="22">
        <f t="shared" si="63"/>
        <v>12.03167922550314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3.4528957063300028</v>
      </c>
      <c r="BY95" s="12">
        <f>IF('Données projet'!$A$114&gt;35,BY94+BX95-CG94,IF(A95&lt;'Données projet'!$A$114,$BV$205^A95,IF(A95='Données projet'!$A$114,'Données projet'!$B$114,BY94+BX95-CG94)))</f>
        <v>220.2889175980697</v>
      </c>
      <c r="BZ95" s="13">
        <f>BY95*VLOOKUP('Données projet'!$B$12,Paramètres!$A$1:$I$89,3,0)*VLOOKUP('Données projet'!$B$12,Paramètres!$A$1:$I$89,5,0)</f>
        <v>240.55549801709211</v>
      </c>
      <c r="CA95" s="13">
        <f t="shared" si="93"/>
        <v>58.559032500414034</v>
      </c>
      <c r="CB95" s="20">
        <f t="shared" si="64"/>
        <v>520.95780731798982</v>
      </c>
      <c r="CC95" s="59">
        <f t="shared" si="65"/>
        <v>814.29114065132308</v>
      </c>
      <c r="CD95" s="59">
        <f ca="1">AVERAGE(OFFSET($CC$3,0,0,'Données projet'!$E$12+1,1))-AVERAGE(OFFSET($H$3,0,0,'Données projet'!$E$12+1,1))</f>
        <v>173.63857221119594</v>
      </c>
      <c r="CE95" s="59">
        <f t="shared" si="94"/>
        <v>52.373745617370105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0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-1.1368683772161603E-13</v>
      </c>
      <c r="O96" s="13">
        <f>N96*VLOOKUP('Données projet'!$B$9,Paramètres!$A$1:$I$89,3,0)*VLOOKUP('Données projet'!$B$9,Paramètres!$A$1:$I$89,5,0)</f>
        <v>-6.7984728957526396E-14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175.34314856709307</v>
      </c>
      <c r="T96" s="59">
        <f t="shared" si="88"/>
        <v>296.28950942251339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4.243371960495776</v>
      </c>
      <c r="AA96" s="21">
        <f>EXP(-LN(2)/25)*AA95+(1-EXP(-LN(2)/25))/(LN(2)/25)*Calculateur!V96*Calculateur!X96*VLOOKUP('Données projet'!$B$9,Paramètres!$A$1:$I$89,3,0)*0.475*44/12</f>
        <v>3.2714726781186969</v>
      </c>
      <c r="AB96" s="21">
        <f>EXP(-LN(2)/2)*AB95+(1-EXP(-LN(2)/2))/(LN(2)/2)*V96*Y96*VLOOKUP('Données projet'!$B$9,Paramètres!$A$1:$I$89,3,0)*0.475*44/12</f>
        <v>8.433829373719348E-10</v>
      </c>
      <c r="AC96" s="22">
        <f t="shared" si="57"/>
        <v>7.5148446394578565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5.0999999999999996</v>
      </c>
      <c r="AI96" s="13">
        <f>IF('Données projet'!$A$62&gt;35,AI95+AH96-AQ95,IF(A96&lt;'Données projet'!$A$62,$AF$205^A96,IF(A96='Données projet'!$A$62,'Données projet'!$B$62,AI95+AH96-AQ95)))</f>
        <v>254.29999999999995</v>
      </c>
      <c r="AJ96" s="13">
        <f>AI96*VLOOKUP('Données projet'!$B$10,Paramètres!$A$1:$I$89,3,0)*VLOOKUP('Données projet'!$B$10,Paramètres!$A$1:$I$89,5,0)</f>
        <v>214.22231999999997</v>
      </c>
      <c r="AK96" s="13">
        <f t="shared" si="89"/>
        <v>52.857197133327972</v>
      </c>
      <c r="AL96" s="20">
        <f t="shared" si="58"/>
        <v>465.16349234054616</v>
      </c>
      <c r="AM96" s="59">
        <f t="shared" si="59"/>
        <v>758.49682567387947</v>
      </c>
      <c r="AN96" s="59">
        <f ca="1">AVERAGE(OFFSET($AM$3,0,0,'Données projet'!$E$10+1,1))-AVERAGE(OFFSET($H$3,0,0,'Données projet'!$E$10+1,1))</f>
        <v>247.67539667223065</v>
      </c>
      <c r="AO96" s="59">
        <f t="shared" si="90"/>
        <v>174.54442616983778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0.36798482560537249</v>
      </c>
      <c r="AV96" s="21">
        <f>EXP(-LN(2)/25)*AV95+(1-EXP(-LN(2)/25))/(LN(2)/25)*Calculateur!AQ96*Calculateur!AS96*VLOOKUP('Données projet'!$B$10,Paramètres!$A$1:$I$89,3,0)*0.475*44/12</f>
        <v>1.1462794014187374</v>
      </c>
      <c r="AW96" s="21">
        <f>EXP(-LN(2)/2)*AW95+(1-EXP(-LN(2)/2))/(LN(2)/2)*AQ96*AT96*VLOOKUP('Données projet'!$B$10,Paramètres!$A$1:$I$89,3,0)*0.475*44/12</f>
        <v>3.7911799161378323E-9</v>
      </c>
      <c r="AX96" s="21">
        <f t="shared" si="60"/>
        <v>1.5142642308152898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>
        <f>VLOOKUP(A96,'Données projet'!$A$87:$I$107,2,0)</f>
        <v>212.26923076923075</v>
      </c>
      <c r="BB96" s="12">
        <f>VLOOKUP(A96,'Données projet'!$A$87:$I$107,9,0)</f>
        <v>5.2606837606837598</v>
      </c>
      <c r="BC96" s="12">
        <f t="array" ref="BC96">INDEX(BB:BB,MIN(IF(ISNUMBER(BB96:BB292),ROW(BB96:BB292),"")))</f>
        <v>5.2606837606837598</v>
      </c>
      <c r="BD96" s="12">
        <f>IF('Données projet'!$A$88&gt;35,BD95+BC96-BL95,IF(A96&lt;'Données projet'!$A$88,$BA$205^A96,IF(A96='Données projet'!$A$88,'Données projet'!$B$88,BD95+BC96-BL95)))</f>
        <v>212.26923076923055</v>
      </c>
      <c r="BE96" s="13">
        <f>BD96*VLOOKUP('Données projet'!$B$11,Paramètres!$A$1:$I$89,3,0)*VLOOKUP('Données projet'!$B$11,Paramètres!$A$1:$I$89,5,0)</f>
        <v>211.92959999999979</v>
      </c>
      <c r="BF96" s="13">
        <f t="shared" si="91"/>
        <v>52.357027117204822</v>
      </c>
      <c r="BG96" s="20">
        <f t="shared" si="61"/>
        <v>460.29920889579802</v>
      </c>
      <c r="BH96" s="59">
        <f t="shared" si="62"/>
        <v>753.63254222913133</v>
      </c>
      <c r="BI96" s="59">
        <f ca="1">AVERAGE(OFFSET($BH$3,0,0,'Données projet'!$E$11+1,1))-AVERAGE(OFFSET($H$3,0,0,'Données projet'!$E$11+1,1))</f>
        <v>245.06609107649069</v>
      </c>
      <c r="BJ96" s="59">
        <f t="shared" si="92"/>
        <v>156.24531945456499</v>
      </c>
      <c r="BK96" s="15">
        <f>IF(ISNA(VLOOKUP(A96,'Données projet'!$A$87:$I$107,3,0)),0,VLOOKUP(A96,'Données projet'!$A$87:$I$107,3,0))</f>
        <v>7</v>
      </c>
      <c r="BL96" s="15">
        <f>IF(ISNA(VLOOKUP(A96,'Données projet'!$A$87:$I$107,4,0)),0,VLOOKUP(A96,'Données projet'!$A$87:$I$107,4,0))</f>
        <v>30.083333333333332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7.7478218460998223</v>
      </c>
      <c r="BQ96" s="21">
        <f>EXP(-LN(2)/25)*BQ95+(1-EXP(-LN(2)/25))/(LN(2)/25)*Calculateur!BL96*Calculateur!BN96*VLOOKUP('Données projet'!$B$11,Paramètres!$A$1:$I$89,3,0)*0.475*44/12</f>
        <v>4.0159757595634664</v>
      </c>
      <c r="BR96" s="21">
        <f>EXP(-LN(2)/2)*BR95+(1-EXP(-LN(2)/2))/(LN(2)/2)*BL96*BO96*VLOOKUP('Données projet'!$B$11,Paramètres!$A$1:$I$89,3,0)*0.475*44/12</f>
        <v>5.8456869716163775E-6</v>
      </c>
      <c r="BS96" s="22">
        <f t="shared" si="63"/>
        <v>11.76380345135026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3.4528957063300028</v>
      </c>
      <c r="BY96" s="12">
        <f>IF('Données projet'!$A$114&gt;35,BY95+BX96-CG95,IF(A96&lt;'Données projet'!$A$114,$BV$205^A96,IF(A96='Données projet'!$A$114,'Données projet'!$B$114,BY95+BX96-CG95)))</f>
        <v>223.7418133043997</v>
      </c>
      <c r="BZ96" s="13">
        <f>BY96*VLOOKUP('Données projet'!$B$12,Paramètres!$A$1:$I$89,3,0)*VLOOKUP('Données projet'!$B$12,Paramètres!$A$1:$I$89,5,0)</f>
        <v>244.32606012840444</v>
      </c>
      <c r="CA96" s="13">
        <f t="shared" si="93"/>
        <v>59.369333435252955</v>
      </c>
      <c r="CB96" s="20">
        <f t="shared" si="64"/>
        <v>528.93614379003657</v>
      </c>
      <c r="CC96" s="59">
        <f t="shared" si="65"/>
        <v>822.26947712336982</v>
      </c>
      <c r="CD96" s="59">
        <f ca="1">AVERAGE(OFFSET($CC$3,0,0,'Données projet'!$E$12+1,1))-AVERAGE(OFFSET($H$3,0,0,'Données projet'!$E$12+1,1))</f>
        <v>173.63857221119594</v>
      </c>
      <c r="CE96" s="59">
        <f t="shared" si="94"/>
        <v>52.373745617370105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0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-1.1368683772161603E-13</v>
      </c>
      <c r="O97" s="13">
        <f>N97*VLOOKUP('Données projet'!$B$9,Paramètres!$A$1:$I$89,3,0)*VLOOKUP('Données projet'!$B$9,Paramètres!$A$1:$I$89,5,0)</f>
        <v>-6.7984728957526396E-14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175.34314856709307</v>
      </c>
      <c r="T97" s="59">
        <f t="shared" si="88"/>
        <v>296.28950942251339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4.1601620245517861</v>
      </c>
      <c r="AA97" s="21">
        <f>EXP(-LN(2)/25)*AA96+(1-EXP(-LN(2)/25))/(LN(2)/25)*Calculateur!V97*Calculateur!X97*VLOOKUP('Données projet'!$B$9,Paramètres!$A$1:$I$89,3,0)*0.475*44/12</f>
        <v>3.1820140856962702</v>
      </c>
      <c r="AB97" s="21">
        <f>EXP(-LN(2)/2)*AB96+(1-EXP(-LN(2)/2))/(LN(2)/2)*V97*Y97*VLOOKUP('Données projet'!$B$9,Paramètres!$A$1:$I$89,3,0)*0.475*44/12</f>
        <v>5.9636179415272441E-10</v>
      </c>
      <c r="AC97" s="22">
        <f t="shared" si="57"/>
        <v>7.3421761108444183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5.0999999999999996</v>
      </c>
      <c r="AI97" s="13">
        <f>IF('Données projet'!$A$62&gt;35,AI96+AH97-AQ96,IF(A97&lt;'Données projet'!$A$62,$AF$205^A97,IF(A97='Données projet'!$A$62,'Données projet'!$B$62,AI96+AH97-AQ96)))</f>
        <v>259.39999999999998</v>
      </c>
      <c r="AJ97" s="13">
        <f>AI97*VLOOKUP('Données projet'!$B$10,Paramètres!$A$1:$I$89,3,0)*VLOOKUP('Données projet'!$B$10,Paramètres!$A$1:$I$89,5,0)</f>
        <v>218.51856000000001</v>
      </c>
      <c r="AK97" s="13">
        <f t="shared" si="89"/>
        <v>53.792775550715895</v>
      </c>
      <c r="AL97" s="20">
        <f t="shared" si="58"/>
        <v>474.2755760841635</v>
      </c>
      <c r="AM97" s="59">
        <f t="shared" si="59"/>
        <v>767.60890941749676</v>
      </c>
      <c r="AN97" s="59">
        <f ca="1">AVERAGE(OFFSET($AM$3,0,0,'Données projet'!$E$10+1,1))-AVERAGE(OFFSET($H$3,0,0,'Données projet'!$E$10+1,1))</f>
        <v>247.67539667223065</v>
      </c>
      <c r="AO97" s="59">
        <f t="shared" si="90"/>
        <v>174.54442616983778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0.36076886762383231</v>
      </c>
      <c r="AV97" s="21">
        <f>EXP(-LN(2)/25)*AV96+(1-EXP(-LN(2)/25))/(LN(2)/25)*Calculateur!AQ97*Calculateur!AS97*VLOOKUP('Données projet'!$B$10,Paramètres!$A$1:$I$89,3,0)*0.475*44/12</f>
        <v>1.1149343309067281</v>
      </c>
      <c r="AW97" s="21">
        <f>EXP(-LN(2)/2)*AW96+(1-EXP(-LN(2)/2))/(LN(2)/2)*AQ97*AT97*VLOOKUP('Données projet'!$B$10,Paramètres!$A$1:$I$89,3,0)*0.475*44/12</f>
        <v>2.6807690273993078E-9</v>
      </c>
      <c r="AX97" s="21">
        <f t="shared" si="60"/>
        <v>1.4757032012113294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5.2583333333333373</v>
      </c>
      <c r="BD97" s="12">
        <f>IF('Données projet'!$A$88&gt;35,BD96+BC97-BL96,IF(A97&lt;'Données projet'!$A$88,$BA$205^A97,IF(A97='Données projet'!$A$88,'Données projet'!$B$88,BD96+BC97-BL96)))</f>
        <v>187.44423076923053</v>
      </c>
      <c r="BE97" s="13">
        <f>BD97*VLOOKUP('Données projet'!$B$11,Paramètres!$A$1:$I$89,3,0)*VLOOKUP('Données projet'!$B$11,Paramètres!$A$1:$I$89,5,0)</f>
        <v>187.14431999999977</v>
      </c>
      <c r="BF97" s="13">
        <f t="shared" si="91"/>
        <v>46.908047167803581</v>
      </c>
      <c r="BG97" s="20">
        <f t="shared" si="61"/>
        <v>407.64120615059079</v>
      </c>
      <c r="BH97" s="59">
        <f t="shared" si="62"/>
        <v>700.9745394839241</v>
      </c>
      <c r="BI97" s="59">
        <f ca="1">AVERAGE(OFFSET($BH$3,0,0,'Données projet'!$E$11+1,1))-AVERAGE(OFFSET($H$3,0,0,'Données projet'!$E$11+1,1))</f>
        <v>245.06609107649069</v>
      </c>
      <c r="BJ97" s="59">
        <f t="shared" si="92"/>
        <v>156.24531945456499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7.5958917854025065</v>
      </c>
      <c r="BQ97" s="21">
        <f>EXP(-LN(2)/25)*BQ96+(1-EXP(-LN(2)/25))/(LN(2)/25)*Calculateur!BL97*Calculateur!BN97*VLOOKUP('Données projet'!$B$11,Paramètres!$A$1:$I$89,3,0)*0.475*44/12</f>
        <v>3.9061586912272168</v>
      </c>
      <c r="BR97" s="21">
        <f>EXP(-LN(2)/2)*BR96+(1-EXP(-LN(2)/2))/(LN(2)/2)*BL97*BO97*VLOOKUP('Données projet'!$B$11,Paramètres!$A$1:$I$89,3,0)*0.475*44/12</f>
        <v>4.1335248983237934E-6</v>
      </c>
      <c r="BS97" s="22">
        <f t="shared" si="63"/>
        <v>11.502054610154621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3.4528957063300028</v>
      </c>
      <c r="BY97" s="12">
        <f>IF('Données projet'!$A$114&gt;35,BY96+BX97-CG96,IF(A97&lt;'Données projet'!$A$114,$BV$205^A97,IF(A97='Données projet'!$A$114,'Données projet'!$B$114,BY96+BX97-CG96)))</f>
        <v>227.1947090107297</v>
      </c>
      <c r="BZ97" s="13">
        <f>BY97*VLOOKUP('Données projet'!$B$12,Paramètres!$A$1:$I$89,3,0)*VLOOKUP('Données projet'!$B$12,Paramètres!$A$1:$I$89,5,0)</f>
        <v>248.09662223971682</v>
      </c>
      <c r="CA97" s="13">
        <f t="shared" si="93"/>
        <v>60.17818003714742</v>
      </c>
      <c r="CB97" s="20">
        <f t="shared" si="64"/>
        <v>536.91194729887184</v>
      </c>
      <c r="CC97" s="59">
        <f t="shared" si="65"/>
        <v>830.24528063220509</v>
      </c>
      <c r="CD97" s="59">
        <f ca="1">AVERAGE(OFFSET($CC$3,0,0,'Données projet'!$E$12+1,1))-AVERAGE(OFFSET($H$3,0,0,'Données projet'!$E$12+1,1))</f>
        <v>173.63857221119594</v>
      </c>
      <c r="CE97" s="59">
        <f t="shared" si="94"/>
        <v>52.373745617370105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0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-1.1368683772161603E-13</v>
      </c>
      <c r="O98" s="13">
        <f>N98*VLOOKUP('Données projet'!$B$9,Paramètres!$A$1:$I$89,3,0)*VLOOKUP('Données projet'!$B$9,Paramètres!$A$1:$I$89,5,0)</f>
        <v>-6.7984728957526396E-14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175.34314856709307</v>
      </c>
      <c r="T98" s="59">
        <f t="shared" si="88"/>
        <v>296.28950942251339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4.0785837846986084</v>
      </c>
      <c r="AA98" s="21">
        <f>EXP(-LN(2)/25)*AA97+(1-EXP(-LN(2)/25))/(LN(2)/25)*Calculateur!V98*Calculateur!X98*VLOOKUP('Données projet'!$B$9,Paramètres!$A$1:$I$89,3,0)*0.475*44/12</f>
        <v>3.0950017431880577</v>
      </c>
      <c r="AB98" s="21">
        <f>EXP(-LN(2)/2)*AB97+(1-EXP(-LN(2)/2))/(LN(2)/2)*V98*Y98*VLOOKUP('Données projet'!$B$9,Paramètres!$A$1:$I$89,3,0)*0.475*44/12</f>
        <v>4.216914686859674E-10</v>
      </c>
      <c r="AC98" s="22">
        <f t="shared" si="57"/>
        <v>7.1735855283083572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5.0999999999999996</v>
      </c>
      <c r="AI98" s="13">
        <f>IF('Données projet'!$A$62&gt;35,AI97+AH98-AQ97,IF(A98&lt;'Données projet'!$A$62,$AF$205^A98,IF(A98='Données projet'!$A$62,'Données projet'!$B$62,AI97+AH98-AQ97)))</f>
        <v>264.5</v>
      </c>
      <c r="AJ98" s="13">
        <f>AI98*VLOOKUP('Données projet'!$B$10,Paramètres!$A$1:$I$89,3,0)*VLOOKUP('Données projet'!$B$10,Paramètres!$A$1:$I$89,5,0)</f>
        <v>222.81480000000002</v>
      </c>
      <c r="AK98" s="13">
        <f t="shared" si="89"/>
        <v>54.726215188137907</v>
      </c>
      <c r="AL98" s="20">
        <f t="shared" si="58"/>
        <v>483.38393478600682</v>
      </c>
      <c r="AM98" s="59">
        <f t="shared" si="59"/>
        <v>776.71726811934013</v>
      </c>
      <c r="AN98" s="59">
        <f ca="1">AVERAGE(OFFSET($AM$3,0,0,'Données projet'!$E$10+1,1))-AVERAGE(OFFSET($H$3,0,0,'Données projet'!$E$10+1,1))</f>
        <v>247.67539667223065</v>
      </c>
      <c r="AO98" s="59">
        <f t="shared" si="90"/>
        <v>174.54442616983778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0.35369441017701037</v>
      </c>
      <c r="AV98" s="21">
        <f>EXP(-LN(2)/25)*AV97+(1-EXP(-LN(2)/25))/(LN(2)/25)*Calculateur!AQ98*Calculateur!AS98*VLOOKUP('Données projet'!$B$10,Paramètres!$A$1:$I$89,3,0)*0.475*44/12</f>
        <v>1.0844463929962354</v>
      </c>
      <c r="AW98" s="21">
        <f>EXP(-LN(2)/2)*AW97+(1-EXP(-LN(2)/2))/(LN(2)/2)*AQ98*AT98*VLOOKUP('Données projet'!$B$10,Paramètres!$A$1:$I$89,3,0)*0.475*44/12</f>
        <v>1.8955899580689161E-9</v>
      </c>
      <c r="AX98" s="21">
        <f t="shared" si="60"/>
        <v>1.4381408050688356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5.2583333333333373</v>
      </c>
      <c r="BD98" s="12">
        <f>IF('Données projet'!$A$88&gt;35,BD97+BC98-BL97,IF(A98&lt;'Données projet'!$A$88,$BA$205^A98,IF(A98='Données projet'!$A$88,'Données projet'!$B$88,BD97+BC98-BL97)))</f>
        <v>192.70256410256385</v>
      </c>
      <c r="BE98" s="13">
        <f>BD98*VLOOKUP('Données projet'!$B$11,Paramètres!$A$1:$I$89,3,0)*VLOOKUP('Données projet'!$B$11,Paramètres!$A$1:$I$89,5,0)</f>
        <v>192.39423999999977</v>
      </c>
      <c r="BF98" s="13">
        <f t="shared" si="91"/>
        <v>48.068898920699795</v>
      </c>
      <c r="BG98" s="20">
        <f t="shared" si="61"/>
        <v>418.80663362021841</v>
      </c>
      <c r="BH98" s="59">
        <f t="shared" si="62"/>
        <v>712.13996695355172</v>
      </c>
      <c r="BI98" s="59">
        <f ca="1">AVERAGE(OFFSET($BH$3,0,0,'Données projet'!$E$11+1,1))-AVERAGE(OFFSET($H$3,0,0,'Données projet'!$E$11+1,1))</f>
        <v>245.06609107649069</v>
      </c>
      <c r="BJ98" s="59">
        <f t="shared" si="92"/>
        <v>156.24531945456499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7.4469409805272777</v>
      </c>
      <c r="BQ98" s="21">
        <f>EXP(-LN(2)/25)*BQ97+(1-EXP(-LN(2)/25))/(LN(2)/25)*Calculateur!BL98*Calculateur!BN98*VLOOKUP('Données projet'!$B$11,Paramètres!$A$1:$I$89,3,0)*0.475*44/12</f>
        <v>3.7993445763996507</v>
      </c>
      <c r="BR98" s="21">
        <f>EXP(-LN(2)/2)*BR97+(1-EXP(-LN(2)/2))/(LN(2)/2)*BL98*BO98*VLOOKUP('Données projet'!$B$11,Paramètres!$A$1:$I$89,3,0)*0.475*44/12</f>
        <v>2.9228434858081887E-6</v>
      </c>
      <c r="BS98" s="22">
        <f t="shared" si="63"/>
        <v>11.246288479770413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3.4528957063300028</v>
      </c>
      <c r="BY98" s="12">
        <f>IF('Données projet'!$A$114&gt;35,BY97+BX98-CG97,IF(A98&lt;'Données projet'!$A$114,$BV$205^A98,IF(A98='Données projet'!$A$114,'Données projet'!$B$114,BY97+BX98-CG97)))</f>
        <v>230.64760471705969</v>
      </c>
      <c r="BZ98" s="13">
        <f>BY98*VLOOKUP('Données projet'!$B$12,Paramètres!$A$1:$I$89,3,0)*VLOOKUP('Données projet'!$B$12,Paramètres!$A$1:$I$89,5,0)</f>
        <v>251.86718435102915</v>
      </c>
      <c r="CA98" s="13">
        <f t="shared" si="93"/>
        <v>60.985596961863408</v>
      </c>
      <c r="CB98" s="20">
        <f t="shared" si="64"/>
        <v>544.88526078662119</v>
      </c>
      <c r="CC98" s="59">
        <f t="shared" si="65"/>
        <v>838.21859411995456</v>
      </c>
      <c r="CD98" s="59">
        <f ca="1">AVERAGE(OFFSET($CC$3,0,0,'Données projet'!$E$12+1,1))-AVERAGE(OFFSET($H$3,0,0,'Données projet'!$E$12+1,1))</f>
        <v>173.63857221119594</v>
      </c>
      <c r="CE98" s="59">
        <f t="shared" si="94"/>
        <v>52.373745617370105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0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-1.1368683772161603E-13</v>
      </c>
      <c r="O99" s="13">
        <f>N99*VLOOKUP('Données projet'!$B$9,Paramètres!$A$1:$I$89,3,0)*VLOOKUP('Données projet'!$B$9,Paramètres!$A$1:$I$89,5,0)</f>
        <v>-6.7984728957526396E-14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175.34314856709307</v>
      </c>
      <c r="T99" s="59">
        <f t="shared" si="88"/>
        <v>296.28950942251339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3.9986052443711384</v>
      </c>
      <c r="AA99" s="21">
        <f>EXP(-LN(2)/25)*AA98+(1-EXP(-LN(2)/25))/(LN(2)/25)*Calculateur!V99*Calculateur!X99*VLOOKUP('Données projet'!$B$9,Paramètres!$A$1:$I$89,3,0)*0.475*44/12</f>
        <v>3.0103687577615124</v>
      </c>
      <c r="AB99" s="21">
        <f>EXP(-LN(2)/2)*AB98+(1-EXP(-LN(2)/2))/(LN(2)/2)*V99*Y99*VLOOKUP('Données projet'!$B$9,Paramètres!$A$1:$I$89,3,0)*0.475*44/12</f>
        <v>2.981808970763622E-10</v>
      </c>
      <c r="AC99" s="22">
        <f t="shared" si="57"/>
        <v>7.0089740024308318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5.0999999999999996</v>
      </c>
      <c r="AI99" s="13">
        <f>IF('Données projet'!$A$62&gt;35,AI98+AH99-AQ98,IF(A99&lt;'Données projet'!$A$62,$AF$205^A99,IF(A99='Données projet'!$A$62,'Données projet'!$B$62,AI98+AH99-AQ98)))</f>
        <v>269.60000000000002</v>
      </c>
      <c r="AJ99" s="13">
        <f>AI99*VLOOKUP('Données projet'!$B$10,Paramètres!$A$1:$I$89,3,0)*VLOOKUP('Données projet'!$B$10,Paramètres!$A$1:$I$89,5,0)</f>
        <v>227.11104000000006</v>
      </c>
      <c r="AK99" s="13">
        <f t="shared" si="89"/>
        <v>55.657562039200094</v>
      </c>
      <c r="AL99" s="20">
        <f t="shared" si="58"/>
        <v>492.48864855160696</v>
      </c>
      <c r="AM99" s="59">
        <f t="shared" si="59"/>
        <v>785.82198188494021</v>
      </c>
      <c r="AN99" s="59">
        <f ca="1">AVERAGE(OFFSET($AM$3,0,0,'Données projet'!$E$10+1,1))-AVERAGE(OFFSET($H$3,0,0,'Données projet'!$E$10+1,1))</f>
        <v>247.67539667223065</v>
      </c>
      <c r="AO99" s="59">
        <f t="shared" si="90"/>
        <v>174.54442616983778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0.34675867852572761</v>
      </c>
      <c r="AV99" s="21">
        <f>EXP(-LN(2)/25)*AV98+(1-EXP(-LN(2)/25))/(LN(2)/25)*Calculateur!AQ99*Calculateur!AS99*VLOOKUP('Données projet'!$B$10,Paramètres!$A$1:$I$89,3,0)*0.475*44/12</f>
        <v>1.054792149351196</v>
      </c>
      <c r="AW99" s="21">
        <f>EXP(-LN(2)/2)*AW98+(1-EXP(-LN(2)/2))/(LN(2)/2)*AQ99*AT99*VLOOKUP('Données projet'!$B$10,Paramètres!$A$1:$I$89,3,0)*0.475*44/12</f>
        <v>1.3403845136996539E-9</v>
      </c>
      <c r="AX99" s="21">
        <f t="shared" si="60"/>
        <v>1.4015508292173082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5.2583333333333373</v>
      </c>
      <c r="BD99" s="12">
        <f>IF('Données projet'!$A$88&gt;35,BD98+BC99-BL98,IF(A99&lt;'Données projet'!$A$88,$BA$205^A99,IF(A99='Données projet'!$A$88,'Données projet'!$B$88,BD98+BC99-BL98)))</f>
        <v>197.96089743589718</v>
      </c>
      <c r="BE99" s="13">
        <f>BD99*VLOOKUP('Données projet'!$B$11,Paramètres!$A$1:$I$89,3,0)*VLOOKUP('Données projet'!$B$11,Paramètres!$A$1:$I$89,5,0)</f>
        <v>197.64415999999974</v>
      </c>
      <c r="BF99" s="13">
        <f t="shared" si="91"/>
        <v>49.226068893989044</v>
      </c>
      <c r="BG99" s="20">
        <f t="shared" si="61"/>
        <v>429.96564865703044</v>
      </c>
      <c r="BH99" s="59">
        <f t="shared" si="62"/>
        <v>723.2989819903637</v>
      </c>
      <c r="BI99" s="59">
        <f ca="1">AVERAGE(OFFSET($BH$3,0,0,'Données projet'!$E$11+1,1))-AVERAGE(OFFSET($H$3,0,0,'Données projet'!$E$11+1,1))</f>
        <v>245.06609107649069</v>
      </c>
      <c r="BJ99" s="59">
        <f t="shared" si="92"/>
        <v>156.24531945456499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7.3009110100846319</v>
      </c>
      <c r="BQ99" s="21">
        <f>EXP(-LN(2)/25)*BQ98+(1-EXP(-LN(2)/25))/(LN(2)/25)*Calculateur!BL99*Calculateur!BN99*VLOOKUP('Données projet'!$B$11,Paramètres!$A$1:$I$89,3,0)*0.475*44/12</f>
        <v>3.6954512991591546</v>
      </c>
      <c r="BR99" s="21">
        <f>EXP(-LN(2)/2)*BR98+(1-EXP(-LN(2)/2))/(LN(2)/2)*BL99*BO99*VLOOKUP('Données projet'!$B$11,Paramètres!$A$1:$I$89,3,0)*0.475*44/12</f>
        <v>2.0667624491618967E-6</v>
      </c>
      <c r="BS99" s="22">
        <f t="shared" si="63"/>
        <v>10.996364376006234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3.4528957063300028</v>
      </c>
      <c r="BY99" s="12">
        <f>IF('Données projet'!$A$114&gt;35,BY98+BX99-CG98,IF(A99&lt;'Données projet'!$A$114,$BV$205^A99,IF(A99='Données projet'!$A$114,'Données projet'!$B$114,BY98+BX99-CG98)))</f>
        <v>234.10050042338969</v>
      </c>
      <c r="BZ99" s="13">
        <f>BY99*VLOOKUP('Données projet'!$B$12,Paramètres!$A$1:$I$89,3,0)*VLOOKUP('Données projet'!$B$12,Paramètres!$A$1:$I$89,5,0)</f>
        <v>255.63774646234154</v>
      </c>
      <c r="CA99" s="13">
        <f t="shared" si="93"/>
        <v>61.791608084580879</v>
      </c>
      <c r="CB99" s="20">
        <f t="shared" si="64"/>
        <v>552.85612583588977</v>
      </c>
      <c r="CC99" s="59">
        <f t="shared" si="65"/>
        <v>846.18945916922303</v>
      </c>
      <c r="CD99" s="59">
        <f ca="1">AVERAGE(OFFSET($CC$3,0,0,'Données projet'!$E$12+1,1))-AVERAGE(OFFSET($H$3,0,0,'Données projet'!$E$12+1,1))</f>
        <v>173.63857221119594</v>
      </c>
      <c r="CE99" s="59">
        <f t="shared" si="94"/>
        <v>52.373745617370105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0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-1.1368683772161603E-13</v>
      </c>
      <c r="O100" s="13">
        <f>N100*VLOOKUP('Données projet'!$B$9,Paramètres!$A$1:$I$89,3,0)*VLOOKUP('Données projet'!$B$9,Paramètres!$A$1:$I$89,5,0)</f>
        <v>-6.7984728957526396E-14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175.34314856709307</v>
      </c>
      <c r="T100" s="59">
        <f t="shared" si="88"/>
        <v>296.28950942251339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3.920195034437397</v>
      </c>
      <c r="AA100" s="21">
        <f>EXP(-LN(2)/25)*AA99+(1-EXP(-LN(2)/25))/(LN(2)/25)*Calculateur!V100*Calculateur!X100*VLOOKUP('Données projet'!$B$9,Paramètres!$A$1:$I$89,3,0)*0.475*44/12</f>
        <v>2.9280500657721111</v>
      </c>
      <c r="AB100" s="21">
        <f>EXP(-LN(2)/2)*AB99+(1-EXP(-LN(2)/2))/(LN(2)/2)*V100*Y100*VLOOKUP('Données projet'!$B$9,Paramètres!$A$1:$I$89,3,0)*0.475*44/12</f>
        <v>2.108457343429837E-10</v>
      </c>
      <c r="AC100" s="22">
        <f t="shared" si="57"/>
        <v>6.8482451004203542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5.0999999999999996</v>
      </c>
      <c r="AI100" s="13">
        <f>IF('Données projet'!$A$62&gt;35,AI99+AH100-AQ99,IF(A100&lt;'Données projet'!$A$62,$AF$205^A100,IF(A100='Données projet'!$A$62,'Données projet'!$B$62,AI99+AH100-AQ99)))</f>
        <v>274.70000000000005</v>
      </c>
      <c r="AJ100" s="13">
        <f>AI100*VLOOKUP('Données projet'!$B$10,Paramètres!$A$1:$I$89,3,0)*VLOOKUP('Données projet'!$B$10,Paramètres!$A$1:$I$89,5,0)</f>
        <v>231.40728000000004</v>
      </c>
      <c r="AK100" s="13">
        <f t="shared" si="89"/>
        <v>56.586860257816653</v>
      </c>
      <c r="AL100" s="20">
        <f t="shared" si="58"/>
        <v>501.58979428236398</v>
      </c>
      <c r="AM100" s="59">
        <f t="shared" si="59"/>
        <v>794.92312761569724</v>
      </c>
      <c r="AN100" s="59">
        <f ca="1">AVERAGE(OFFSET($AM$3,0,0,'Données projet'!$E$10+1,1))-AVERAGE(OFFSET($H$3,0,0,'Données projet'!$E$10+1,1))</f>
        <v>247.67539667223065</v>
      </c>
      <c r="AO100" s="59">
        <f t="shared" si="90"/>
        <v>174.54442616983778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0.33995895234174794</v>
      </c>
      <c r="AV100" s="21">
        <f>EXP(-LN(2)/25)*AV99+(1-EXP(-LN(2)/25))/(LN(2)/25)*Calculateur!AQ100*Calculateur!AS100*VLOOKUP('Données projet'!$B$10,Paramètres!$A$1:$I$89,3,0)*0.475*44/12</f>
        <v>1.0259488025580792</v>
      </c>
      <c r="AW100" s="21">
        <f>EXP(-LN(2)/2)*AW99+(1-EXP(-LN(2)/2))/(LN(2)/2)*AQ100*AT100*VLOOKUP('Données projet'!$B$10,Paramètres!$A$1:$I$89,3,0)*0.475*44/12</f>
        <v>9.4779497903445807E-10</v>
      </c>
      <c r="AX100" s="21">
        <f t="shared" si="60"/>
        <v>1.365907755847622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5.2583333333333373</v>
      </c>
      <c r="BD100" s="12">
        <f>IF('Données projet'!$A$88&gt;35,BD99+BC100-BL99,IF(A100&lt;'Données projet'!$A$88,$BA$205^A100,IF(A100='Données projet'!$A$88,'Données projet'!$B$88,BD99+BC100-BL99)))</f>
        <v>203.21923076923051</v>
      </c>
      <c r="BE100" s="13">
        <f>BD100*VLOOKUP('Données projet'!$B$11,Paramètres!$A$1:$I$89,3,0)*VLOOKUP('Données projet'!$B$11,Paramètres!$A$1:$I$89,5,0)</f>
        <v>202.89407999999975</v>
      </c>
      <c r="BF100" s="13">
        <f t="shared" si="91"/>
        <v>50.37966612582823</v>
      </c>
      <c r="BG100" s="20">
        <f t="shared" si="61"/>
        <v>441.11844116915034</v>
      </c>
      <c r="BH100" s="59">
        <f t="shared" si="62"/>
        <v>734.45177450248366</v>
      </c>
      <c r="BI100" s="59">
        <f ca="1">AVERAGE(OFFSET($BH$3,0,0,'Données projet'!$E$11+1,1))-AVERAGE(OFFSET($H$3,0,0,'Données projet'!$E$11+1,1))</f>
        <v>245.06609107649069</v>
      </c>
      <c r="BJ100" s="59">
        <f t="shared" si="92"/>
        <v>156.24531945456499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7.1577445982928793</v>
      </c>
      <c r="BQ100" s="21">
        <f>EXP(-LN(2)/25)*BQ99+(1-EXP(-LN(2)/25))/(LN(2)/25)*Calculateur!BL100*Calculateur!BN100*VLOOKUP('Données projet'!$B$11,Paramètres!$A$1:$I$89,3,0)*0.475*44/12</f>
        <v>3.5943989890483099</v>
      </c>
      <c r="BR100" s="21">
        <f>EXP(-LN(2)/2)*BR99+(1-EXP(-LN(2)/2))/(LN(2)/2)*BL100*BO100*VLOOKUP('Données projet'!$B$11,Paramètres!$A$1:$I$89,3,0)*0.475*44/12</f>
        <v>1.4614217429040944E-6</v>
      </c>
      <c r="BS100" s="22">
        <f t="shared" si="63"/>
        <v>10.752145048762932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3.4528957063300028</v>
      </c>
      <c r="BY100" s="12">
        <f>IF('Données projet'!$A$114&gt;35,BY99+BX100-CG99,IF(A100&lt;'Données projet'!$A$114,$BV$205^A100,IF(A100='Données projet'!$A$114,'Données projet'!$B$114,BY99+BX100-CG99)))</f>
        <v>237.55339612971969</v>
      </c>
      <c r="BZ100" s="13">
        <f>BY100*VLOOKUP('Données projet'!$B$12,Paramètres!$A$1:$I$89,3,0)*VLOOKUP('Données projet'!$B$12,Paramètres!$A$1:$I$89,5,0)</f>
        <v>259.40830857365387</v>
      </c>
      <c r="CA100" s="13">
        <f t="shared" si="93"/>
        <v>62.596236535748098</v>
      </c>
      <c r="CB100" s="20">
        <f t="shared" si="64"/>
        <v>560.82458273220846</v>
      </c>
      <c r="CC100" s="59">
        <f t="shared" si="65"/>
        <v>854.15791606554171</v>
      </c>
      <c r="CD100" s="59">
        <f ca="1">AVERAGE(OFFSET($CC$3,0,0,'Données projet'!$E$12+1,1))-AVERAGE(OFFSET($H$3,0,0,'Données projet'!$E$12+1,1))</f>
        <v>173.63857221119594</v>
      </c>
      <c r="CE100" s="59">
        <f t="shared" si="94"/>
        <v>52.373745617370105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0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-1.1368683772161603E-13</v>
      </c>
      <c r="O101" s="13">
        <f>N101*VLOOKUP('Données projet'!$B$9,Paramètres!$A$1:$I$89,3,0)*VLOOKUP('Données projet'!$B$9,Paramètres!$A$1:$I$89,5,0)</f>
        <v>-6.7984728957526396E-14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175.34314856709307</v>
      </c>
      <c r="T101" s="59">
        <f t="shared" si="88"/>
        <v>296.28950942251339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3.8433224008949507</v>
      </c>
      <c r="AA101" s="21">
        <f>EXP(-LN(2)/25)*AA100+(1-EXP(-LN(2)/25))/(LN(2)/25)*Calculateur!V101*Calculateur!X101*VLOOKUP('Données projet'!$B$9,Paramètres!$A$1:$I$89,3,0)*0.475*44/12</f>
        <v>2.847982382744112</v>
      </c>
      <c r="AB101" s="21">
        <f>EXP(-LN(2)/2)*AB100+(1-EXP(-LN(2)/2))/(LN(2)/2)*V101*Y101*VLOOKUP('Données projet'!$B$9,Paramètres!$A$1:$I$89,3,0)*0.475*44/12</f>
        <v>1.490904485381811E-10</v>
      </c>
      <c r="AC101" s="22">
        <f t="shared" si="57"/>
        <v>6.6913047837881532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5.0999999999999996</v>
      </c>
      <c r="AI101" s="13">
        <f>IF('Données projet'!$A$62&gt;35,AI100+AH101-AQ100,IF(A101&lt;'Données projet'!$A$62,$AF$205^A101,IF(A101='Données projet'!$A$62,'Données projet'!$B$62,AI100+AH101-AQ100)))</f>
        <v>279.80000000000007</v>
      </c>
      <c r="AJ101" s="13">
        <f>AI101*VLOOKUP('Données projet'!$B$10,Paramètres!$A$1:$I$89,3,0)*VLOOKUP('Données projet'!$B$10,Paramètres!$A$1:$I$89,5,0)</f>
        <v>235.70352000000008</v>
      </c>
      <c r="AK101" s="13">
        <f t="shared" si="89"/>
        <v>57.51415226456097</v>
      </c>
      <c r="AL101" s="20">
        <f t="shared" si="58"/>
        <v>510.68744586077713</v>
      </c>
      <c r="AM101" s="59">
        <f t="shared" si="59"/>
        <v>804.02077919411045</v>
      </c>
      <c r="AN101" s="59">
        <f ca="1">AVERAGE(OFFSET($AM$3,0,0,'Données projet'!$E$10+1,1))-AVERAGE(OFFSET($H$3,0,0,'Données projet'!$E$10+1,1))</f>
        <v>247.67539667223065</v>
      </c>
      <c r="AO101" s="59">
        <f t="shared" si="90"/>
        <v>174.54442616983778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0.33329256464081264</v>
      </c>
      <c r="AV101" s="21">
        <f>EXP(-LN(2)/25)*AV100+(1-EXP(-LN(2)/25))/(LN(2)/25)*Calculateur!AQ101*Calculateur!AS101*VLOOKUP('Données projet'!$B$10,Paramètres!$A$1:$I$89,3,0)*0.475*44/12</f>
        <v>0.99789417859982588</v>
      </c>
      <c r="AW101" s="21">
        <f>EXP(-LN(2)/2)*AW100+(1-EXP(-LN(2)/2))/(LN(2)/2)*AQ101*AT101*VLOOKUP('Données projet'!$B$10,Paramètres!$A$1:$I$89,3,0)*0.475*44/12</f>
        <v>6.7019225684982695E-10</v>
      </c>
      <c r="AX101" s="21">
        <f t="shared" si="60"/>
        <v>1.3311867439108309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5.2583333333333373</v>
      </c>
      <c r="BD101" s="12">
        <f>IF('Données projet'!$A$88&gt;35,BD100+BC101-BL100,IF(A101&lt;'Données projet'!$A$88,$BA$205^A101,IF(A101='Données projet'!$A$88,'Données projet'!$B$88,BD100+BC101-BL100)))</f>
        <v>208.47756410256383</v>
      </c>
      <c r="BE101" s="13">
        <f>BD101*VLOOKUP('Données projet'!$B$11,Paramètres!$A$1:$I$89,3,0)*VLOOKUP('Données projet'!$B$11,Paramètres!$A$1:$I$89,5,0)</f>
        <v>208.14399999999975</v>
      </c>
      <c r="BF101" s="13">
        <f t="shared" si="91"/>
        <v>51.529793690177527</v>
      </c>
      <c r="BG101" s="20">
        <f t="shared" si="61"/>
        <v>452.26519067705868</v>
      </c>
      <c r="BH101" s="59">
        <f t="shared" si="62"/>
        <v>745.598524010392</v>
      </c>
      <c r="BI101" s="59">
        <f ca="1">AVERAGE(OFFSET($BH$3,0,0,'Données projet'!$E$11+1,1))-AVERAGE(OFFSET($H$3,0,0,'Données projet'!$E$11+1,1))</f>
        <v>245.06609107649069</v>
      </c>
      <c r="BJ101" s="59">
        <f t="shared" si="92"/>
        <v>156.24531945456499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7.0173855925134747</v>
      </c>
      <c r="BQ101" s="21">
        <f>EXP(-LN(2)/25)*BQ100+(1-EXP(-LN(2)/25))/(LN(2)/25)*Calculateur!BL101*Calculateur!BN101*VLOOKUP('Données projet'!$B$11,Paramètres!$A$1:$I$89,3,0)*0.475*44/12</f>
        <v>3.4961099596715561</v>
      </c>
      <c r="BR101" s="21">
        <f>EXP(-LN(2)/2)*BR100+(1-EXP(-LN(2)/2))/(LN(2)/2)*BL101*BO101*VLOOKUP('Données projet'!$B$11,Paramètres!$A$1:$I$89,3,0)*0.475*44/12</f>
        <v>1.0333812245809483E-6</v>
      </c>
      <c r="BS101" s="22">
        <f t="shared" si="63"/>
        <v>10.513496585566255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3.4528957063300028</v>
      </c>
      <c r="BY101" s="12">
        <f>IF('Données projet'!$A$114&gt;35,BY100+BX101-CG100,IF(A101&lt;'Données projet'!$A$114,$BV$205^A101,IF(A101='Données projet'!$A$114,'Données projet'!$B$114,BY100+BX101-CG100)))</f>
        <v>241.00629183604968</v>
      </c>
      <c r="BZ101" s="13">
        <f>BY101*VLOOKUP('Données projet'!$B$12,Paramètres!$A$1:$I$89,3,0)*VLOOKUP('Données projet'!$B$12,Paramètres!$A$1:$I$89,5,0)</f>
        <v>263.17887068496623</v>
      </c>
      <c r="CA101" s="13">
        <f t="shared" si="93"/>
        <v>63.399504734792558</v>
      </c>
      <c r="CB101" s="20">
        <f t="shared" si="64"/>
        <v>568.7906705227465</v>
      </c>
      <c r="CC101" s="59">
        <f t="shared" si="65"/>
        <v>862.12400385607975</v>
      </c>
      <c r="CD101" s="59">
        <f ca="1">AVERAGE(OFFSET($CC$3,0,0,'Données projet'!$E$12+1,1))-AVERAGE(OFFSET($H$3,0,0,'Données projet'!$E$12+1,1))</f>
        <v>173.63857221119594</v>
      </c>
      <c r="CE101" s="59">
        <f t="shared" si="94"/>
        <v>52.373745617370105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0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-1.1368683772161603E-13</v>
      </c>
      <c r="O102" s="13">
        <f>N102*VLOOKUP('Données projet'!$B$9,Paramètres!$A$1:$I$89,3,0)*VLOOKUP('Données projet'!$B$9,Paramètres!$A$1:$I$89,5,0)</f>
        <v>-6.7984728957526396E-14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175.34314856709307</v>
      </c>
      <c r="T102" s="59">
        <f t="shared" si="88"/>
        <v>296.28950942251339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3.7679571928085953</v>
      </c>
      <c r="AA102" s="21">
        <f>EXP(-LN(2)/25)*AA101+(1-EXP(-LN(2)/25))/(LN(2)/25)*Calculateur!V102*Calculateur!X102*VLOOKUP('Données projet'!$B$9,Paramètres!$A$1:$I$89,3,0)*0.475*44/12</f>
        <v>2.7701041547190899</v>
      </c>
      <c r="AB102" s="21">
        <f>EXP(-LN(2)/2)*AB101+(1-EXP(-LN(2)/2))/(LN(2)/2)*V102*Y102*VLOOKUP('Données projet'!$B$9,Paramètres!$A$1:$I$89,3,0)*0.475*44/12</f>
        <v>1.0542286717149185E-10</v>
      </c>
      <c r="AC102" s="22">
        <f t="shared" si="57"/>
        <v>6.5380613476331089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5.0999999999999996</v>
      </c>
      <c r="AI102" s="13">
        <f>IF('Données projet'!$A$62&gt;35,AI101+AH102-AQ101,IF(A102&lt;'Données projet'!$A$62,$AF$205^A102,IF(A102='Données projet'!$A$62,'Données projet'!$B$62,AI101+AH102-AQ101)))</f>
        <v>284.90000000000009</v>
      </c>
      <c r="AJ102" s="13">
        <f>AI102*VLOOKUP('Données projet'!$B$10,Paramètres!$A$1:$I$89,3,0)*VLOOKUP('Données projet'!$B$10,Paramètres!$A$1:$I$89,5,0)</f>
        <v>239.99976000000009</v>
      </c>
      <c r="AK102" s="13">
        <f t="shared" si="89"/>
        <v>58.43947884504243</v>
      </c>
      <c r="AL102" s="20">
        <f t="shared" si="58"/>
        <v>519.78167432178236</v>
      </c>
      <c r="AM102" s="59">
        <f t="shared" si="59"/>
        <v>813.11500765511573</v>
      </c>
      <c r="AN102" s="59">
        <f ca="1">AVERAGE(OFFSET($AM$3,0,0,'Données projet'!$E$10+1,1))-AVERAGE(OFFSET($H$3,0,0,'Données projet'!$E$10+1,1))</f>
        <v>247.67539667223065</v>
      </c>
      <c r="AO102" s="59">
        <f t="shared" si="90"/>
        <v>174.54442616983778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0.32675690073659769</v>
      </c>
      <c r="AV102" s="21">
        <f>EXP(-LN(2)/25)*AV101+(1-EXP(-LN(2)/25))/(LN(2)/25)*Calculateur!AQ102*Calculateur!AS102*VLOOKUP('Données projet'!$B$10,Paramètres!$A$1:$I$89,3,0)*0.475*44/12</f>
        <v>0.97060670980903951</v>
      </c>
      <c r="AW102" s="21">
        <f>EXP(-LN(2)/2)*AW101+(1-EXP(-LN(2)/2))/(LN(2)/2)*AQ102*AT102*VLOOKUP('Données projet'!$B$10,Paramètres!$A$1:$I$89,3,0)*0.475*44/12</f>
        <v>4.7389748951722904E-10</v>
      </c>
      <c r="AX102" s="21">
        <f t="shared" si="60"/>
        <v>1.2973636110195348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5.2583333333333373</v>
      </c>
      <c r="BD102" s="12">
        <f>IF('Données projet'!$A$88&gt;35,BD101+BC102-BL101,IF(A102&lt;'Données projet'!$A$88,$BA$205^A102,IF(A102='Données projet'!$A$88,'Données projet'!$B$88,BD101+BC102-BL101)))</f>
        <v>213.73589743589716</v>
      </c>
      <c r="BE102" s="13">
        <f>BD102*VLOOKUP('Données projet'!$B$11,Paramètres!$A$1:$I$89,3,0)*VLOOKUP('Données projet'!$B$11,Paramètres!$A$1:$I$89,5,0)</f>
        <v>213.39391999999972</v>
      </c>
      <c r="BF102" s="13">
        <f t="shared" si="91"/>
        <v>52.676549165120122</v>
      </c>
      <c r="BG102" s="20">
        <f t="shared" si="61"/>
        <v>463.4060671292504</v>
      </c>
      <c r="BH102" s="59">
        <f t="shared" si="62"/>
        <v>756.73940046258372</v>
      </c>
      <c r="BI102" s="59">
        <f ca="1">AVERAGE(OFFSET($BH$3,0,0,'Données projet'!$E$11+1,1))-AVERAGE(OFFSET($H$3,0,0,'Données projet'!$E$11+1,1))</f>
        <v>245.06609107649069</v>
      </c>
      <c r="BJ102" s="59">
        <f t="shared" si="92"/>
        <v>156.24531945456499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6.8797789412268644</v>
      </c>
      <c r="BQ102" s="21">
        <f>EXP(-LN(2)/25)*BQ101+(1-EXP(-LN(2)/25))/(LN(2)/25)*Calculateur!BL102*Calculateur!BN102*VLOOKUP('Données projet'!$B$11,Paramètres!$A$1:$I$89,3,0)*0.475*44/12</f>
        <v>3.400508648971905</v>
      </c>
      <c r="BR102" s="21">
        <f>EXP(-LN(2)/2)*BR101+(1-EXP(-LN(2)/2))/(LN(2)/2)*BL102*BO102*VLOOKUP('Données projet'!$B$11,Paramètres!$A$1:$I$89,3,0)*0.475*44/12</f>
        <v>7.3071087145204718E-7</v>
      </c>
      <c r="BS102" s="22">
        <f t="shared" si="63"/>
        <v>10.280288320909641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3.4528957063300028</v>
      </c>
      <c r="BY102" s="12">
        <f>IF('Données projet'!$A$114&gt;35,BY101+BX102-CG101,IF(A102&lt;'Données projet'!$A$114,$BV$205^A102,IF(A102='Données projet'!$A$114,'Données projet'!$B$114,BY101+BX102-CG101)))</f>
        <v>244.45918754237968</v>
      </c>
      <c r="BZ102" s="13">
        <f>BY102*VLOOKUP('Données projet'!$B$12,Paramètres!$A$1:$I$89,3,0)*VLOOKUP('Données projet'!$B$12,Paramètres!$A$1:$I$89,5,0)</f>
        <v>266.94943279627859</v>
      </c>
      <c r="CA102" s="13">
        <f t="shared" si="93"/>
        <v>64.201434421845022</v>
      </c>
      <c r="CB102" s="20">
        <f t="shared" si="64"/>
        <v>576.75442707156526</v>
      </c>
      <c r="CC102" s="59">
        <f t="shared" si="65"/>
        <v>870.08776040489852</v>
      </c>
      <c r="CD102" s="59">
        <f ca="1">AVERAGE(OFFSET($CC$3,0,0,'Données projet'!$E$12+1,1))-AVERAGE(OFFSET($H$3,0,0,'Données projet'!$E$12+1,1))</f>
        <v>173.63857221119594</v>
      </c>
      <c r="CE102" s="59">
        <f t="shared" si="94"/>
        <v>52.373745617370105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0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-1.1368683772161603E-13</v>
      </c>
      <c r="O103" s="13">
        <f>N103*VLOOKUP('Données projet'!$B$9,Paramètres!$A$1:$I$89,3,0)*VLOOKUP('Données projet'!$B$9,Paramètres!$A$1:$I$89,5,0)</f>
        <v>-6.7984728957526396E-14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175.34314856709307</v>
      </c>
      <c r="T103" s="59">
        <f t="shared" si="88"/>
        <v>296.28950942251339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3.6940698504845755</v>
      </c>
      <c r="AA103" s="21">
        <f>EXP(-LN(2)/25)*AA102+(1-EXP(-LN(2)/25))/(LN(2)/25)*Calculateur!V103*Calculateur!X103*VLOOKUP('Données projet'!$B$9,Paramètres!$A$1:$I$89,3,0)*0.475*44/12</f>
        <v>2.6943555109348498</v>
      </c>
      <c r="AB103" s="21">
        <f>EXP(-LN(2)/2)*AB102+(1-EXP(-LN(2)/2))/(LN(2)/2)*V103*Y103*VLOOKUP('Données projet'!$B$9,Paramètres!$A$1:$I$89,3,0)*0.475*44/12</f>
        <v>7.4545224269090551E-11</v>
      </c>
      <c r="AC103" s="22">
        <f t="shared" si="57"/>
        <v>6.3884253614939706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290</v>
      </c>
      <c r="AG103" s="12">
        <f>VLOOKUP(A103,'Données projet'!$A$61:$I$81,9,0)</f>
        <v>5.0999999999999996</v>
      </c>
      <c r="AH103" s="12">
        <f t="array" ref="AH103">INDEX(AG:AG,MIN(IF(ISNUMBER(AG103:AG299),ROW(AG103:AG299),"")))</f>
        <v>5.0999999999999996</v>
      </c>
      <c r="AI103" s="13">
        <f>IF('Données projet'!$A$62&gt;35,AI102+AH103-AQ102,IF(A103&lt;'Données projet'!$A$62,$AF$205^A103,IF(A103='Données projet'!$A$62,'Données projet'!$B$62,AI102+AH103-AQ102)))</f>
        <v>290.00000000000011</v>
      </c>
      <c r="AJ103" s="13">
        <f>AI103*VLOOKUP('Données projet'!$B$10,Paramètres!$A$1:$I$89,3,0)*VLOOKUP('Données projet'!$B$10,Paramètres!$A$1:$I$89,5,0)</f>
        <v>244.29600000000013</v>
      </c>
      <c r="AK103" s="13">
        <f t="shared" si="89"/>
        <v>59.362879241040417</v>
      </c>
      <c r="AL103" s="20">
        <f t="shared" si="58"/>
        <v>528.8725480114789</v>
      </c>
      <c r="AM103" s="59">
        <f t="shared" si="59"/>
        <v>822.20588134481227</v>
      </c>
      <c r="AN103" s="59">
        <f ca="1">AVERAGE(OFFSET($AM$3,0,0,'Données projet'!$E$10+1,1))-AVERAGE(OFFSET($H$3,0,0,'Données projet'!$E$10+1,1))</f>
        <v>247.67539667223065</v>
      </c>
      <c r="AO103" s="59">
        <f t="shared" si="90"/>
        <v>174.54442616983778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37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0.32034939721518302</v>
      </c>
      <c r="AV103" s="21">
        <f>EXP(-LN(2)/25)*AV102+(1-EXP(-LN(2)/25))/(LN(2)/25)*Calculateur!AQ103*Calculateur!AS103*VLOOKUP('Données projet'!$B$10,Paramètres!$A$1:$I$89,3,0)*0.475*44/12</f>
        <v>0.94406541828732282</v>
      </c>
      <c r="AW103" s="21">
        <f>EXP(-LN(2)/2)*AW102+(1-EXP(-LN(2)/2))/(LN(2)/2)*AQ103*AT103*VLOOKUP('Données projet'!$B$10,Paramètres!$A$1:$I$89,3,0)*0.475*44/12</f>
        <v>3.3509612842491348E-10</v>
      </c>
      <c r="AX103" s="21">
        <f t="shared" si="60"/>
        <v>1.2644148158376021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5.2583333333333373</v>
      </c>
      <c r="BD103" s="12">
        <f>IF('Données projet'!$A$88&gt;35,BD102+BC103-BL102,IF(A103&lt;'Données projet'!$A$88,$BA$205^A103,IF(A103='Données projet'!$A$88,'Données projet'!$B$88,BD102+BC103-BL102)))</f>
        <v>218.99423076923048</v>
      </c>
      <c r="BE103" s="13">
        <f>BD103*VLOOKUP('Données projet'!$B$11,Paramètres!$A$1:$I$89,3,0)*VLOOKUP('Données projet'!$B$11,Paramètres!$A$1:$I$89,5,0)</f>
        <v>218.64383999999973</v>
      </c>
      <c r="BF103" s="13">
        <f t="shared" si="91"/>
        <v>53.820025053797636</v>
      </c>
      <c r="BG103" s="20">
        <f t="shared" si="61"/>
        <v>474.54123163536366</v>
      </c>
      <c r="BH103" s="59">
        <f t="shared" si="62"/>
        <v>767.87456496869697</v>
      </c>
      <c r="BI103" s="59">
        <f ca="1">AVERAGE(OFFSET($BH$3,0,0,'Données projet'!$E$11+1,1))-AVERAGE(OFFSET($H$3,0,0,'Données projet'!$E$11+1,1))</f>
        <v>245.06609107649069</v>
      </c>
      <c r="BJ103" s="59">
        <f t="shared" si="92"/>
        <v>156.24531945456499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6.7448706724402143</v>
      </c>
      <c r="BQ103" s="21">
        <f>EXP(-LN(2)/25)*BQ102+(1-EXP(-LN(2)/25))/(LN(2)/25)*Calculateur!BL103*Calculateur!BN103*VLOOKUP('Données projet'!$B$11,Paramètres!$A$1:$I$89,3,0)*0.475*44/12</f>
        <v>3.3075215611407902</v>
      </c>
      <c r="BR103" s="21">
        <f>EXP(-LN(2)/2)*BR102+(1-EXP(-LN(2)/2))/(LN(2)/2)*BL103*BO103*VLOOKUP('Données projet'!$B$11,Paramètres!$A$1:$I$89,3,0)*0.475*44/12</f>
        <v>5.1669061229047417E-7</v>
      </c>
      <c r="BS103" s="22">
        <f t="shared" si="63"/>
        <v>10.052392750271617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247.91208324870993</v>
      </c>
      <c r="BW103" s="12">
        <f>VLOOKUP(A103,'Données projet'!$A$113:$I$133,9,0)</f>
        <v>3.4528957063300028</v>
      </c>
      <c r="BX103" s="12">
        <f t="array" ref="BX103">INDEX(BW:BW,MIN(IF(ISNUMBER(BW103:BW299),ROW(BW103:BW299),"")))</f>
        <v>3.4528957063300028</v>
      </c>
      <c r="BY103" s="12">
        <f>IF('Données projet'!$A$114&gt;35,BY102+BX103-CG102,IF(A103&lt;'Données projet'!$A$114,$BV$205^A103,IF(A103='Données projet'!$A$114,'Données projet'!$B$114,BY102+BX103-CG102)))</f>
        <v>247.91208324870968</v>
      </c>
      <c r="BZ103" s="13">
        <f>BY103*VLOOKUP('Données projet'!$B$12,Paramètres!$A$1:$I$89,3,0)*VLOOKUP('Données projet'!$B$12,Paramètres!$A$1:$I$89,5,0)</f>
        <v>270.71999490759094</v>
      </c>
      <c r="CA103" s="13">
        <f t="shared" si="93"/>
        <v>65.002046687619981</v>
      </c>
      <c r="CB103" s="20">
        <f t="shared" si="64"/>
        <v>584.71588911165907</v>
      </c>
      <c r="CC103" s="59">
        <f t="shared" si="65"/>
        <v>878.04922244499244</v>
      </c>
      <c r="CD103" s="59">
        <f ca="1">AVERAGE(OFFSET($CC$3,0,0,'Données projet'!$E$12+1,1))-AVERAGE(OFFSET($H$3,0,0,'Données projet'!$E$12+1,1))</f>
        <v>173.63857221119594</v>
      </c>
      <c r="CE103" s="59">
        <f t="shared" si="94"/>
        <v>52.373745617370105</v>
      </c>
      <c r="CF103" s="15">
        <f>IF(ISNA(VLOOKUP(A103,'Données projet'!$A$113:$I$133,3,0)),0,VLOOKUP(A103,'Données projet'!$A$113:$I$133,3,0))</f>
        <v>1</v>
      </c>
      <c r="CG103" s="15">
        <f>IF(ISNA(VLOOKUP(A103,'Données projet'!$A$113:$I$133,4,0)),0,VLOOKUP(A103,'Données projet'!$A$113:$I$133,4,0))</f>
        <v>247.91208324870993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0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-6.7984728957526396E-14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175.34314856709307</v>
      </c>
      <c r="T104" s="59">
        <f t="shared" si="88"/>
        <v>296.28950942251339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3.6216313938767009</v>
      </c>
      <c r="AA104" s="21">
        <f>EXP(-LN(2)/25)*AA103+(1-EXP(-LN(2)/25))/(LN(2)/25)*Calculateur!V104*Calculateur!X104*VLOOKUP('Données projet'!$B$9,Paramètres!$A$1:$I$89,3,0)*0.475*44/12</f>
        <v>2.6206782177983379</v>
      </c>
      <c r="AB104" s="21">
        <f>EXP(-LN(2)/2)*AB103+(1-EXP(-LN(2)/2))/(LN(2)/2)*V104*Y104*VLOOKUP('Données projet'!$B$9,Paramètres!$A$1:$I$89,3,0)*0.475*44/12</f>
        <v>5.2711433585745925E-11</v>
      </c>
      <c r="AC104" s="22">
        <f t="shared" si="57"/>
        <v>6.2423096117277499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4.5999999999999996</v>
      </c>
      <c r="AI104" s="13">
        <f>IF('Données projet'!$A$62&gt;35,AI103+AH104-AQ103,IF(A104&lt;'Données projet'!$A$62,$AF$205^A104,IF(A104='Données projet'!$A$62,'Données projet'!$B$62,AI103+AH104-AQ103)))</f>
        <v>257.60000000000014</v>
      </c>
      <c r="AJ104" s="13">
        <f>AI104*VLOOKUP('Données projet'!$B$10,Paramètres!$A$1:$I$89,3,0)*VLOOKUP('Données projet'!$B$10,Paramètres!$A$1:$I$89,5,0)</f>
        <v>217.00224000000011</v>
      </c>
      <c r="AK104" s="13">
        <f t="shared" si="89"/>
        <v>53.462818050454821</v>
      </c>
      <c r="AL104" s="20">
        <f t="shared" si="58"/>
        <v>471.05997610454233</v>
      </c>
      <c r="AM104" s="59">
        <f t="shared" si="59"/>
        <v>764.39330943787559</v>
      </c>
      <c r="AN104" s="59">
        <f ca="1">AVERAGE(OFFSET($AM$3,0,0,'Données projet'!$E$10+1,1))-AVERAGE(OFFSET($H$3,0,0,'Données projet'!$E$10+1,1))</f>
        <v>247.67539667223065</v>
      </c>
      <c r="AO104" s="59">
        <f t="shared" si="90"/>
        <v>174.54442616983778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0.31406754092963202</v>
      </c>
      <c r="AV104" s="21">
        <f>EXP(-LN(2)/25)*AV103+(1-EXP(-LN(2)/25))/(LN(2)/25)*Calculateur!AQ104*Calculateur!AS104*VLOOKUP('Données projet'!$B$10,Paramètres!$A$1:$I$89,3,0)*0.475*44/12</f>
        <v>0.9182498997780133</v>
      </c>
      <c r="AW104" s="21">
        <f>EXP(-LN(2)/2)*AW103+(1-EXP(-LN(2)/2))/(LN(2)/2)*AQ104*AT104*VLOOKUP('Données projet'!$B$10,Paramètres!$A$1:$I$89,3,0)*0.475*44/12</f>
        <v>2.3694874475861452E-10</v>
      </c>
      <c r="AX104" s="21">
        <f t="shared" si="60"/>
        <v>1.2323174409445941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5.2583333333333373</v>
      </c>
      <c r="BD104" s="12">
        <f>IF('Données projet'!$A$88&gt;35,BD103+BC104-BL103,IF(A104&lt;'Données projet'!$A$88,$BA$205^A104,IF(A104='Données projet'!$A$88,'Données projet'!$B$88,BD103+BC104-BL103)))</f>
        <v>224.25256410256381</v>
      </c>
      <c r="BE104" s="13">
        <f>BD104*VLOOKUP('Données projet'!$B$11,Paramètres!$A$1:$I$89,3,0)*VLOOKUP('Données projet'!$B$11,Paramètres!$A$1:$I$89,5,0)</f>
        <v>223.8937599999997</v>
      </c>
      <c r="BF104" s="13">
        <f t="shared" si="91"/>
        <v>54.960309163778717</v>
      </c>
      <c r="BG104" s="20">
        <f t="shared" si="61"/>
        <v>485.67083712691414</v>
      </c>
      <c r="BH104" s="59">
        <f t="shared" si="62"/>
        <v>779.00417046024745</v>
      </c>
      <c r="BI104" s="59">
        <f ca="1">AVERAGE(OFFSET($BH$3,0,0,'Données projet'!$E$11+1,1))-AVERAGE(OFFSET($H$3,0,0,'Données projet'!$E$11+1,1))</f>
        <v>245.06609107649069</v>
      </c>
      <c r="BJ104" s="59">
        <f t="shared" si="92"/>
        <v>156.24531945456499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6.6126078725185513</v>
      </c>
      <c r="BQ104" s="21">
        <f>EXP(-LN(2)/25)*BQ103+(1-EXP(-LN(2)/25))/(LN(2)/25)*Calculateur!BL104*Calculateur!BN104*VLOOKUP('Données projet'!$B$11,Paramètres!$A$1:$I$89,3,0)*0.475*44/12</f>
        <v>3.217077210116396</v>
      </c>
      <c r="BR104" s="21">
        <f>EXP(-LN(2)/2)*BR103+(1-EXP(-LN(2)/2))/(LN(2)/2)*BL104*BO104*VLOOKUP('Données projet'!$B$11,Paramètres!$A$1:$I$89,3,0)*0.475*44/12</f>
        <v>3.6535543572602359E-7</v>
      </c>
      <c r="BS104" s="22">
        <f t="shared" si="63"/>
        <v>9.8296854479903839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-2.5579538487363607E-13</v>
      </c>
      <c r="BZ104" s="13">
        <f>BY104*VLOOKUP('Données projet'!$B$12,Paramètres!$A$1:$I$89,3,0)*VLOOKUP('Données projet'!$B$12,Paramètres!$A$1:$I$89,5,0)</f>
        <v>-2.7932856028201057E-13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173.63857221119594</v>
      </c>
      <c r="CE104" s="59">
        <f t="shared" si="94"/>
        <v>52.373745617370105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0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-6.7984728957526396E-14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175.34314856709307</v>
      </c>
      <c r="T105" s="59">
        <f t="shared" si="88"/>
        <v>296.28950942251339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3.5506134112198104</v>
      </c>
      <c r="AA105" s="21">
        <f>EXP(-LN(2)/25)*AA104+(1-EXP(-LN(2)/25))/(LN(2)/25)*Calculateur!V105*Calculateur!X105*VLOOKUP('Données projet'!$B$9,Paramètres!$A$1:$I$89,3,0)*0.475*44/12</f>
        <v>2.5490156341171644</v>
      </c>
      <c r="AB105" s="21">
        <f>EXP(-LN(2)/2)*AB104+(1-EXP(-LN(2)/2))/(LN(2)/2)*V105*Y105*VLOOKUP('Données projet'!$B$9,Paramètres!$A$1:$I$89,3,0)*0.475*44/12</f>
        <v>3.7272612134545276E-11</v>
      </c>
      <c r="AC105" s="22">
        <f t="shared" si="57"/>
        <v>6.0996290453742477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4.5999999999999996</v>
      </c>
      <c r="AI105" s="13">
        <f>IF('Données projet'!$A$62&gt;35,AI104+AH105-AQ104,IF(A105&lt;'Données projet'!$A$62,$AF$205^A105,IF(A105='Données projet'!$A$62,'Données projet'!$B$62,AI104+AH105-AQ104)))</f>
        <v>262.20000000000016</v>
      </c>
      <c r="AJ105" s="13">
        <f>AI105*VLOOKUP('Données projet'!$B$10,Paramètres!$A$1:$I$89,3,0)*VLOOKUP('Données projet'!$B$10,Paramètres!$A$1:$I$89,5,0)</f>
        <v>220.87728000000018</v>
      </c>
      <c r="AK105" s="13">
        <f t="shared" si="89"/>
        <v>54.30551400830285</v>
      </c>
      <c r="AL105" s="20">
        <f t="shared" si="58"/>
        <v>479.27669956446113</v>
      </c>
      <c r="AM105" s="59">
        <f t="shared" si="59"/>
        <v>772.61003289779444</v>
      </c>
      <c r="AN105" s="59">
        <f ca="1">AVERAGE(OFFSET($AM$3,0,0,'Données projet'!$E$10+1,1))-AVERAGE(OFFSET($H$3,0,0,'Données projet'!$E$10+1,1))</f>
        <v>247.67539667223065</v>
      </c>
      <c r="AO105" s="59">
        <f t="shared" si="90"/>
        <v>174.54442616983778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0.30790886801428669</v>
      </c>
      <c r="AV105" s="21">
        <f>EXP(-LN(2)/25)*AV104+(1-EXP(-LN(2)/25))/(LN(2)/25)*Calculateur!AQ105*Calculateur!AS105*VLOOKUP('Données projet'!$B$10,Paramètres!$A$1:$I$89,3,0)*0.475*44/12</f>
        <v>0.89314030797991995</v>
      </c>
      <c r="AW105" s="21">
        <f>EXP(-LN(2)/2)*AW104+(1-EXP(-LN(2)/2))/(LN(2)/2)*AQ105*AT105*VLOOKUP('Données projet'!$B$10,Paramètres!$A$1:$I$89,3,0)*0.475*44/12</f>
        <v>1.6754806421245674E-10</v>
      </c>
      <c r="AX105" s="21">
        <f t="shared" si="60"/>
        <v>1.2010491761617546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5.2583333333333373</v>
      </c>
      <c r="BD105" s="12">
        <f>IF('Données projet'!$A$88&gt;35,BD104+BC105-BL104,IF(A105&lt;'Données projet'!$A$88,$BA$205^A105,IF(A105='Données projet'!$A$88,'Données projet'!$B$88,BD104+BC105-BL104)))</f>
        <v>229.51089743589714</v>
      </c>
      <c r="BE105" s="13">
        <f>BD105*VLOOKUP('Données projet'!$B$11,Paramètres!$A$1:$I$89,3,0)*VLOOKUP('Données projet'!$B$11,Paramètres!$A$1:$I$89,5,0)</f>
        <v>229.1436799999997</v>
      </c>
      <c r="BF105" s="13">
        <f t="shared" si="91"/>
        <v>56.097484949842602</v>
      </c>
      <c r="BG105" s="20">
        <f t="shared" si="61"/>
        <v>496.79502895430869</v>
      </c>
      <c r="BH105" s="59">
        <f t="shared" si="62"/>
        <v>790.12836228764195</v>
      </c>
      <c r="BI105" s="59">
        <f ca="1">AVERAGE(OFFSET($BH$3,0,0,'Données projet'!$E$11+1,1))-AVERAGE(OFFSET($H$3,0,0,'Données projet'!$E$11+1,1))</f>
        <v>245.06609107649069</v>
      </c>
      <c r="BJ105" s="59">
        <f t="shared" si="92"/>
        <v>156.24531945456499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6.4829386654310106</v>
      </c>
      <c r="BQ105" s="21">
        <f>EXP(-LN(2)/25)*BQ104+(1-EXP(-LN(2)/25))/(LN(2)/25)*Calculateur!BL105*Calculateur!BN105*VLOOKUP('Données projet'!$B$11,Paramètres!$A$1:$I$89,3,0)*0.475*44/12</f>
        <v>3.1291060646270252</v>
      </c>
      <c r="BR105" s="21">
        <f>EXP(-LN(2)/2)*BR104+(1-EXP(-LN(2)/2))/(LN(2)/2)*BL105*BO105*VLOOKUP('Données projet'!$B$11,Paramètres!$A$1:$I$89,3,0)*0.475*44/12</f>
        <v>2.5834530614523709E-7</v>
      </c>
      <c r="BS105" s="22">
        <f t="shared" si="63"/>
        <v>9.6120449884033423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-2.5579538487363607E-13</v>
      </c>
      <c r="BZ105" s="13">
        <f>BY105*VLOOKUP('Données projet'!$B$12,Paramètres!$A$1:$I$89,3,0)*VLOOKUP('Données projet'!$B$12,Paramètres!$A$1:$I$89,5,0)</f>
        <v>-2.7932856028201057E-13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173.63857221119594</v>
      </c>
      <c r="CE105" s="59">
        <f t="shared" si="94"/>
        <v>52.373745617370105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0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-6.7984728957526396E-14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175.34314856709307</v>
      </c>
      <c r="T106" s="59">
        <f t="shared" si="88"/>
        <v>296.28950942251339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3.4809880478861297</v>
      </c>
      <c r="AA106" s="21">
        <f>EXP(-LN(2)/25)*AA105+(1-EXP(-LN(2)/25))/(LN(2)/25)*Calculateur!V106*Calculateur!X106*VLOOKUP('Données projet'!$B$9,Paramètres!$A$1:$I$89,3,0)*0.475*44/12</f>
        <v>2.4793126675553241</v>
      </c>
      <c r="AB106" s="21">
        <f>EXP(-LN(2)/2)*AB105+(1-EXP(-LN(2)/2))/(LN(2)/2)*V106*Y106*VLOOKUP('Données projet'!$B$9,Paramètres!$A$1:$I$89,3,0)*0.475*44/12</f>
        <v>2.6355716792872963E-11</v>
      </c>
      <c r="AC106" s="22">
        <f t="shared" si="57"/>
        <v>5.9603007154678096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4.5999999999999996</v>
      </c>
      <c r="AI106" s="13">
        <f>IF('Données projet'!$A$62&gt;35,AI105+AH106-AQ105,IF(A106&lt;'Données projet'!$A$62,$AF$205^A106,IF(A106='Données projet'!$A$62,'Données projet'!$B$62,AI105+AH106-AQ105)))</f>
        <v>266.80000000000018</v>
      </c>
      <c r="AJ106" s="13">
        <f>AI106*VLOOKUP('Données projet'!$B$10,Paramètres!$A$1:$I$89,3,0)*VLOOKUP('Données projet'!$B$10,Paramètres!$A$1:$I$89,5,0)</f>
        <v>224.7523200000002</v>
      </c>
      <c r="AK106" s="13">
        <f t="shared" si="89"/>
        <v>55.146490754971133</v>
      </c>
      <c r="AL106" s="20">
        <f t="shared" si="58"/>
        <v>487.49042873157509</v>
      </c>
      <c r="AM106" s="59">
        <f t="shared" si="59"/>
        <v>780.82376206490835</v>
      </c>
      <c r="AN106" s="59">
        <f ca="1">AVERAGE(OFFSET($AM$3,0,0,'Données projet'!$E$10+1,1))-AVERAGE(OFFSET($H$3,0,0,'Données projet'!$E$10+1,1))</f>
        <v>247.67539667223065</v>
      </c>
      <c r="AO106" s="59">
        <f t="shared" si="90"/>
        <v>174.54442616983778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0.30187096291839172</v>
      </c>
      <c r="AV106" s="21">
        <f>EXP(-LN(2)/25)*AV105+(1-EXP(-LN(2)/25))/(LN(2)/25)*Calculateur!AQ106*Calculateur!AS106*VLOOKUP('Données projet'!$B$10,Paramètres!$A$1:$I$89,3,0)*0.475*44/12</f>
        <v>0.8687173392900015</v>
      </c>
      <c r="AW106" s="21">
        <f>EXP(-LN(2)/2)*AW105+(1-EXP(-LN(2)/2))/(LN(2)/2)*AQ106*AT106*VLOOKUP('Données projet'!$B$10,Paramètres!$A$1:$I$89,3,0)*0.475*44/12</f>
        <v>1.1847437237930726E-10</v>
      </c>
      <c r="AX106" s="21">
        <f t="shared" si="60"/>
        <v>1.1705883023268675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>
        <f>VLOOKUP(A106,'Données projet'!$A$87:$I$107,2,0)</f>
        <v>234.76923076923077</v>
      </c>
      <c r="BB106" s="12">
        <f>VLOOKUP(A106,'Données projet'!$A$87:$I$107,9,0)</f>
        <v>5.2583333333333373</v>
      </c>
      <c r="BC106" s="12">
        <f t="array" ref="BC106">INDEX(BB:BB,MIN(IF(ISNUMBER(BB106:BB302),ROW(BB106:BB302),"")))</f>
        <v>5.2583333333333373</v>
      </c>
      <c r="BD106" s="12">
        <f>IF('Données projet'!$A$88&gt;35,BD105+BC106-BL105,IF(A106&lt;'Données projet'!$A$88,$BA$205^A106,IF(A106='Données projet'!$A$88,'Données projet'!$B$88,BD105+BC106-BL105)))</f>
        <v>234.76923076923046</v>
      </c>
      <c r="BE106" s="13">
        <f>BD106*VLOOKUP('Données projet'!$B$11,Paramètres!$A$1:$I$89,3,0)*VLOOKUP('Données projet'!$B$11,Paramètres!$A$1:$I$89,5,0)</f>
        <v>234.39359999999974</v>
      </c>
      <c r="BF106" s="13">
        <f t="shared" si="91"/>
        <v>57.231631824462966</v>
      </c>
      <c r="BG106" s="20">
        <f t="shared" si="61"/>
        <v>507.91394542760594</v>
      </c>
      <c r="BH106" s="59">
        <f t="shared" si="62"/>
        <v>801.24727876093925</v>
      </c>
      <c r="BI106" s="59">
        <f ca="1">AVERAGE(OFFSET($BH$3,0,0,'Données projet'!$E$11+1,1))-AVERAGE(OFFSET($H$3,0,0,'Données projet'!$E$11+1,1))</f>
        <v>245.06609107649069</v>
      </c>
      <c r="BJ106" s="59">
        <f t="shared" si="92"/>
        <v>156.24531945456499</v>
      </c>
      <c r="BK106" s="15">
        <f>IF(ISNA(VLOOKUP(A106,'Données projet'!$A$87:$I$107,3,0)),0,VLOOKUP(A106,'Données projet'!$A$87:$I$107,3,0))</f>
        <v>8</v>
      </c>
      <c r="BL106" s="15">
        <f>IF(ISNA(VLOOKUP(A106,'Données projet'!$A$87:$I$107,4,0)),0,VLOOKUP(A106,'Données projet'!$A$87:$I$107,4,0))</f>
        <v>39.512820512820511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6.3558121924040494</v>
      </c>
      <c r="BQ106" s="21">
        <f>EXP(-LN(2)/25)*BQ105+(1-EXP(-LN(2)/25))/(LN(2)/25)*Calculateur!BL106*Calculateur!BN106*VLOOKUP('Données projet'!$B$11,Paramètres!$A$1:$I$89,3,0)*0.475*44/12</f>
        <v>3.0435404947372628</v>
      </c>
      <c r="BR106" s="21">
        <f>EXP(-LN(2)/2)*BR105+(1-EXP(-LN(2)/2))/(LN(2)/2)*BL106*BO106*VLOOKUP('Données projet'!$B$11,Paramètres!$A$1:$I$89,3,0)*0.475*44/12</f>
        <v>1.826777178630118E-7</v>
      </c>
      <c r="BS106" s="22">
        <f t="shared" si="63"/>
        <v>9.3993528698190314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-2.5579538487363607E-13</v>
      </c>
      <c r="BZ106" s="13">
        <f>BY106*VLOOKUP('Données projet'!$B$12,Paramètres!$A$1:$I$89,3,0)*VLOOKUP('Données projet'!$B$12,Paramètres!$A$1:$I$89,5,0)</f>
        <v>-2.7932856028201057E-13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173.63857221119594</v>
      </c>
      <c r="CE106" s="59">
        <f t="shared" si="94"/>
        <v>52.373745617370105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0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-6.7984728957526396E-14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175.34314856709307</v>
      </c>
      <c r="T107" s="59">
        <f t="shared" si="88"/>
        <v>296.28950942251339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3.4127279954601439</v>
      </c>
      <c r="AA107" s="21">
        <f>EXP(-LN(2)/25)*AA106+(1-EXP(-LN(2)/25))/(LN(2)/25)*Calculateur!V107*Calculateur!X107*VLOOKUP('Données projet'!$B$9,Paramètres!$A$1:$I$89,3,0)*0.475*44/12</f>
        <v>2.411515732279637</v>
      </c>
      <c r="AB107" s="21">
        <f>EXP(-LN(2)/2)*AB106+(1-EXP(-LN(2)/2))/(LN(2)/2)*V107*Y107*VLOOKUP('Données projet'!$B$9,Paramètres!$A$1:$I$89,3,0)*0.475*44/12</f>
        <v>1.8636306067272638E-11</v>
      </c>
      <c r="AC107" s="22">
        <f t="shared" si="57"/>
        <v>5.8242437277584171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4.5999999999999996</v>
      </c>
      <c r="AI107" s="13">
        <f>IF('Données projet'!$A$62&gt;35,AI106+AH107-AQ106,IF(A107&lt;'Données projet'!$A$62,$AF$205^A107,IF(A107='Données projet'!$A$62,'Données projet'!$B$62,AI106+AH107-AQ106)))</f>
        <v>271.4000000000002</v>
      </c>
      <c r="AJ107" s="13">
        <f>AI107*VLOOKUP('Données projet'!$B$10,Paramètres!$A$1:$I$89,3,0)*VLOOKUP('Données projet'!$B$10,Paramètres!$A$1:$I$89,5,0)</f>
        <v>228.62736000000021</v>
      </c>
      <c r="AK107" s="13">
        <f t="shared" si="89"/>
        <v>55.985781352428745</v>
      </c>
      <c r="AL107" s="20">
        <f t="shared" si="58"/>
        <v>495.7012211888138</v>
      </c>
      <c r="AM107" s="59">
        <f t="shared" si="59"/>
        <v>789.03455452214712</v>
      </c>
      <c r="AN107" s="59">
        <f ca="1">AVERAGE(OFFSET($AM$3,0,0,'Données projet'!$E$10+1,1))-AVERAGE(OFFSET($H$3,0,0,'Données projet'!$E$10+1,1))</f>
        <v>247.67539667223065</v>
      </c>
      <c r="AO107" s="59">
        <f t="shared" si="90"/>
        <v>174.54442616983778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0.2959514574586688</v>
      </c>
      <c r="AV107" s="21">
        <f>EXP(-LN(2)/25)*AV106+(1-EXP(-LN(2)/25))/(LN(2)/25)*Calculateur!AQ107*Calculateur!AS107*VLOOKUP('Données projet'!$B$10,Paramètres!$A$1:$I$89,3,0)*0.475*44/12</f>
        <v>0.84496221796325699</v>
      </c>
      <c r="AW107" s="21">
        <f>EXP(-LN(2)/2)*AW106+(1-EXP(-LN(2)/2))/(LN(2)/2)*AQ107*AT107*VLOOKUP('Données projet'!$B$10,Paramètres!$A$1:$I$89,3,0)*0.475*44/12</f>
        <v>8.3774032106228369E-11</v>
      </c>
      <c r="AX107" s="21">
        <f t="shared" si="60"/>
        <v>1.1409136755056999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5.0961538461538449</v>
      </c>
      <c r="BD107" s="12">
        <f>IF('Données projet'!$A$88&gt;35,BD106+BC107-BL106,IF(A107&lt;'Données projet'!$A$88,$BA$205^A107,IF(A107='Données projet'!$A$88,'Données projet'!$B$88,BD106+BC107-BL106)))</f>
        <v>200.3525641025638</v>
      </c>
      <c r="BE107" s="13">
        <f>BD107*VLOOKUP('Données projet'!$B$11,Paramètres!$A$1:$I$89,3,0)*VLOOKUP('Données projet'!$B$11,Paramètres!$A$1:$I$89,5,0)</f>
        <v>200.03199999999973</v>
      </c>
      <c r="BF107" s="13">
        <f t="shared" si="91"/>
        <v>49.751200291355495</v>
      </c>
      <c r="BG107" s="20">
        <f t="shared" si="61"/>
        <v>435.03907384077701</v>
      </c>
      <c r="BH107" s="59">
        <f t="shared" si="62"/>
        <v>728.37240717411032</v>
      </c>
      <c r="BI107" s="59">
        <f ca="1">AVERAGE(OFFSET($BH$3,0,0,'Données projet'!$E$11+1,1))-AVERAGE(OFFSET($H$3,0,0,'Données projet'!$E$11+1,1))</f>
        <v>245.06609107649069</v>
      </c>
      <c r="BJ107" s="59">
        <f t="shared" si="92"/>
        <v>156.24531945456499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6.2311785919736549</v>
      </c>
      <c r="BQ107" s="21">
        <f>EXP(-LN(2)/25)*BQ106+(1-EXP(-LN(2)/25))/(LN(2)/25)*Calculateur!BL107*Calculateur!BN107*VLOOKUP('Données projet'!$B$11,Paramètres!$A$1:$I$89,3,0)*0.475*44/12</f>
        <v>2.9603147198558339</v>
      </c>
      <c r="BR107" s="21">
        <f>EXP(-LN(2)/2)*BR106+(1-EXP(-LN(2)/2))/(LN(2)/2)*BL107*BO107*VLOOKUP('Données projet'!$B$11,Paramètres!$A$1:$I$89,3,0)*0.475*44/12</f>
        <v>1.2917265307261854E-7</v>
      </c>
      <c r="BS107" s="22">
        <f t="shared" si="63"/>
        <v>9.1914934410021427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-2.5579538487363607E-13</v>
      </c>
      <c r="BZ107" s="13">
        <f>BY107*VLOOKUP('Données projet'!$B$12,Paramètres!$A$1:$I$89,3,0)*VLOOKUP('Données projet'!$B$12,Paramètres!$A$1:$I$89,5,0)</f>
        <v>-2.7932856028201057E-13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173.63857221119594</v>
      </c>
      <c r="CE107" s="59">
        <f t="shared" si="94"/>
        <v>52.373745617370105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0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-6.7984728957526396E-14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175.34314856709307</v>
      </c>
      <c r="T108" s="59">
        <f t="shared" si="88"/>
        <v>296.28950942251339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3.3458064810277111</v>
      </c>
      <c r="AA108" s="21">
        <f>EXP(-LN(2)/25)*AA107+(1-EXP(-LN(2)/25))/(LN(2)/25)*Calculateur!V108*Calculateur!X108*VLOOKUP('Données projet'!$B$9,Paramètres!$A$1:$I$89,3,0)*0.475*44/12</f>
        <v>2.3455727077643496</v>
      </c>
      <c r="AB108" s="21">
        <f>EXP(-LN(2)/2)*AB107+(1-EXP(-LN(2)/2))/(LN(2)/2)*V108*Y108*VLOOKUP('Données projet'!$B$9,Paramètres!$A$1:$I$89,3,0)*0.475*44/12</f>
        <v>1.3177858396436481E-11</v>
      </c>
      <c r="AC108" s="22">
        <f t="shared" si="57"/>
        <v>5.6913791888052385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4.5999999999999996</v>
      </c>
      <c r="AI108" s="13">
        <f>IF('Données projet'!$A$62&gt;35,AI107+AH108-AQ107,IF(A108&lt;'Données projet'!$A$62,$AF$205^A108,IF(A108='Données projet'!$A$62,'Données projet'!$B$62,AI107+AH108-AQ107)))</f>
        <v>276.00000000000023</v>
      </c>
      <c r="AJ108" s="13">
        <f>AI108*VLOOKUP('Données projet'!$B$10,Paramètres!$A$1:$I$89,3,0)*VLOOKUP('Données projet'!$B$10,Paramètres!$A$1:$I$89,5,0)</f>
        <v>232.50240000000022</v>
      </c>
      <c r="AK108" s="13">
        <f t="shared" si="89"/>
        <v>56.823417677671941</v>
      </c>
      <c r="AL108" s="20">
        <f t="shared" si="58"/>
        <v>503.90913245527895</v>
      </c>
      <c r="AM108" s="59">
        <f t="shared" si="59"/>
        <v>797.24246578861221</v>
      </c>
      <c r="AN108" s="59">
        <f ca="1">AVERAGE(OFFSET($AM$3,0,0,'Données projet'!$E$10+1,1))-AVERAGE(OFFSET($H$3,0,0,'Données projet'!$E$10+1,1))</f>
        <v>247.67539667223065</v>
      </c>
      <c r="AO108" s="59">
        <f t="shared" si="90"/>
        <v>174.54442616983778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0.29014802989046923</v>
      </c>
      <c r="AV108" s="21">
        <f>EXP(-LN(2)/25)*AV107+(1-EXP(-LN(2)/25))/(LN(2)/25)*Calculateur!AQ108*Calculateur!AS108*VLOOKUP('Données projet'!$B$10,Paramètres!$A$1:$I$89,3,0)*0.475*44/12</f>
        <v>0.82185668167841985</v>
      </c>
      <c r="AW108" s="21">
        <f>EXP(-LN(2)/2)*AW107+(1-EXP(-LN(2)/2))/(LN(2)/2)*AQ108*AT108*VLOOKUP('Données projet'!$B$10,Paramètres!$A$1:$I$89,3,0)*0.475*44/12</f>
        <v>5.923718618965363E-11</v>
      </c>
      <c r="AX108" s="21">
        <f t="shared" si="60"/>
        <v>1.1120047116281264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5.0961538461538449</v>
      </c>
      <c r="BD108" s="12">
        <f>IF('Données projet'!$A$88&gt;35,BD107+BC108-BL107,IF(A108&lt;'Données projet'!$A$88,$BA$205^A108,IF(A108='Données projet'!$A$88,'Données projet'!$B$88,BD107+BC108-BL107)))</f>
        <v>205.44871794871764</v>
      </c>
      <c r="BE108" s="13">
        <f>BD108*VLOOKUP('Données projet'!$B$11,Paramètres!$A$1:$I$89,3,0)*VLOOKUP('Données projet'!$B$11,Paramètres!$A$1:$I$89,5,0)</f>
        <v>205.11999999999972</v>
      </c>
      <c r="BF108" s="13">
        <f t="shared" si="91"/>
        <v>50.86772802740424</v>
      </c>
      <c r="BG108" s="20">
        <f t="shared" si="61"/>
        <v>445.8452929810619</v>
      </c>
      <c r="BH108" s="59">
        <f t="shared" si="62"/>
        <v>739.17862631439516</v>
      </c>
      <c r="BI108" s="59">
        <f ca="1">AVERAGE(OFFSET($BH$3,0,0,'Données projet'!$E$11+1,1))-AVERAGE(OFFSET($H$3,0,0,'Données projet'!$E$11+1,1))</f>
        <v>245.06609107649069</v>
      </c>
      <c r="BJ108" s="59">
        <f t="shared" si="92"/>
        <v>156.24531945456499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6.1089889804287099</v>
      </c>
      <c r="BQ108" s="21">
        <f>EXP(-LN(2)/25)*BQ107+(1-EXP(-LN(2)/25))/(LN(2)/25)*Calculateur!BL108*Calculateur!BN108*VLOOKUP('Données projet'!$B$11,Paramètres!$A$1:$I$89,3,0)*0.475*44/12</f>
        <v>2.8793647581651909</v>
      </c>
      <c r="BR108" s="21">
        <f>EXP(-LN(2)/2)*BR107+(1-EXP(-LN(2)/2))/(LN(2)/2)*BL108*BO108*VLOOKUP('Données projet'!$B$11,Paramètres!$A$1:$I$89,3,0)*0.475*44/12</f>
        <v>9.1338858931505898E-8</v>
      </c>
      <c r="BS108" s="22">
        <f t="shared" si="63"/>
        <v>8.988353829932759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-2.5579538487363607E-13</v>
      </c>
      <c r="BZ108" s="13">
        <f>BY108*VLOOKUP('Données projet'!$B$12,Paramètres!$A$1:$I$89,3,0)*VLOOKUP('Données projet'!$B$12,Paramètres!$A$1:$I$89,5,0)</f>
        <v>-2.7932856028201057E-13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173.63857221119594</v>
      </c>
      <c r="CE108" s="59">
        <f t="shared" si="94"/>
        <v>52.373745617370105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0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-6.7984728957526396E-14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175.34314856709307</v>
      </c>
      <c r="T109" s="59">
        <f t="shared" si="88"/>
        <v>296.28950942251339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3.2801972566752049</v>
      </c>
      <c r="AA109" s="21">
        <f>EXP(-LN(2)/25)*AA108+(1-EXP(-LN(2)/25))/(LN(2)/25)*Calculateur!V109*Calculateur!X109*VLOOKUP('Données projet'!$B$9,Paramètres!$A$1:$I$89,3,0)*0.475*44/12</f>
        <v>2.2814328987222257</v>
      </c>
      <c r="AB109" s="21">
        <f>EXP(-LN(2)/2)*AB108+(1-EXP(-LN(2)/2))/(LN(2)/2)*V109*Y109*VLOOKUP('Données projet'!$B$9,Paramètres!$A$1:$I$89,3,0)*0.475*44/12</f>
        <v>9.3181530336363189E-12</v>
      </c>
      <c r="AC109" s="22">
        <f t="shared" si="57"/>
        <v>5.5616301554067489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4.5999999999999996</v>
      </c>
      <c r="AI109" s="13">
        <f>IF('Données projet'!$A$62&gt;35,AI108+AH109-AQ108,IF(A109&lt;'Données projet'!$A$62,$AF$205^A109,IF(A109='Données projet'!$A$62,'Données projet'!$B$62,AI108+AH109-AQ108)))</f>
        <v>280.60000000000025</v>
      </c>
      <c r="AJ109" s="13">
        <f>AI109*VLOOKUP('Données projet'!$B$10,Paramètres!$A$1:$I$89,3,0)*VLOOKUP('Données projet'!$B$10,Paramètres!$A$1:$I$89,5,0)</f>
        <v>236.37744000000023</v>
      </c>
      <c r="AK109" s="13">
        <f t="shared" si="89"/>
        <v>57.659430484223876</v>
      </c>
      <c r="AL109" s="20">
        <f t="shared" si="58"/>
        <v>512.11421609335696</v>
      </c>
      <c r="AM109" s="59">
        <f t="shared" si="59"/>
        <v>805.44754942669033</v>
      </c>
      <c r="AN109" s="59">
        <f ca="1">AVERAGE(OFFSET($AM$3,0,0,'Données projet'!$E$10+1,1))-AVERAGE(OFFSET($H$3,0,0,'Données projet'!$E$10+1,1))</f>
        <v>247.67539667223065</v>
      </c>
      <c r="AO109" s="59">
        <f t="shared" si="90"/>
        <v>174.54442616983778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0.28445840399714073</v>
      </c>
      <c r="AV109" s="21">
        <f>EXP(-LN(2)/25)*AV108+(1-EXP(-LN(2)/25))/(LN(2)/25)*Calculateur!AQ109*Calculateur!AS109*VLOOKUP('Données projet'!$B$10,Paramètres!$A$1:$I$89,3,0)*0.475*44/12</f>
        <v>0.79938296749835891</v>
      </c>
      <c r="AW109" s="21">
        <f>EXP(-LN(2)/2)*AW108+(1-EXP(-LN(2)/2))/(LN(2)/2)*AQ109*AT109*VLOOKUP('Données projet'!$B$10,Paramètres!$A$1:$I$89,3,0)*0.475*44/12</f>
        <v>4.1887016053114185E-11</v>
      </c>
      <c r="AX109" s="21">
        <f t="shared" si="60"/>
        <v>1.0838413715373867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5.0961538461538449</v>
      </c>
      <c r="BD109" s="12">
        <f>IF('Données projet'!$A$88&gt;35,BD108+BC109-BL108,IF(A109&lt;'Données projet'!$A$88,$BA$205^A109,IF(A109='Données projet'!$A$88,'Données projet'!$B$88,BD108+BC109-BL108)))</f>
        <v>210.54487179487148</v>
      </c>
      <c r="BE109" s="13">
        <f>BD109*VLOOKUP('Données projet'!$B$11,Paramètres!$A$1:$I$89,3,0)*VLOOKUP('Données projet'!$B$11,Paramètres!$A$1:$I$89,5,0)</f>
        <v>210.20799999999969</v>
      </c>
      <c r="BF109" s="13">
        <f t="shared" si="91"/>
        <v>51.981036312285781</v>
      </c>
      <c r="BG109" s="20">
        <f t="shared" si="61"/>
        <v>456.64590491056379</v>
      </c>
      <c r="BH109" s="59">
        <f t="shared" si="62"/>
        <v>749.97923824389704</v>
      </c>
      <c r="BI109" s="59">
        <f ca="1">AVERAGE(OFFSET($BH$3,0,0,'Données projet'!$E$11+1,1))-AVERAGE(OFFSET($H$3,0,0,'Données projet'!$E$11+1,1))</f>
        <v>245.06609107649069</v>
      </c>
      <c r="BJ109" s="59">
        <f t="shared" si="92"/>
        <v>156.24531945456499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5.9891954326378576</v>
      </c>
      <c r="BQ109" s="21">
        <f>EXP(-LN(2)/25)*BQ108+(1-EXP(-LN(2)/25))/(LN(2)/25)*Calculateur!BL109*Calculateur!BN109*VLOOKUP('Données projet'!$B$11,Paramètres!$A$1:$I$89,3,0)*0.475*44/12</f>
        <v>2.8006283774339518</v>
      </c>
      <c r="BR109" s="21">
        <f>EXP(-LN(2)/2)*BR108+(1-EXP(-LN(2)/2))/(LN(2)/2)*BL109*BO109*VLOOKUP('Données projet'!$B$11,Paramètres!$A$1:$I$89,3,0)*0.475*44/12</f>
        <v>6.4586326536309272E-8</v>
      </c>
      <c r="BS109" s="22">
        <f t="shared" si="63"/>
        <v>8.7898238746581363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-2.5579538487363607E-13</v>
      </c>
      <c r="BZ109" s="13">
        <f>BY109*VLOOKUP('Données projet'!$B$12,Paramètres!$A$1:$I$89,3,0)*VLOOKUP('Données projet'!$B$12,Paramètres!$A$1:$I$89,5,0)</f>
        <v>-2.7932856028201057E-13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173.63857221119594</v>
      </c>
      <c r="CE109" s="59">
        <f t="shared" si="94"/>
        <v>52.373745617370105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0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-6.7984728957526396E-14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175.34314856709307</v>
      </c>
      <c r="T110" s="59">
        <f t="shared" si="88"/>
        <v>296.28950942251339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3.2158745891945757</v>
      </c>
      <c r="AA110" s="21">
        <f>EXP(-LN(2)/25)*AA109+(1-EXP(-LN(2)/25))/(LN(2)/25)*Calculateur!V110*Calculateur!X110*VLOOKUP('Données projet'!$B$9,Paramètres!$A$1:$I$89,3,0)*0.475*44/12</f>
        <v>2.2190469961313246</v>
      </c>
      <c r="AB110" s="21">
        <f>EXP(-LN(2)/2)*AB109+(1-EXP(-LN(2)/2))/(LN(2)/2)*V110*Y110*VLOOKUP('Données projet'!$B$9,Paramètres!$A$1:$I$89,3,0)*0.475*44/12</f>
        <v>6.5889291982182407E-12</v>
      </c>
      <c r="AC110" s="22">
        <f t="shared" si="57"/>
        <v>5.4349215853324893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4.5999999999999996</v>
      </c>
      <c r="AI110" s="13">
        <f>IF('Données projet'!$A$62&gt;35,AI109+AH110-AQ109,IF(A110&lt;'Données projet'!$A$62,$AF$205^A110,IF(A110='Données projet'!$A$62,'Données projet'!$B$62,AI109+AH110-AQ109)))</f>
        <v>285.20000000000027</v>
      </c>
      <c r="AJ110" s="13">
        <f>AI110*VLOOKUP('Données projet'!$B$10,Paramètres!$A$1:$I$89,3,0)*VLOOKUP('Données projet'!$B$10,Paramètres!$A$1:$I$89,5,0)</f>
        <v>240.25248000000025</v>
      </c>
      <c r="AK110" s="13">
        <f t="shared" si="89"/>
        <v>58.493849459485993</v>
      </c>
      <c r="AL110" s="20">
        <f t="shared" si="58"/>
        <v>520.31652380860521</v>
      </c>
      <c r="AM110" s="59">
        <f t="shared" si="59"/>
        <v>813.64985714193858</v>
      </c>
      <c r="AN110" s="59">
        <f ca="1">AVERAGE(OFFSET($AM$3,0,0,'Données projet'!$E$10+1,1))-AVERAGE(OFFSET($H$3,0,0,'Données projet'!$E$10+1,1))</f>
        <v>247.67539667223065</v>
      </c>
      <c r="AO110" s="59">
        <f t="shared" si="90"/>
        <v>174.54442616983778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0.27888034819725127</v>
      </c>
      <c r="AV110" s="21">
        <f>EXP(-LN(2)/25)*AV109+(1-EXP(-LN(2)/25))/(LN(2)/25)*Calculateur!AQ110*Calculateur!AS110*VLOOKUP('Données projet'!$B$10,Paramètres!$A$1:$I$89,3,0)*0.475*44/12</f>
        <v>0.77752379821439299</v>
      </c>
      <c r="AW110" s="21">
        <f>EXP(-LN(2)/2)*AW109+(1-EXP(-LN(2)/2))/(LN(2)/2)*AQ110*AT110*VLOOKUP('Données projet'!$B$10,Paramètres!$A$1:$I$89,3,0)*0.475*44/12</f>
        <v>2.9618593094826815E-11</v>
      </c>
      <c r="AX110" s="21">
        <f t="shared" si="60"/>
        <v>1.0564041464412628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5.0961538461538449</v>
      </c>
      <c r="BD110" s="12">
        <f>IF('Données projet'!$A$88&gt;35,BD109+BC110-BL109,IF(A110&lt;'Données projet'!$A$88,$BA$205^A110,IF(A110='Données projet'!$A$88,'Données projet'!$B$88,BD109+BC110-BL109)))</f>
        <v>215.64102564102532</v>
      </c>
      <c r="BE110" s="13">
        <f>BD110*VLOOKUP('Données projet'!$B$11,Paramètres!$A$1:$I$89,3,0)*VLOOKUP('Données projet'!$B$11,Paramètres!$A$1:$I$89,5,0)</f>
        <v>215.29599999999968</v>
      </c>
      <c r="BF110" s="13">
        <f t="shared" si="91"/>
        <v>53.091212036770337</v>
      </c>
      <c r="BG110" s="20">
        <f t="shared" si="61"/>
        <v>467.44106096404107</v>
      </c>
      <c r="BH110" s="59">
        <f t="shared" si="62"/>
        <v>760.77439429737433</v>
      </c>
      <c r="BI110" s="59">
        <f ca="1">AVERAGE(OFFSET($BH$3,0,0,'Données projet'!$E$11+1,1))-AVERAGE(OFFSET($H$3,0,0,'Données projet'!$E$11+1,1))</f>
        <v>245.06609107649069</v>
      </c>
      <c r="BJ110" s="59">
        <f t="shared" si="92"/>
        <v>156.24531945456499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5.8717509632523344</v>
      </c>
      <c r="BQ110" s="21">
        <f>EXP(-LN(2)/25)*BQ109+(1-EXP(-LN(2)/25))/(LN(2)/25)*Calculateur!BL110*Calculateur!BN110*VLOOKUP('Données projet'!$B$11,Paramètres!$A$1:$I$89,3,0)*0.475*44/12</f>
        <v>2.7240450471743749</v>
      </c>
      <c r="BR110" s="21">
        <f>EXP(-LN(2)/2)*BR109+(1-EXP(-LN(2)/2))/(LN(2)/2)*BL110*BO110*VLOOKUP('Données projet'!$B$11,Paramètres!$A$1:$I$89,3,0)*0.475*44/12</f>
        <v>4.5669429465752949E-8</v>
      </c>
      <c r="BS110" s="22">
        <f t="shared" si="63"/>
        <v>8.5957960560961393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-2.5579538487363607E-13</v>
      </c>
      <c r="BZ110" s="13">
        <f>BY110*VLOOKUP('Données projet'!$B$12,Paramètres!$A$1:$I$89,3,0)*VLOOKUP('Données projet'!$B$12,Paramètres!$A$1:$I$89,5,0)</f>
        <v>-2.7932856028201057E-13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173.63857221119594</v>
      </c>
      <c r="CE110" s="59">
        <f t="shared" si="94"/>
        <v>52.373745617370105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0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-6.7984728957526396E-14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175.34314856709307</v>
      </c>
      <c r="T111" s="59">
        <f t="shared" si="88"/>
        <v>296.28950942251339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3.1528132499902886</v>
      </c>
      <c r="AA111" s="21">
        <f>EXP(-LN(2)/25)*AA110+(1-EXP(-LN(2)/25))/(LN(2)/25)*Calculateur!V111*Calculateur!X111*VLOOKUP('Données projet'!$B$9,Paramètres!$A$1:$I$89,3,0)*0.475*44/12</f>
        <v>2.1583670393275036</v>
      </c>
      <c r="AB111" s="21">
        <f>EXP(-LN(2)/2)*AB110+(1-EXP(-LN(2)/2))/(LN(2)/2)*V111*Y111*VLOOKUP('Données projet'!$B$9,Paramètres!$A$1:$I$89,3,0)*0.475*44/12</f>
        <v>4.6590765168181594E-12</v>
      </c>
      <c r="AC111" s="22">
        <f t="shared" si="57"/>
        <v>5.3111802893224516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4.5999999999999996</v>
      </c>
      <c r="AI111" s="13">
        <f>IF('Données projet'!$A$62&gt;35,AI110+AH111-AQ110,IF(A111&lt;'Données projet'!$A$62,$AF$205^A111,IF(A111='Données projet'!$A$62,'Données projet'!$B$62,AI110+AH111-AQ110)))</f>
        <v>289.8000000000003</v>
      </c>
      <c r="AJ111" s="13">
        <f>AI111*VLOOKUP('Données projet'!$B$10,Paramètres!$A$1:$I$89,3,0)*VLOOKUP('Données projet'!$B$10,Paramètres!$A$1:$I$89,5,0)</f>
        <v>244.12752000000026</v>
      </c>
      <c r="AK111" s="13">
        <f t="shared" si="89"/>
        <v>59.326703278285656</v>
      </c>
      <c r="AL111" s="20">
        <f t="shared" si="58"/>
        <v>528.51610554301453</v>
      </c>
      <c r="AM111" s="59">
        <f t="shared" si="59"/>
        <v>821.8494388763479</v>
      </c>
      <c r="AN111" s="59">
        <f ca="1">AVERAGE(OFFSET($AM$3,0,0,'Données projet'!$E$10+1,1))-AVERAGE(OFFSET($H$3,0,0,'Données projet'!$E$10+1,1))</f>
        <v>247.67539667223065</v>
      </c>
      <c r="AO111" s="59">
        <f t="shared" si="90"/>
        <v>174.54442616983778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0.27341167466931959</v>
      </c>
      <c r="AV111" s="21">
        <f>EXP(-LN(2)/25)*AV110+(1-EXP(-LN(2)/25))/(LN(2)/25)*Calculateur!AQ111*Calculateur!AS111*VLOOKUP('Données projet'!$B$10,Paramètres!$A$1:$I$89,3,0)*0.475*44/12</f>
        <v>0.75626236906402089</v>
      </c>
      <c r="AW111" s="21">
        <f>EXP(-LN(2)/2)*AW110+(1-EXP(-LN(2)/2))/(LN(2)/2)*AQ111*AT111*VLOOKUP('Données projet'!$B$10,Paramètres!$A$1:$I$89,3,0)*0.475*44/12</f>
        <v>2.0943508026557092E-11</v>
      </c>
      <c r="AX111" s="21">
        <f t="shared" si="60"/>
        <v>1.029674043754284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5.0961538461538449</v>
      </c>
      <c r="BD111" s="12">
        <f>IF('Données projet'!$A$88&gt;35,BD110+BC111-BL110,IF(A111&lt;'Données projet'!$A$88,$BA$205^A111,IF(A111='Données projet'!$A$88,'Données projet'!$B$88,BD110+BC111-BL110)))</f>
        <v>220.73717948717916</v>
      </c>
      <c r="BE111" s="13">
        <f>BD111*VLOOKUP('Données projet'!$B$11,Paramètres!$A$1:$I$89,3,0)*VLOOKUP('Données projet'!$B$11,Paramètres!$A$1:$I$89,5,0)</f>
        <v>220.3839999999997</v>
      </c>
      <c r="BF111" s="13">
        <f t="shared" si="91"/>
        <v>54.198337750455394</v>
      </c>
      <c r="BG111" s="20">
        <f t="shared" si="61"/>
        <v>478.23090491537596</v>
      </c>
      <c r="BH111" s="59">
        <f t="shared" si="62"/>
        <v>771.56423824870922</v>
      </c>
      <c r="BI111" s="59">
        <f ca="1">AVERAGE(OFFSET($BH$3,0,0,'Données projet'!$E$11+1,1))-AVERAGE(OFFSET($H$3,0,0,'Données projet'!$E$11+1,1))</f>
        <v>245.06609107649069</v>
      </c>
      <c r="BJ111" s="59">
        <f t="shared" si="92"/>
        <v>156.24531945456499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5.7566095082774087</v>
      </c>
      <c r="BQ111" s="21">
        <f>EXP(-LN(2)/25)*BQ110+(1-EXP(-LN(2)/25))/(LN(2)/25)*Calculateur!BL111*Calculateur!BN111*VLOOKUP('Données projet'!$B$11,Paramètres!$A$1:$I$89,3,0)*0.475*44/12</f>
        <v>2.6495558921080886</v>
      </c>
      <c r="BR111" s="21">
        <f>EXP(-LN(2)/2)*BR110+(1-EXP(-LN(2)/2))/(LN(2)/2)*BL111*BO111*VLOOKUP('Données projet'!$B$11,Paramètres!$A$1:$I$89,3,0)*0.475*44/12</f>
        <v>3.2293163268154636E-8</v>
      </c>
      <c r="BS111" s="22">
        <f t="shared" si="63"/>
        <v>8.4061654326786606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-2.5579538487363607E-13</v>
      </c>
      <c r="BZ111" s="13">
        <f>BY111*VLOOKUP('Données projet'!$B$12,Paramètres!$A$1:$I$89,3,0)*VLOOKUP('Données projet'!$B$12,Paramètres!$A$1:$I$89,5,0)</f>
        <v>-2.7932856028201057E-13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173.63857221119594</v>
      </c>
      <c r="CE111" s="59">
        <f t="shared" si="94"/>
        <v>52.373745617370105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0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-6.7984728957526396E-14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175.34314856709307</v>
      </c>
      <c r="T112" s="59">
        <f t="shared" si="88"/>
        <v>296.28950942251339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3.0909885051841783</v>
      </c>
      <c r="AA112" s="21">
        <f>EXP(-LN(2)/25)*AA111+(1-EXP(-LN(2)/25))/(LN(2)/25)*Calculateur!V112*Calculateur!X112*VLOOKUP('Données projet'!$B$9,Paramètres!$A$1:$I$89,3,0)*0.475*44/12</f>
        <v>2.0993463791335034</v>
      </c>
      <c r="AB112" s="21">
        <f>EXP(-LN(2)/2)*AB111+(1-EXP(-LN(2)/2))/(LN(2)/2)*V112*Y112*VLOOKUP('Données projet'!$B$9,Paramètres!$A$1:$I$89,3,0)*0.475*44/12</f>
        <v>3.2944645991091203E-12</v>
      </c>
      <c r="AC112" s="22">
        <f t="shared" si="57"/>
        <v>5.1903348843209764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4.5999999999999996</v>
      </c>
      <c r="AI112" s="13">
        <f>IF('Données projet'!$A$62&gt;35,AI111+AH112-AQ111,IF(A112&lt;'Données projet'!$A$62,$AF$205^A112,IF(A112='Données projet'!$A$62,'Données projet'!$B$62,AI111+AH112-AQ111)))</f>
        <v>294.40000000000032</v>
      </c>
      <c r="AJ112" s="13">
        <f>AI112*VLOOKUP('Données projet'!$B$10,Paramètres!$A$1:$I$89,3,0)*VLOOKUP('Données projet'!$B$10,Paramètres!$A$1:$I$89,5,0)</f>
        <v>248.00256000000027</v>
      </c>
      <c r="AK112" s="13">
        <f t="shared" si="89"/>
        <v>60.158019652926711</v>
      </c>
      <c r="AL112" s="20">
        <f t="shared" si="58"/>
        <v>536.71300956218113</v>
      </c>
      <c r="AM112" s="59">
        <f t="shared" si="59"/>
        <v>830.0463428955145</v>
      </c>
      <c r="AN112" s="59">
        <f ca="1">AVERAGE(OFFSET($AM$3,0,0,'Données projet'!$E$10+1,1))-AVERAGE(OFFSET($H$3,0,0,'Données projet'!$E$10+1,1))</f>
        <v>247.67539667223065</v>
      </c>
      <c r="AO112" s="59">
        <f t="shared" si="90"/>
        <v>174.54442616983778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0.26805023849370913</v>
      </c>
      <c r="AV112" s="21">
        <f>EXP(-LN(2)/25)*AV111+(1-EXP(-LN(2)/25))/(LN(2)/25)*Calculateur!AQ112*Calculateur!AS112*VLOOKUP('Données projet'!$B$10,Paramètres!$A$1:$I$89,3,0)*0.475*44/12</f>
        <v>0.73558233481185575</v>
      </c>
      <c r="AW112" s="21">
        <f>EXP(-LN(2)/2)*AW111+(1-EXP(-LN(2)/2))/(LN(2)/2)*AQ112*AT112*VLOOKUP('Données projet'!$B$10,Paramètres!$A$1:$I$89,3,0)*0.475*44/12</f>
        <v>1.4809296547413407E-11</v>
      </c>
      <c r="AX112" s="21">
        <f t="shared" si="60"/>
        <v>1.0036325733203741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5.0961538461538449</v>
      </c>
      <c r="BD112" s="12">
        <f>IF('Données projet'!$A$88&gt;35,BD111+BC112-BL111,IF(A112&lt;'Données projet'!$A$88,$BA$205^A112,IF(A112='Données projet'!$A$88,'Données projet'!$B$88,BD111+BC112-BL111)))</f>
        <v>225.833333333333</v>
      </c>
      <c r="BE112" s="13">
        <f>BD112*VLOOKUP('Données projet'!$B$11,Paramètres!$A$1:$I$89,3,0)*VLOOKUP('Données projet'!$B$11,Paramètres!$A$1:$I$89,5,0)</f>
        <v>225.4719999999997</v>
      </c>
      <c r="BF112" s="13">
        <f t="shared" si="91"/>
        <v>55.302491973797522</v>
      </c>
      <c r="BG112" s="20">
        <f t="shared" si="61"/>
        <v>489.01557352103009</v>
      </c>
      <c r="BH112" s="59">
        <f t="shared" si="62"/>
        <v>782.34890685436335</v>
      </c>
      <c r="BI112" s="59">
        <f ca="1">AVERAGE(OFFSET($BH$3,0,0,'Données projet'!$E$11+1,1))-AVERAGE(OFFSET($H$3,0,0,'Données projet'!$E$11+1,1))</f>
        <v>245.06609107649069</v>
      </c>
      <c r="BJ112" s="59">
        <f t="shared" si="92"/>
        <v>156.24531945456499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5.6437259070051882</v>
      </c>
      <c r="BQ112" s="21">
        <f>EXP(-LN(2)/25)*BQ111+(1-EXP(-LN(2)/25))/(LN(2)/25)*Calculateur!BL112*Calculateur!BN112*VLOOKUP('Données projet'!$B$11,Paramètres!$A$1:$I$89,3,0)*0.475*44/12</f>
        <v>2.577103646904304</v>
      </c>
      <c r="BR112" s="21">
        <f>EXP(-LN(2)/2)*BR111+(1-EXP(-LN(2)/2))/(LN(2)/2)*BL112*BO112*VLOOKUP('Données projet'!$B$11,Paramètres!$A$1:$I$89,3,0)*0.475*44/12</f>
        <v>2.2834714732876474E-8</v>
      </c>
      <c r="BS112" s="22">
        <f t="shared" si="63"/>
        <v>8.2208295767442081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-2.5579538487363607E-13</v>
      </c>
      <c r="BZ112" s="13">
        <f>BY112*VLOOKUP('Données projet'!$B$12,Paramètres!$A$1:$I$89,3,0)*VLOOKUP('Données projet'!$B$12,Paramètres!$A$1:$I$89,5,0)</f>
        <v>-2.7932856028201057E-13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173.63857221119594</v>
      </c>
      <c r="CE112" s="59">
        <f t="shared" si="94"/>
        <v>52.373745617370105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0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-6.7984728957526396E-14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175.34314856709307</v>
      </c>
      <c r="T113" s="59">
        <f t="shared" si="88"/>
        <v>296.28950942251339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3.0303761059143453</v>
      </c>
      <c r="AA113" s="21">
        <f>EXP(-LN(2)/25)*AA112+(1-EXP(-LN(2)/25))/(LN(2)/25)*Calculateur!V113*Calculateur!X113*VLOOKUP('Données projet'!$B$9,Paramètres!$A$1:$I$89,3,0)*0.475*44/12</f>
        <v>2.0419396419962696</v>
      </c>
      <c r="AB113" s="21">
        <f>EXP(-LN(2)/2)*AB112+(1-EXP(-LN(2)/2))/(LN(2)/2)*V113*Y113*VLOOKUP('Données projet'!$B$9,Paramètres!$A$1:$I$89,3,0)*0.475*44/12</f>
        <v>2.3295382584090797E-12</v>
      </c>
      <c r="AC113" s="22">
        <f t="shared" si="57"/>
        <v>5.0723157479129446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299</v>
      </c>
      <c r="AG113" s="12">
        <f>VLOOKUP(A113,'Données projet'!$A$61:$I$81,9,0)</f>
        <v>4.5999999999999996</v>
      </c>
      <c r="AH113" s="12">
        <f t="array" ref="AH113">INDEX(AG:AG,MIN(IF(ISNUMBER(AG113:AG309),ROW(AG113:AG309),"")))</f>
        <v>4.5999999999999996</v>
      </c>
      <c r="AI113" s="13">
        <f>IF('Données projet'!$A$62&gt;35,AI112+AH113-AQ112,IF(A113&lt;'Données projet'!$A$62,$AF$205^A113,IF(A113='Données projet'!$A$62,'Données projet'!$B$62,AI112+AH113-AQ112)))</f>
        <v>299.00000000000034</v>
      </c>
      <c r="AJ113" s="13">
        <f>AI113*VLOOKUP('Données projet'!$B$10,Paramètres!$A$1:$I$89,3,0)*VLOOKUP('Données projet'!$B$10,Paramètres!$A$1:$I$89,5,0)</f>
        <v>251.87760000000034</v>
      </c>
      <c r="AK113" s="13">
        <f t="shared" si="89"/>
        <v>60.987825380023132</v>
      </c>
      <c r="AL113" s="20">
        <f t="shared" si="58"/>
        <v>544.90728253687428</v>
      </c>
      <c r="AM113" s="59">
        <f t="shared" si="59"/>
        <v>838.24061587020765</v>
      </c>
      <c r="AN113" s="59">
        <f ca="1">AVERAGE(OFFSET($AM$3,0,0,'Données projet'!$E$10+1,1))-AVERAGE(OFFSET($H$3,0,0,'Données projet'!$E$10+1,1))</f>
        <v>247.67539667223065</v>
      </c>
      <c r="AO113" s="59">
        <f t="shared" si="90"/>
        <v>174.54442616983778</v>
      </c>
      <c r="AP113" s="15">
        <f>IF(ISNA(VLOOKUP(A113,'Données projet'!$A$61:$I$81,3,0)),0,VLOOKUP(A113,'Données projet'!$A$61:$I$81,3,0))</f>
        <v>10</v>
      </c>
      <c r="AQ113" s="15">
        <f>IF(ISNA(VLOOKUP(A113,'Données projet'!$A$61:$I$81,4,0)),0,VLOOKUP(A113,'Données projet'!$A$61:$I$81,4,0))</f>
        <v>34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0.26279393681134922</v>
      </c>
      <c r="AV113" s="21">
        <f>EXP(-LN(2)/25)*AV112+(1-EXP(-LN(2)/25))/(LN(2)/25)*Calculateur!AQ113*Calculateur!AS113*VLOOKUP('Données projet'!$B$10,Paramètres!$A$1:$I$89,3,0)*0.475*44/12</f>
        <v>0.7154677971838318</v>
      </c>
      <c r="AW113" s="21">
        <f>EXP(-LN(2)/2)*AW112+(1-EXP(-LN(2)/2))/(LN(2)/2)*AQ113*AT113*VLOOKUP('Données projet'!$B$10,Paramètres!$A$1:$I$89,3,0)*0.475*44/12</f>
        <v>1.0471754013278546E-11</v>
      </c>
      <c r="AX113" s="21">
        <f t="shared" si="60"/>
        <v>0.97826173400565275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5.0961538461538449</v>
      </c>
      <c r="BD113" s="12">
        <f>IF('Données projet'!$A$88&gt;35,BD112+BC113-BL112,IF(A113&lt;'Données projet'!$A$88,$BA$205^A113,IF(A113='Données projet'!$A$88,'Données projet'!$B$88,BD112+BC113-BL112)))</f>
        <v>230.92948717948684</v>
      </c>
      <c r="BE113" s="13">
        <f>BD113*VLOOKUP('Données projet'!$B$11,Paramètres!$A$1:$I$89,3,0)*VLOOKUP('Données projet'!$B$11,Paramètres!$A$1:$I$89,5,0)</f>
        <v>230.55999999999966</v>
      </c>
      <c r="BF113" s="13">
        <f t="shared" si="91"/>
        <v>56.403749481185571</v>
      </c>
      <c r="BG113" s="20">
        <f t="shared" si="61"/>
        <v>499.7951970130643</v>
      </c>
      <c r="BH113" s="59">
        <f t="shared" si="62"/>
        <v>793.12853034639761</v>
      </c>
      <c r="BI113" s="59">
        <f ca="1">AVERAGE(OFFSET($BH$3,0,0,'Données projet'!$E$11+1,1))-AVERAGE(OFFSET($H$3,0,0,'Données projet'!$E$11+1,1))</f>
        <v>245.06609107649069</v>
      </c>
      <c r="BJ113" s="59">
        <f t="shared" si="92"/>
        <v>156.24531945456499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5.5330558843017172</v>
      </c>
      <c r="BQ113" s="21">
        <f>EXP(-LN(2)/25)*BQ112+(1-EXP(-LN(2)/25))/(LN(2)/25)*Calculateur!BL113*Calculateur!BN113*VLOOKUP('Données projet'!$B$11,Paramètres!$A$1:$I$89,3,0)*0.475*44/12</f>
        <v>2.5066326121557152</v>
      </c>
      <c r="BR113" s="21">
        <f>EXP(-LN(2)/2)*BR112+(1-EXP(-LN(2)/2))/(LN(2)/2)*BL113*BO113*VLOOKUP('Données projet'!$B$11,Paramètres!$A$1:$I$89,3,0)*0.475*44/12</f>
        <v>1.6146581634077318E-8</v>
      </c>
      <c r="BS113" s="22">
        <f t="shared" si="63"/>
        <v>8.0396885126040143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-2.5579538487363607E-13</v>
      </c>
      <c r="BZ113" s="13">
        <f>BY113*VLOOKUP('Données projet'!$B$12,Paramètres!$A$1:$I$89,3,0)*VLOOKUP('Données projet'!$B$12,Paramètres!$A$1:$I$89,5,0)</f>
        <v>-2.7932856028201057E-13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173.63857221119594</v>
      </c>
      <c r="CE113" s="59">
        <f t="shared" si="94"/>
        <v>52.373745617370105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0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-6.7984728957526396E-14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175.34314856709307</v>
      </c>
      <c r="T114" s="59">
        <f t="shared" si="88"/>
        <v>296.28950942251339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2.9709522788242806</v>
      </c>
      <c r="AA114" s="21">
        <f>EXP(-LN(2)/25)*AA113+(1-EXP(-LN(2)/25))/(LN(2)/25)*Calculateur!V114*Calculateur!X114*VLOOKUP('Données projet'!$B$9,Paramètres!$A$1:$I$89,3,0)*0.475*44/12</f>
        <v>1.9861026951049428</v>
      </c>
      <c r="AB114" s="21">
        <f>EXP(-LN(2)/2)*AB113+(1-EXP(-LN(2)/2))/(LN(2)/2)*V114*Y114*VLOOKUP('Données projet'!$B$9,Paramètres!$A$1:$I$89,3,0)*0.475*44/12</f>
        <v>1.6472322995545602E-12</v>
      </c>
      <c r="AC114" s="22">
        <f t="shared" si="57"/>
        <v>4.9570549739308705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4.0999999999999996</v>
      </c>
      <c r="AI114" s="13">
        <f>IF('Données projet'!$A$62&gt;35,AI113+AH114-AQ113,IF(A114&lt;'Données projet'!$A$62,$AF$205^A114,IF(A114='Données projet'!$A$62,'Données projet'!$B$62,AI113+AH114-AQ113)))</f>
        <v>269.10000000000036</v>
      </c>
      <c r="AJ114" s="13">
        <f>AI114*VLOOKUP('Données projet'!$B$10,Paramètres!$A$1:$I$89,3,0)*VLOOKUP('Données projet'!$B$10,Paramètres!$A$1:$I$89,5,0)</f>
        <v>226.68984000000032</v>
      </c>
      <c r="AK114" s="13">
        <f t="shared" si="89"/>
        <v>55.566344803008022</v>
      </c>
      <c r="AL114" s="20">
        <f t="shared" si="58"/>
        <v>491.59618853190614</v>
      </c>
      <c r="AM114" s="59">
        <f t="shared" si="59"/>
        <v>784.92952186523939</v>
      </c>
      <c r="AN114" s="59">
        <f ca="1">AVERAGE(OFFSET($AM$3,0,0,'Données projet'!$E$10+1,1))-AVERAGE(OFFSET($H$3,0,0,'Données projet'!$E$10+1,1))</f>
        <v>247.67539667223065</v>
      </c>
      <c r="AO114" s="59">
        <f t="shared" si="90"/>
        <v>174.54442616983778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0.25764070799895294</v>
      </c>
      <c r="AV114" s="21">
        <f>EXP(-LN(2)/25)*AV113+(1-EXP(-LN(2)/25))/(LN(2)/25)*Calculateur!AQ114*Calculateur!AS114*VLOOKUP('Données projet'!$B$10,Paramètres!$A$1:$I$89,3,0)*0.475*44/12</f>
        <v>0.69590329264502371</v>
      </c>
      <c r="AW114" s="21">
        <f>EXP(-LN(2)/2)*AW113+(1-EXP(-LN(2)/2))/(LN(2)/2)*AQ114*AT114*VLOOKUP('Données projet'!$B$10,Paramètres!$A$1:$I$89,3,0)*0.475*44/12</f>
        <v>7.4046482737067037E-12</v>
      </c>
      <c r="AX114" s="21">
        <f t="shared" si="60"/>
        <v>0.95354400065138123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5.0961538461538449</v>
      </c>
      <c r="BD114" s="12">
        <f>IF('Données projet'!$A$88&gt;35,BD113+BC114-BL113,IF(A114&lt;'Données projet'!$A$88,$BA$205^A114,IF(A114='Données projet'!$A$88,'Données projet'!$B$88,BD113+BC114-BL113)))</f>
        <v>236.02564102564068</v>
      </c>
      <c r="BE114" s="13">
        <f>BD114*VLOOKUP('Données projet'!$B$11,Paramètres!$A$1:$I$89,3,0)*VLOOKUP('Données projet'!$B$11,Paramètres!$A$1:$I$89,5,0)</f>
        <v>235.64799999999966</v>
      </c>
      <c r="BF114" s="13">
        <f t="shared" si="91"/>
        <v>57.502181558320714</v>
      </c>
      <c r="BG114" s="20">
        <f t="shared" si="61"/>
        <v>510.56989954740794</v>
      </c>
      <c r="BH114" s="59">
        <f t="shared" si="62"/>
        <v>803.90323288074126</v>
      </c>
      <c r="BI114" s="59">
        <f ca="1">AVERAGE(OFFSET($BH$3,0,0,'Données projet'!$E$11+1,1))-AVERAGE(OFFSET($H$3,0,0,'Données projet'!$E$11+1,1))</f>
        <v>245.06609107649069</v>
      </c>
      <c r="BJ114" s="59">
        <f t="shared" si="92"/>
        <v>156.24531945456499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5.4245560332414131</v>
      </c>
      <c r="BQ114" s="21">
        <f>EXP(-LN(2)/25)*BQ113+(1-EXP(-LN(2)/25))/(LN(2)/25)*Calculateur!BL114*Calculateur!BN114*VLOOKUP('Données projet'!$B$11,Paramètres!$A$1:$I$89,3,0)*0.475*44/12</f>
        <v>2.438088611558237</v>
      </c>
      <c r="BR114" s="21">
        <f>EXP(-LN(2)/2)*BR113+(1-EXP(-LN(2)/2))/(LN(2)/2)*BL114*BO114*VLOOKUP('Données projet'!$B$11,Paramètres!$A$1:$I$89,3,0)*0.475*44/12</f>
        <v>1.1417357366438237E-8</v>
      </c>
      <c r="BS114" s="22">
        <f t="shared" si="63"/>
        <v>7.8626446562170074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-2.5579538487363607E-13</v>
      </c>
      <c r="BZ114" s="13">
        <f>BY114*VLOOKUP('Données projet'!$B$12,Paramètres!$A$1:$I$89,3,0)*VLOOKUP('Données projet'!$B$12,Paramètres!$A$1:$I$89,5,0)</f>
        <v>-2.7932856028201057E-13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173.63857221119594</v>
      </c>
      <c r="CE114" s="59">
        <f t="shared" si="94"/>
        <v>52.373745617370105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0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-6.7984728957526396E-14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175.34314856709307</v>
      </c>
      <c r="T115" s="59">
        <f t="shared" si="88"/>
        <v>296.28950942251339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2.9126937167384965</v>
      </c>
      <c r="AA115" s="21">
        <f>EXP(-LN(2)/25)*AA114+(1-EXP(-LN(2)/25))/(LN(2)/25)*Calculateur!V115*Calculateur!X115*VLOOKUP('Données projet'!$B$9,Paramètres!$A$1:$I$89,3,0)*0.475*44/12</f>
        <v>1.9317926124626967</v>
      </c>
      <c r="AB115" s="21">
        <f>EXP(-LN(2)/2)*AB114+(1-EXP(-LN(2)/2))/(LN(2)/2)*V115*Y115*VLOOKUP('Données projet'!$B$9,Paramètres!$A$1:$I$89,3,0)*0.475*44/12</f>
        <v>1.1647691292045399E-12</v>
      </c>
      <c r="AC115" s="22">
        <f t="shared" si="57"/>
        <v>4.8444863292023577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4.0999999999999996</v>
      </c>
      <c r="AI115" s="13">
        <f>IF('Données projet'!$A$62&gt;35,AI114+AH115-AQ114,IF(A115&lt;'Données projet'!$A$62,$AF$205^A115,IF(A115='Données projet'!$A$62,'Données projet'!$B$62,AI114+AH115-AQ114)))</f>
        <v>273.20000000000039</v>
      </c>
      <c r="AJ115" s="13">
        <f>AI115*VLOOKUP('Données projet'!$B$10,Paramètres!$A$1:$I$89,3,0)*VLOOKUP('Données projet'!$B$10,Paramètres!$A$1:$I$89,5,0)</f>
        <v>230.14368000000036</v>
      </c>
      <c r="AK115" s="13">
        <f t="shared" si="89"/>
        <v>56.313747377131634</v>
      </c>
      <c r="AL115" s="20">
        <f t="shared" si="58"/>
        <v>498.91335268183815</v>
      </c>
      <c r="AM115" s="59">
        <f t="shared" si="59"/>
        <v>792.24668601517146</v>
      </c>
      <c r="AN115" s="59">
        <f ca="1">AVERAGE(OFFSET($AM$3,0,0,'Données projet'!$E$10+1,1))-AVERAGE(OFFSET($H$3,0,0,'Données projet'!$E$10+1,1))</f>
        <v>247.67539667223065</v>
      </c>
      <c r="AO115" s="59">
        <f t="shared" si="90"/>
        <v>174.54442616983778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0.25258853086040856</v>
      </c>
      <c r="AV115" s="21">
        <f>EXP(-LN(2)/25)*AV114+(1-EXP(-LN(2)/25))/(LN(2)/25)*Calculateur!AQ115*Calculateur!AS115*VLOOKUP('Données projet'!$B$10,Paramètres!$A$1:$I$89,3,0)*0.475*44/12</f>
        <v>0.6768737805116819</v>
      </c>
      <c r="AW115" s="21">
        <f>EXP(-LN(2)/2)*AW114+(1-EXP(-LN(2)/2))/(LN(2)/2)*AQ115*AT115*VLOOKUP('Données projet'!$B$10,Paramètres!$A$1:$I$89,3,0)*0.475*44/12</f>
        <v>5.2358770066392731E-12</v>
      </c>
      <c r="AX115" s="21">
        <f t="shared" si="60"/>
        <v>0.92946231137732638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5.0961538461538449</v>
      </c>
      <c r="BD115" s="12">
        <f>IF('Données projet'!$A$88&gt;35,BD114+BC115-BL114,IF(A115&lt;'Données projet'!$A$88,$BA$205^A115,IF(A115='Données projet'!$A$88,'Données projet'!$B$88,BD114+BC115-BL114)))</f>
        <v>241.12179487179452</v>
      </c>
      <c r="BE115" s="13">
        <f>BD115*VLOOKUP('Données projet'!$B$11,Paramètres!$A$1:$I$89,3,0)*VLOOKUP('Données projet'!$B$11,Paramètres!$A$1:$I$89,5,0)</f>
        <v>240.73599999999965</v>
      </c>
      <c r="BF115" s="13">
        <f t="shared" si="91"/>
        <v>58.5978562367414</v>
      </c>
      <c r="BG115" s="20">
        <f t="shared" si="61"/>
        <v>521.33979961232399</v>
      </c>
      <c r="BH115" s="59">
        <f t="shared" si="62"/>
        <v>814.67313294565724</v>
      </c>
      <c r="BI115" s="59">
        <f ca="1">AVERAGE(OFFSET($BH$3,0,0,'Données projet'!$E$11+1,1))-AVERAGE(OFFSET($H$3,0,0,'Données projet'!$E$11+1,1))</f>
        <v>245.06609107649069</v>
      </c>
      <c r="BJ115" s="59">
        <f t="shared" si="92"/>
        <v>156.24531945456499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5.3181837980820266</v>
      </c>
      <c r="BQ115" s="21">
        <f>EXP(-LN(2)/25)*BQ114+(1-EXP(-LN(2)/25))/(LN(2)/25)*Calculateur!BL115*Calculateur!BN115*VLOOKUP('Données projet'!$B$11,Paramètres!$A$1:$I$89,3,0)*0.475*44/12</f>
        <v>2.3714189502616692</v>
      </c>
      <c r="BR115" s="21">
        <f>EXP(-LN(2)/2)*BR114+(1-EXP(-LN(2)/2))/(LN(2)/2)*BL115*BO115*VLOOKUP('Données projet'!$B$11,Paramètres!$A$1:$I$89,3,0)*0.475*44/12</f>
        <v>8.073290817038659E-9</v>
      </c>
      <c r="BS115" s="22">
        <f t="shared" si="63"/>
        <v>7.6896027564169858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-2.5579538487363607E-13</v>
      </c>
      <c r="BZ115" s="13">
        <f>BY115*VLOOKUP('Données projet'!$B$12,Paramètres!$A$1:$I$89,3,0)*VLOOKUP('Données projet'!$B$12,Paramètres!$A$1:$I$89,5,0)</f>
        <v>-2.7932856028201057E-13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173.63857221119594</v>
      </c>
      <c r="CE115" s="59">
        <f t="shared" si="94"/>
        <v>52.373745617370105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0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-6.7984728957526396E-14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175.34314856709307</v>
      </c>
      <c r="T116" s="59">
        <f t="shared" si="88"/>
        <v>296.28950942251339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2.8555775695210004</v>
      </c>
      <c r="AA116" s="21">
        <f>EXP(-LN(2)/25)*AA115+(1-EXP(-LN(2)/25))/(LN(2)/25)*Calculateur!V116*Calculateur!X116*VLOOKUP('Données projet'!$B$9,Paramètres!$A$1:$I$89,3,0)*0.475*44/12</f>
        <v>1.8789676418863459</v>
      </c>
      <c r="AB116" s="21">
        <f>EXP(-LN(2)/2)*AB115+(1-EXP(-LN(2)/2))/(LN(2)/2)*V116*Y116*VLOOKUP('Données projet'!$B$9,Paramètres!$A$1:$I$89,3,0)*0.475*44/12</f>
        <v>8.2361614977728008E-13</v>
      </c>
      <c r="AC116" s="22">
        <f t="shared" si="57"/>
        <v>4.7345452114081699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4.0999999999999996</v>
      </c>
      <c r="AI116" s="13">
        <f>IF('Données projet'!$A$62&gt;35,AI115+AH116-AQ115,IF(A116&lt;'Données projet'!$A$62,$AF$205^A116,IF(A116='Données projet'!$A$62,'Données projet'!$B$62,AI115+AH116-AQ115)))</f>
        <v>277.30000000000041</v>
      </c>
      <c r="AJ116" s="13">
        <f>AI116*VLOOKUP('Données projet'!$B$10,Paramètres!$A$1:$I$89,3,0)*VLOOKUP('Données projet'!$B$10,Paramètres!$A$1:$I$89,5,0)</f>
        <v>233.59752000000034</v>
      </c>
      <c r="AK116" s="13">
        <f t="shared" si="89"/>
        <v>57.059845437390265</v>
      </c>
      <c r="AL116" s="20">
        <f t="shared" si="58"/>
        <v>506.22824480345525</v>
      </c>
      <c r="AM116" s="59">
        <f t="shared" si="59"/>
        <v>799.56157813678851</v>
      </c>
      <c r="AN116" s="59">
        <f ca="1">AVERAGE(OFFSET($AM$3,0,0,'Données projet'!$E$10+1,1))-AVERAGE(OFFSET($H$3,0,0,'Données projet'!$E$10+1,1))</f>
        <v>247.67539667223065</v>
      </c>
      <c r="AO116" s="59">
        <f t="shared" si="90"/>
        <v>174.54442616983778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0.24763542383402723</v>
      </c>
      <c r="AV116" s="21">
        <f>EXP(-LN(2)/25)*AV115+(1-EXP(-LN(2)/25))/(LN(2)/25)*Calculateur!AQ116*Calculateur!AS116*VLOOKUP('Données projet'!$B$10,Paramètres!$A$1:$I$89,3,0)*0.475*44/12</f>
        <v>0.65836463138834489</v>
      </c>
      <c r="AW116" s="21">
        <f>EXP(-LN(2)/2)*AW115+(1-EXP(-LN(2)/2))/(LN(2)/2)*AQ116*AT116*VLOOKUP('Données projet'!$B$10,Paramètres!$A$1:$I$89,3,0)*0.475*44/12</f>
        <v>3.7023241368533518E-12</v>
      </c>
      <c r="AX116" s="21">
        <f t="shared" si="60"/>
        <v>0.90600005522607452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>
        <f>VLOOKUP(A116,'Données projet'!$A$87:$I$107,2,0)</f>
        <v>246.21794871794873</v>
      </c>
      <c r="BB116" s="12">
        <f>VLOOKUP(A116,'Données projet'!$A$87:$I$107,9,0)</f>
        <v>5.0961538461538449</v>
      </c>
      <c r="BC116" s="12">
        <f t="array" ref="BC116">INDEX(BB:BB,MIN(IF(ISNUMBER(BB116:BB312),ROW(BB116:BB312),"")))</f>
        <v>5.0961538461538449</v>
      </c>
      <c r="BD116" s="12">
        <f>IF('Données projet'!$A$88&gt;35,BD115+BC116-BL115,IF(A116&lt;'Données projet'!$A$88,$BA$205^A116,IF(A116='Données projet'!$A$88,'Données projet'!$B$88,BD115+BC116-BL115)))</f>
        <v>246.21794871794836</v>
      </c>
      <c r="BE116" s="13">
        <f>BD116*VLOOKUP('Données projet'!$B$11,Paramètres!$A$1:$I$89,3,0)*VLOOKUP('Données projet'!$B$11,Paramètres!$A$1:$I$89,5,0)</f>
        <v>245.82399999999967</v>
      </c>
      <c r="BF116" s="13">
        <f t="shared" si="91"/>
        <v>59.690838507961494</v>
      </c>
      <c r="BG116" s="20">
        <f t="shared" si="61"/>
        <v>532.10501040136569</v>
      </c>
      <c r="BH116" s="59">
        <f t="shared" si="62"/>
        <v>825.43834373469895</v>
      </c>
      <c r="BI116" s="59">
        <f ca="1">AVERAGE(OFFSET($BH$3,0,0,'Données projet'!$E$11+1,1))-AVERAGE(OFFSET($H$3,0,0,'Données projet'!$E$11+1,1))</f>
        <v>245.06609107649069</v>
      </c>
      <c r="BJ116" s="59">
        <f t="shared" si="92"/>
        <v>156.24531945456499</v>
      </c>
      <c r="BK116" s="15">
        <f>IF(ISNA(VLOOKUP(A116,'Données projet'!$A$87:$I$107,3,0)),0,VLOOKUP(A116,'Données projet'!$A$87:$I$107,3,0))</f>
        <v>9</v>
      </c>
      <c r="BL116" s="15">
        <f>IF(ISNA(VLOOKUP(A116,'Données projet'!$A$87:$I$107,4,0)),0,VLOOKUP(A116,'Données projet'!$A$87:$I$107,4,0))</f>
        <v>31.602564102564099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5.2138974575734593</v>
      </c>
      <c r="BQ116" s="21">
        <f>EXP(-LN(2)/25)*BQ115+(1-EXP(-LN(2)/25))/(LN(2)/25)*Calculateur!BL116*Calculateur!BN116*VLOOKUP('Données projet'!$B$11,Paramètres!$A$1:$I$89,3,0)*0.475*44/12</f>
        <v>2.306572374359261</v>
      </c>
      <c r="BR116" s="21">
        <f>EXP(-LN(2)/2)*BR115+(1-EXP(-LN(2)/2))/(LN(2)/2)*BL116*BO116*VLOOKUP('Données projet'!$B$11,Paramètres!$A$1:$I$89,3,0)*0.475*44/12</f>
        <v>5.7086786832191186E-9</v>
      </c>
      <c r="BS116" s="22">
        <f t="shared" si="63"/>
        <v>7.5204698376413992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-2.5579538487363607E-13</v>
      </c>
      <c r="BZ116" s="13">
        <f>BY116*VLOOKUP('Données projet'!$B$12,Paramètres!$A$1:$I$89,3,0)*VLOOKUP('Données projet'!$B$12,Paramètres!$A$1:$I$89,5,0)</f>
        <v>-2.7932856028201057E-13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173.63857221119594</v>
      </c>
      <c r="CE116" s="59">
        <f t="shared" si="94"/>
        <v>52.373745617370105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0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-6.7984728957526396E-14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175.34314856709307</v>
      </c>
      <c r="T117" s="59">
        <f t="shared" si="88"/>
        <v>296.28950942251339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2.7995814351130295</v>
      </c>
      <c r="AA117" s="21">
        <f>EXP(-LN(2)/25)*AA116+(1-EXP(-LN(2)/25))/(LN(2)/25)*Calculateur!V117*Calculateur!X117*VLOOKUP('Données projet'!$B$9,Paramètres!$A$1:$I$89,3,0)*0.475*44/12</f>
        <v>1.8275871729083499</v>
      </c>
      <c r="AB117" s="21">
        <f>EXP(-LN(2)/2)*AB116+(1-EXP(-LN(2)/2))/(LN(2)/2)*V117*Y117*VLOOKUP('Données projet'!$B$9,Paramètres!$A$1:$I$89,3,0)*0.475*44/12</f>
        <v>5.8238456460226993E-13</v>
      </c>
      <c r="AC117" s="22">
        <f t="shared" si="57"/>
        <v>4.6271686080219618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4.0999999999999996</v>
      </c>
      <c r="AI117" s="13">
        <f>IF('Données projet'!$A$62&gt;35,AI116+AH117-AQ116,IF(A117&lt;'Données projet'!$A$62,$AF$205^A117,IF(A117='Données projet'!$A$62,'Données projet'!$B$62,AI116+AH117-AQ116)))</f>
        <v>281.40000000000043</v>
      </c>
      <c r="AJ117" s="13">
        <f>AI117*VLOOKUP('Données projet'!$B$10,Paramètres!$A$1:$I$89,3,0)*VLOOKUP('Données projet'!$B$10,Paramètres!$A$1:$I$89,5,0)</f>
        <v>237.05136000000039</v>
      </c>
      <c r="AK117" s="13">
        <f t="shared" si="89"/>
        <v>57.804660499743129</v>
      </c>
      <c r="AL117" s="20">
        <f t="shared" si="58"/>
        <v>513.54090237038656</v>
      </c>
      <c r="AM117" s="59">
        <f t="shared" si="59"/>
        <v>806.87423570371993</v>
      </c>
      <c r="AN117" s="59">
        <f ca="1">AVERAGE(OFFSET($AM$3,0,0,'Données projet'!$E$10+1,1))-AVERAGE(OFFSET($H$3,0,0,'Données projet'!$E$10+1,1))</f>
        <v>247.67539667223065</v>
      </c>
      <c r="AO117" s="59">
        <f t="shared" si="90"/>
        <v>174.54442616983778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0.24277944421533626</v>
      </c>
      <c r="AV117" s="21">
        <f>EXP(-LN(2)/25)*AV116+(1-EXP(-LN(2)/25))/(LN(2)/25)*Calculateur!AQ117*Calculateur!AS117*VLOOKUP('Données projet'!$B$10,Paramètres!$A$1:$I$89,3,0)*0.475*44/12</f>
        <v>0.64036161592113938</v>
      </c>
      <c r="AW117" s="21">
        <f>EXP(-LN(2)/2)*AW116+(1-EXP(-LN(2)/2))/(LN(2)/2)*AQ117*AT117*VLOOKUP('Données projet'!$B$10,Paramètres!$A$1:$I$89,3,0)*0.475*44/12</f>
        <v>2.6179385033196365E-12</v>
      </c>
      <c r="AX117" s="21">
        <f t="shared" si="60"/>
        <v>0.88314106013909355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5.3066239316239274</v>
      </c>
      <c r="BD117" s="12">
        <f>IF('Données projet'!$A$88&gt;35,BD116+BC117-BL116,IF(A117&lt;'Données projet'!$A$88,$BA$205^A117,IF(A117='Données projet'!$A$88,'Données projet'!$B$88,BD116+BC117-BL116)))</f>
        <v>219.9220085470082</v>
      </c>
      <c r="BE117" s="13">
        <f>BD117*VLOOKUP('Données projet'!$B$11,Paramètres!$A$1:$I$89,3,0)*VLOOKUP('Données projet'!$B$11,Paramètres!$A$1:$I$89,5,0)</f>
        <v>219.57013333333299</v>
      </c>
      <c r="BF117" s="13">
        <f t="shared" si="91"/>
        <v>54.021445692027136</v>
      </c>
      <c r="BG117" s="20">
        <f t="shared" si="61"/>
        <v>476.50533346916887</v>
      </c>
      <c r="BH117" s="59">
        <f t="shared" si="62"/>
        <v>769.83866680250219</v>
      </c>
      <c r="BI117" s="59">
        <f ca="1">AVERAGE(OFFSET($BH$3,0,0,'Données projet'!$E$11+1,1))-AVERAGE(OFFSET($H$3,0,0,'Données projet'!$E$11+1,1))</f>
        <v>245.06609107649069</v>
      </c>
      <c r="BJ117" s="59">
        <f t="shared" si="92"/>
        <v>156.24531945456499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5.1116561085938779</v>
      </c>
      <c r="BQ117" s="21">
        <f>EXP(-LN(2)/25)*BQ116+(1-EXP(-LN(2)/25))/(LN(2)/25)*Calculateur!BL117*Calculateur!BN117*VLOOKUP('Données projet'!$B$11,Paramètres!$A$1:$I$89,3,0)*0.475*44/12</f>
        <v>2.2434990314850376</v>
      </c>
      <c r="BR117" s="21">
        <f>EXP(-LN(2)/2)*BR116+(1-EXP(-LN(2)/2))/(LN(2)/2)*BL117*BO117*VLOOKUP('Données projet'!$B$11,Paramètres!$A$1:$I$89,3,0)*0.475*44/12</f>
        <v>4.0366454085193295E-9</v>
      </c>
      <c r="BS117" s="22">
        <f t="shared" si="63"/>
        <v>7.3551551441155611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-2.5579538487363607E-13</v>
      </c>
      <c r="BZ117" s="13">
        <f>BY117*VLOOKUP('Données projet'!$B$12,Paramètres!$A$1:$I$89,3,0)*VLOOKUP('Données projet'!$B$12,Paramètres!$A$1:$I$89,5,0)</f>
        <v>-2.7932856028201057E-13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173.63857221119594</v>
      </c>
      <c r="CE117" s="59">
        <f t="shared" si="94"/>
        <v>52.373745617370105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0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-6.7984728957526396E-14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175.34314856709307</v>
      </c>
      <c r="T118" s="59">
        <f t="shared" si="88"/>
        <v>296.28950942251339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2.7446833507465294</v>
      </c>
      <c r="AA118" s="21">
        <f>EXP(-LN(2)/25)*AA117+(1-EXP(-LN(2)/25))/(LN(2)/25)*Calculateur!V118*Calculateur!X118*VLOOKUP('Données projet'!$B$9,Paramètres!$A$1:$I$89,3,0)*0.475*44/12</f>
        <v>1.7776117055565386</v>
      </c>
      <c r="AB118" s="21">
        <f>EXP(-LN(2)/2)*AB117+(1-EXP(-LN(2)/2))/(LN(2)/2)*V118*Y118*VLOOKUP('Données projet'!$B$9,Paramètres!$A$1:$I$89,3,0)*0.475*44/12</f>
        <v>4.1180807488864004E-13</v>
      </c>
      <c r="AC118" s="22">
        <f t="shared" si="57"/>
        <v>4.5222950563034798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4.0999999999999996</v>
      </c>
      <c r="AI118" s="13">
        <f>IF('Données projet'!$A$62&gt;35,AI117+AH118-AQ117,IF(A118&lt;'Données projet'!$A$62,$AF$205^A118,IF(A118='Données projet'!$A$62,'Données projet'!$B$62,AI117+AH118-AQ117)))</f>
        <v>285.50000000000045</v>
      </c>
      <c r="AJ118" s="13">
        <f>AI118*VLOOKUP('Données projet'!$B$10,Paramètres!$A$1:$I$89,3,0)*VLOOKUP('Données projet'!$B$10,Paramètres!$A$1:$I$89,5,0)</f>
        <v>240.5052000000004</v>
      </c>
      <c r="AK118" s="13">
        <f t="shared" si="89"/>
        <v>58.548213417176392</v>
      </c>
      <c r="AL118" s="20">
        <f t="shared" si="58"/>
        <v>520.85136170158285</v>
      </c>
      <c r="AM118" s="59">
        <f t="shared" si="59"/>
        <v>814.1846950349161</v>
      </c>
      <c r="AN118" s="59">
        <f ca="1">AVERAGE(OFFSET($AM$3,0,0,'Données projet'!$E$10+1,1))-AVERAGE(OFFSET($H$3,0,0,'Données projet'!$E$10+1,1))</f>
        <v>247.67539667223065</v>
      </c>
      <c r="AO118" s="59">
        <f t="shared" si="90"/>
        <v>174.54442616983778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0.23801868739511273</v>
      </c>
      <c r="AV118" s="21">
        <f>EXP(-LN(2)/25)*AV117+(1-EXP(-LN(2)/25))/(LN(2)/25)*Calculateur!AQ118*Calculateur!AS118*VLOOKUP('Données projet'!$B$10,Paramètres!$A$1:$I$89,3,0)*0.475*44/12</f>
        <v>0.62285089385862202</v>
      </c>
      <c r="AW118" s="21">
        <f>EXP(-LN(2)/2)*AW117+(1-EXP(-LN(2)/2))/(LN(2)/2)*AQ118*AT118*VLOOKUP('Données projet'!$B$10,Paramètres!$A$1:$I$89,3,0)*0.475*44/12</f>
        <v>1.8511620684266759E-12</v>
      </c>
      <c r="AX118" s="21">
        <f t="shared" si="60"/>
        <v>0.86086958125558599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5.3066239316239274</v>
      </c>
      <c r="BD118" s="12">
        <f>IF('Données projet'!$A$88&gt;35,BD117+BC118-BL117,IF(A118&lt;'Données projet'!$A$88,$BA$205^A118,IF(A118='Données projet'!$A$88,'Données projet'!$B$88,BD117+BC118-BL117)))</f>
        <v>225.22863247863214</v>
      </c>
      <c r="BE118" s="13">
        <f>BD118*VLOOKUP('Données projet'!$B$11,Paramètres!$A$1:$I$89,3,0)*VLOOKUP('Données projet'!$B$11,Paramètres!$A$1:$I$89,5,0)</f>
        <v>224.86826666666636</v>
      </c>
      <c r="BF118" s="13">
        <f t="shared" si="91"/>
        <v>55.17162782387495</v>
      </c>
      <c r="BG118" s="20">
        <f t="shared" si="61"/>
        <v>487.73614957102609</v>
      </c>
      <c r="BH118" s="59">
        <f t="shared" si="62"/>
        <v>781.06948290435935</v>
      </c>
      <c r="BI118" s="59">
        <f ca="1">AVERAGE(OFFSET($BH$3,0,0,'Données projet'!$E$11+1,1))-AVERAGE(OFFSET($H$3,0,0,'Données projet'!$E$11+1,1))</f>
        <v>245.06609107649069</v>
      </c>
      <c r="BJ118" s="59">
        <f t="shared" si="92"/>
        <v>156.24531945456499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5.0114196501067205</v>
      </c>
      <c r="BQ118" s="21">
        <f>EXP(-LN(2)/25)*BQ117+(1-EXP(-LN(2)/25))/(LN(2)/25)*Calculateur!BL118*Calculateur!BN118*VLOOKUP('Données projet'!$B$11,Paramètres!$A$1:$I$89,3,0)*0.475*44/12</f>
        <v>2.182150432488593</v>
      </c>
      <c r="BR118" s="21">
        <f>EXP(-LN(2)/2)*BR117+(1-EXP(-LN(2)/2))/(LN(2)/2)*BL118*BO118*VLOOKUP('Données projet'!$B$11,Paramètres!$A$1:$I$89,3,0)*0.475*44/12</f>
        <v>2.8543393416095593E-9</v>
      </c>
      <c r="BS118" s="22">
        <f t="shared" si="63"/>
        <v>7.193570085449652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-2.5579538487363607E-13</v>
      </c>
      <c r="BZ118" s="13">
        <f>BY118*VLOOKUP('Données projet'!$B$12,Paramètres!$A$1:$I$89,3,0)*VLOOKUP('Données projet'!$B$12,Paramètres!$A$1:$I$89,5,0)</f>
        <v>-2.7932856028201057E-13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173.63857221119594</v>
      </c>
      <c r="CE118" s="59">
        <f t="shared" si="94"/>
        <v>52.373745617370105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0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-6.7984728957526396E-14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175.34314856709307</v>
      </c>
      <c r="T119" s="59">
        <f t="shared" si="88"/>
        <v>296.28950942251339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2.6908617843299312</v>
      </c>
      <c r="AA119" s="21">
        <f>EXP(-LN(2)/25)*AA118+(1-EXP(-LN(2)/25))/(LN(2)/25)*Calculateur!V119*Calculateur!X119*VLOOKUP('Données projet'!$B$9,Paramètres!$A$1:$I$89,3,0)*0.475*44/12</f>
        <v>1.7290028199875582</v>
      </c>
      <c r="AB119" s="21">
        <f>EXP(-LN(2)/2)*AB118+(1-EXP(-LN(2)/2))/(LN(2)/2)*V119*Y119*VLOOKUP('Données projet'!$B$9,Paramètres!$A$1:$I$89,3,0)*0.475*44/12</f>
        <v>2.9119228230113497E-13</v>
      </c>
      <c r="AC119" s="22">
        <f t="shared" si="57"/>
        <v>4.4198646043177803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4.0999999999999996</v>
      </c>
      <c r="AI119" s="13">
        <f>IF('Données projet'!$A$62&gt;35,AI118+AH119-AQ118,IF(A119&lt;'Données projet'!$A$62,$AF$205^A119,IF(A119='Données projet'!$A$62,'Données projet'!$B$62,AI118+AH119-AQ118)))</f>
        <v>289.60000000000048</v>
      </c>
      <c r="AJ119" s="13">
        <f>AI119*VLOOKUP('Données projet'!$B$10,Paramètres!$A$1:$I$89,3,0)*VLOOKUP('Données projet'!$B$10,Paramètres!$A$1:$I$89,5,0)</f>
        <v>243.95904000000044</v>
      </c>
      <c r="AK119" s="13">
        <f t="shared" si="89"/>
        <v>59.290524409353146</v>
      </c>
      <c r="AL119" s="20">
        <f t="shared" si="58"/>
        <v>528.15965801295749</v>
      </c>
      <c r="AM119" s="59">
        <f t="shared" si="59"/>
        <v>821.49299134629086</v>
      </c>
      <c r="AN119" s="59">
        <f ca="1">AVERAGE(OFFSET($AM$3,0,0,'Données projet'!$E$10+1,1))-AVERAGE(OFFSET($H$3,0,0,'Données projet'!$E$10+1,1))</f>
        <v>247.67539667223065</v>
      </c>
      <c r="AO119" s="59">
        <f t="shared" si="90"/>
        <v>174.54442616983778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0.23335128611235884</v>
      </c>
      <c r="AV119" s="21">
        <f>EXP(-LN(2)/25)*AV118+(1-EXP(-LN(2)/25))/(LN(2)/25)*Calculateur!AQ119*Calculateur!AS119*VLOOKUP('Données projet'!$B$10,Paramètres!$A$1:$I$89,3,0)*0.475*44/12</f>
        <v>0.60581900341175299</v>
      </c>
      <c r="AW119" s="21">
        <f>EXP(-LN(2)/2)*AW118+(1-EXP(-LN(2)/2))/(LN(2)/2)*AQ119*AT119*VLOOKUP('Données projet'!$B$10,Paramètres!$A$1:$I$89,3,0)*0.475*44/12</f>
        <v>1.3089692516598183E-12</v>
      </c>
      <c r="AX119" s="21">
        <f t="shared" si="60"/>
        <v>0.83917028952542072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5.3066239316239274</v>
      </c>
      <c r="BD119" s="12">
        <f>IF('Données projet'!$A$88&gt;35,BD118+BC119-BL118,IF(A119&lt;'Données projet'!$A$88,$BA$205^A119,IF(A119='Données projet'!$A$88,'Données projet'!$B$88,BD118+BC119-BL118)))</f>
        <v>230.53525641025607</v>
      </c>
      <c r="BE119" s="13">
        <f>BD119*VLOOKUP('Données projet'!$B$11,Paramètres!$A$1:$I$89,3,0)*VLOOKUP('Données projet'!$B$11,Paramètres!$A$1:$I$89,5,0)</f>
        <v>230.16639999999967</v>
      </c>
      <c r="BF119" s="13">
        <f t="shared" si="91"/>
        <v>56.318659587009854</v>
      </c>
      <c r="BG119" s="20">
        <f t="shared" si="61"/>
        <v>498.96147878070821</v>
      </c>
      <c r="BH119" s="59">
        <f t="shared" si="62"/>
        <v>792.29481211404152</v>
      </c>
      <c r="BI119" s="59">
        <f ca="1">AVERAGE(OFFSET($BH$3,0,0,'Données projet'!$E$11+1,1))-AVERAGE(OFFSET($H$3,0,0,'Données projet'!$E$11+1,1))</f>
        <v>245.06609107649069</v>
      </c>
      <c r="BJ119" s="59">
        <f t="shared" si="92"/>
        <v>156.24531945456499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4.9131487674322933</v>
      </c>
      <c r="BQ119" s="21">
        <f>EXP(-LN(2)/25)*BQ118+(1-EXP(-LN(2)/25))/(LN(2)/25)*Calculateur!BL119*Calculateur!BN119*VLOOKUP('Données projet'!$B$11,Paramètres!$A$1:$I$89,3,0)*0.475*44/12</f>
        <v>2.1224794141578887</v>
      </c>
      <c r="BR119" s="21">
        <f>EXP(-LN(2)/2)*BR118+(1-EXP(-LN(2)/2))/(LN(2)/2)*BL119*BO119*VLOOKUP('Données projet'!$B$11,Paramètres!$A$1:$I$89,3,0)*0.475*44/12</f>
        <v>2.0183227042596647E-9</v>
      </c>
      <c r="BS119" s="22">
        <f t="shared" si="63"/>
        <v>7.0356281836085044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-2.5579538487363607E-13</v>
      </c>
      <c r="BZ119" s="13">
        <f>BY119*VLOOKUP('Données projet'!$B$12,Paramètres!$A$1:$I$89,3,0)*VLOOKUP('Données projet'!$B$12,Paramètres!$A$1:$I$89,5,0)</f>
        <v>-2.7932856028201057E-13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173.63857221119594</v>
      </c>
      <c r="CE119" s="59">
        <f t="shared" si="94"/>
        <v>52.373745617370105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0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-6.7984728957526396E-14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175.34314856709307</v>
      </c>
      <c r="T120" s="59">
        <f t="shared" si="88"/>
        <v>296.28950942251339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2.6380956260028485</v>
      </c>
      <c r="AA120" s="21">
        <f>EXP(-LN(2)/25)*AA119+(1-EXP(-LN(2)/25))/(LN(2)/25)*Calculateur!V120*Calculateur!X120*VLOOKUP('Données projet'!$B$9,Paramètres!$A$1:$I$89,3,0)*0.475*44/12</f>
        <v>1.6817231469506919</v>
      </c>
      <c r="AB120" s="21">
        <f>EXP(-LN(2)/2)*AB119+(1-EXP(-LN(2)/2))/(LN(2)/2)*V120*Y120*VLOOKUP('Données projet'!$B$9,Paramètres!$A$1:$I$89,3,0)*0.475*44/12</f>
        <v>2.0590403744432002E-13</v>
      </c>
      <c r="AC120" s="22">
        <f t="shared" si="57"/>
        <v>4.3198187729537469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4.0999999999999996</v>
      </c>
      <c r="AI120" s="13">
        <f>IF('Données projet'!$A$62&gt;35,AI119+AH120-AQ119,IF(A120&lt;'Données projet'!$A$62,$AF$205^A120,IF(A120='Données projet'!$A$62,'Données projet'!$B$62,AI119+AH120-AQ119)))</f>
        <v>293.7000000000005</v>
      </c>
      <c r="AJ120" s="13">
        <f>AI120*VLOOKUP('Données projet'!$B$10,Paramètres!$A$1:$I$89,3,0)*VLOOKUP('Données projet'!$B$10,Paramètres!$A$1:$I$89,5,0)</f>
        <v>247.41288000000043</v>
      </c>
      <c r="AK120" s="13">
        <f t="shared" si="89"/>
        <v>60.031613090536418</v>
      </c>
      <c r="AL120" s="20">
        <f t="shared" si="58"/>
        <v>535.46582546601837</v>
      </c>
      <c r="AM120" s="59">
        <f t="shared" si="59"/>
        <v>828.79915879935174</v>
      </c>
      <c r="AN120" s="59">
        <f ca="1">AVERAGE(OFFSET($AM$3,0,0,'Données projet'!$E$10+1,1))-AVERAGE(OFFSET($H$3,0,0,'Données projet'!$E$10+1,1))</f>
        <v>247.67539667223065</v>
      </c>
      <c r="AO120" s="59">
        <f t="shared" si="90"/>
        <v>174.54442616983778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0.22877540972192606</v>
      </c>
      <c r="AV120" s="21">
        <f>EXP(-LN(2)/25)*AV119+(1-EXP(-LN(2)/25))/(LN(2)/25)*Calculateur!AQ120*Calculateur!AS120*VLOOKUP('Données projet'!$B$10,Paramètres!$A$1:$I$89,3,0)*0.475*44/12</f>
        <v>0.58925285090482182</v>
      </c>
      <c r="AW120" s="21">
        <f>EXP(-LN(2)/2)*AW119+(1-EXP(-LN(2)/2))/(LN(2)/2)*AQ120*AT120*VLOOKUP('Données projet'!$B$10,Paramètres!$A$1:$I$89,3,0)*0.475*44/12</f>
        <v>9.2558103421333796E-13</v>
      </c>
      <c r="AX120" s="21">
        <f t="shared" si="60"/>
        <v>0.81802826062767353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5.3066239316239274</v>
      </c>
      <c r="BD120" s="12">
        <f>IF('Données projet'!$A$88&gt;35,BD119+BC120-BL119,IF(A120&lt;'Données projet'!$A$88,$BA$205^A120,IF(A120='Données projet'!$A$88,'Données projet'!$B$88,BD119+BC120-BL119)))</f>
        <v>235.84188034188</v>
      </c>
      <c r="BE120" s="13">
        <f>BD120*VLOOKUP('Données projet'!$B$11,Paramètres!$A$1:$I$89,3,0)*VLOOKUP('Données projet'!$B$11,Paramètres!$A$1:$I$89,5,0)</f>
        <v>235.46453333333298</v>
      </c>
      <c r="BF120" s="13">
        <f t="shared" si="91"/>
        <v>57.462621845950345</v>
      </c>
      <c r="BG120" s="20">
        <f t="shared" si="61"/>
        <v>510.1814619372517</v>
      </c>
      <c r="BH120" s="59">
        <f t="shared" si="62"/>
        <v>803.51479527058495</v>
      </c>
      <c r="BI120" s="59">
        <f ca="1">AVERAGE(OFFSET($BH$3,0,0,'Données projet'!$E$11+1,1))-AVERAGE(OFFSET($H$3,0,0,'Données projet'!$E$11+1,1))</f>
        <v>245.06609107649069</v>
      </c>
      <c r="BJ120" s="59">
        <f t="shared" si="92"/>
        <v>156.24531945456499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4.8168049168277918</v>
      </c>
      <c r="BQ120" s="21">
        <f>EXP(-LN(2)/25)*BQ119+(1-EXP(-LN(2)/25))/(LN(2)/25)*Calculateur!BL120*Calculateur!BN120*VLOOKUP('Données projet'!$B$11,Paramètres!$A$1:$I$89,3,0)*0.475*44/12</f>
        <v>2.0644401029613997</v>
      </c>
      <c r="BR120" s="21">
        <f>EXP(-LN(2)/2)*BR119+(1-EXP(-LN(2)/2))/(LN(2)/2)*BL120*BO120*VLOOKUP('Données projet'!$B$11,Paramètres!$A$1:$I$89,3,0)*0.475*44/12</f>
        <v>1.4271696708047797E-9</v>
      </c>
      <c r="BS120" s="22">
        <f t="shared" si="63"/>
        <v>6.8812450212163609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-2.5579538487363607E-13</v>
      </c>
      <c r="BZ120" s="13">
        <f>BY120*VLOOKUP('Données projet'!$B$12,Paramètres!$A$1:$I$89,3,0)*VLOOKUP('Données projet'!$B$12,Paramètres!$A$1:$I$89,5,0)</f>
        <v>-2.7932856028201057E-13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173.63857221119594</v>
      </c>
      <c r="CE120" s="59">
        <f t="shared" si="94"/>
        <v>52.373745617370105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0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-6.7984728957526396E-14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175.34314856709307</v>
      </c>
      <c r="T121" s="59">
        <f t="shared" si="88"/>
        <v>296.28950942251339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2.586364179856381</v>
      </c>
      <c r="AA121" s="21">
        <f>EXP(-LN(2)/25)*AA120+(1-EXP(-LN(2)/25))/(LN(2)/25)*Calculateur!V121*Calculateur!X121*VLOOKUP('Données projet'!$B$9,Paramètres!$A$1:$I$89,3,0)*0.475*44/12</f>
        <v>1.6357363390593487</v>
      </c>
      <c r="AB121" s="21">
        <f>EXP(-LN(2)/2)*AB120+(1-EXP(-LN(2)/2))/(LN(2)/2)*V121*Y121*VLOOKUP('Données projet'!$B$9,Paramètres!$A$1:$I$89,3,0)*0.475*44/12</f>
        <v>1.4559614115056748E-13</v>
      </c>
      <c r="AC121" s="22">
        <f t="shared" si="57"/>
        <v>4.2221005189158749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4.0999999999999996</v>
      </c>
      <c r="AI121" s="13">
        <f>IF('Données projet'!$A$62&gt;35,AI120+AH121-AQ120,IF(A121&lt;'Données projet'!$A$62,$AF$205^A121,IF(A121='Données projet'!$A$62,'Données projet'!$B$62,AI120+AH121-AQ120)))</f>
        <v>297.80000000000052</v>
      </c>
      <c r="AJ121" s="13">
        <f>AI121*VLOOKUP('Données projet'!$B$10,Paramètres!$A$1:$I$89,3,0)*VLOOKUP('Données projet'!$B$10,Paramètres!$A$1:$I$89,5,0)</f>
        <v>250.86672000000047</v>
      </c>
      <c r="AK121" s="13">
        <f t="shared" si="89"/>
        <v>60.771498495908666</v>
      </c>
      <c r="AL121" s="20">
        <f t="shared" si="58"/>
        <v>542.76989721370842</v>
      </c>
      <c r="AM121" s="59">
        <f t="shared" si="59"/>
        <v>836.10323054704168</v>
      </c>
      <c r="AN121" s="59">
        <f ca="1">AVERAGE(OFFSET($AM$3,0,0,'Données projet'!$E$10+1,1))-AVERAGE(OFFSET($H$3,0,0,'Données projet'!$E$10+1,1))</f>
        <v>247.67539667223065</v>
      </c>
      <c r="AO121" s="59">
        <f t="shared" si="90"/>
        <v>174.54442616983778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0.22428926347650066</v>
      </c>
      <c r="AV121" s="21">
        <f>EXP(-LN(2)/25)*AV120+(1-EXP(-LN(2)/25))/(LN(2)/25)*Calculateur!AQ121*Calculateur!AS121*VLOOKUP('Données projet'!$B$10,Paramètres!$A$1:$I$89,3,0)*0.475*44/12</f>
        <v>0.57313970070936882</v>
      </c>
      <c r="AW121" s="21">
        <f>EXP(-LN(2)/2)*AW120+(1-EXP(-LN(2)/2))/(LN(2)/2)*AQ121*AT121*VLOOKUP('Données projet'!$B$10,Paramètres!$A$1:$I$89,3,0)*0.475*44/12</f>
        <v>6.5448462582990914E-13</v>
      </c>
      <c r="AX121" s="21">
        <f t="shared" si="60"/>
        <v>0.79742896418652398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5.3066239316239274</v>
      </c>
      <c r="BD121" s="12">
        <f>IF('Données projet'!$A$88&gt;35,BD120+BC121-BL120,IF(A121&lt;'Données projet'!$A$88,$BA$205^A121,IF(A121='Données projet'!$A$88,'Données projet'!$B$88,BD120+BC121-BL120)))</f>
        <v>241.14850427350393</v>
      </c>
      <c r="BE121" s="13">
        <f>BD121*VLOOKUP('Données projet'!$B$11,Paramètres!$A$1:$I$89,3,0)*VLOOKUP('Données projet'!$B$11,Paramètres!$A$1:$I$89,5,0)</f>
        <v>240.76266666666635</v>
      </c>
      <c r="BF121" s="13">
        <f t="shared" si="91"/>
        <v>58.603591618457919</v>
      </c>
      <c r="BG121" s="20">
        <f t="shared" si="61"/>
        <v>521.39623317992471</v>
      </c>
      <c r="BH121" s="59">
        <f t="shared" si="62"/>
        <v>814.72956651325808</v>
      </c>
      <c r="BI121" s="59">
        <f ca="1">AVERAGE(OFFSET($BH$3,0,0,'Données projet'!$E$11+1,1))-AVERAGE(OFFSET($H$3,0,0,'Données projet'!$E$11+1,1))</f>
        <v>245.06609107649069</v>
      </c>
      <c r="BJ121" s="59">
        <f t="shared" si="92"/>
        <v>156.24531945456499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4.7223503103696984</v>
      </c>
      <c r="BQ121" s="21">
        <f>EXP(-LN(2)/25)*BQ120+(1-EXP(-LN(2)/25))/(LN(2)/25)*Calculateur!BL121*Calculateur!BN121*VLOOKUP('Données projet'!$B$11,Paramètres!$A$1:$I$89,3,0)*0.475*44/12</f>
        <v>2.0079878797817337</v>
      </c>
      <c r="BR121" s="21">
        <f>EXP(-LN(2)/2)*BR120+(1-EXP(-LN(2)/2))/(LN(2)/2)*BL121*BO121*VLOOKUP('Données projet'!$B$11,Paramètres!$A$1:$I$89,3,0)*0.475*44/12</f>
        <v>1.0091613521298324E-9</v>
      </c>
      <c r="BS121" s="22">
        <f t="shared" si="63"/>
        <v>6.7303381911605937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-2.5579538487363607E-13</v>
      </c>
      <c r="BZ121" s="13">
        <f>BY121*VLOOKUP('Données projet'!$B$12,Paramètres!$A$1:$I$89,3,0)*VLOOKUP('Données projet'!$B$12,Paramètres!$A$1:$I$89,5,0)</f>
        <v>-2.7932856028201057E-13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173.63857221119594</v>
      </c>
      <c r="CE121" s="59">
        <f t="shared" si="94"/>
        <v>52.373745617370105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0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-6.7984728957526396E-14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175.34314856709307</v>
      </c>
      <c r="T122" s="59">
        <f t="shared" si="88"/>
        <v>296.28950942251339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2.5356471558157794</v>
      </c>
      <c r="AA122" s="21">
        <f>EXP(-LN(2)/25)*AA121+(1-EXP(-LN(2)/25))/(LN(2)/25)*Calculateur!V122*Calculateur!X122*VLOOKUP('Données projet'!$B$9,Paramètres!$A$1:$I$89,3,0)*0.475*44/12</f>
        <v>1.5910070428481353</v>
      </c>
      <c r="AB122" s="21">
        <f>EXP(-LN(2)/2)*AB121+(1-EXP(-LN(2)/2))/(LN(2)/2)*V122*Y122*VLOOKUP('Données projet'!$B$9,Paramètres!$A$1:$I$89,3,0)*0.475*44/12</f>
        <v>1.0295201872216001E-13</v>
      </c>
      <c r="AC122" s="22">
        <f t="shared" si="57"/>
        <v>4.1266541986640179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4.0999999999999996</v>
      </c>
      <c r="AI122" s="13">
        <f>IF('Données projet'!$A$62&gt;35,AI121+AH122-AQ121,IF(A122&lt;'Données projet'!$A$62,$AF$205^A122,IF(A122='Données projet'!$A$62,'Données projet'!$B$62,AI121+AH122-AQ121)))</f>
        <v>301.90000000000055</v>
      </c>
      <c r="AJ122" s="13">
        <f>AI122*VLOOKUP('Données projet'!$B$10,Paramètres!$A$1:$I$89,3,0)*VLOOKUP('Données projet'!$B$10,Paramètres!$A$1:$I$89,5,0)</f>
        <v>254.32056000000046</v>
      </c>
      <c r="AK122" s="13">
        <f t="shared" si="89"/>
        <v>61.510199106400925</v>
      </c>
      <c r="AL122" s="20">
        <f t="shared" si="58"/>
        <v>550.07190544364903</v>
      </c>
      <c r="AM122" s="59">
        <f t="shared" si="59"/>
        <v>843.40523877698229</v>
      </c>
      <c r="AN122" s="59">
        <f ca="1">AVERAGE(OFFSET($AM$3,0,0,'Données projet'!$E$10+1,1))-AVERAGE(OFFSET($H$3,0,0,'Données projet'!$E$10+1,1))</f>
        <v>247.67539667223065</v>
      </c>
      <c r="AO122" s="59">
        <f t="shared" si="90"/>
        <v>174.54442616983778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0.21989108782266903</v>
      </c>
      <c r="AV122" s="21">
        <f>EXP(-LN(2)/25)*AV121+(1-EXP(-LN(2)/25))/(LN(2)/25)*Calculateur!AQ122*Calculateur!AS122*VLOOKUP('Données projet'!$B$10,Paramètres!$A$1:$I$89,3,0)*0.475*44/12</f>
        <v>0.55746716545336417</v>
      </c>
      <c r="AW122" s="21">
        <f>EXP(-LN(2)/2)*AW121+(1-EXP(-LN(2)/2))/(LN(2)/2)*AQ122*AT122*VLOOKUP('Données projet'!$B$10,Paramètres!$A$1:$I$89,3,0)*0.475*44/12</f>
        <v>4.6279051710666898E-13</v>
      </c>
      <c r="AX122" s="21">
        <f t="shared" si="60"/>
        <v>0.77735825327649599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5.3066239316239274</v>
      </c>
      <c r="BD122" s="12">
        <f>IF('Données projet'!$A$88&gt;35,BD121+BC122-BL121,IF(A122&lt;'Données projet'!$A$88,$BA$205^A122,IF(A122='Données projet'!$A$88,'Données projet'!$B$88,BD121+BC122-BL121)))</f>
        <v>246.45512820512786</v>
      </c>
      <c r="BE122" s="13">
        <f>BD122*VLOOKUP('Données projet'!$B$11,Paramètres!$A$1:$I$89,3,0)*VLOOKUP('Données projet'!$B$11,Paramètres!$A$1:$I$89,5,0)</f>
        <v>246.06079999999966</v>
      </c>
      <c r="BF122" s="13">
        <f t="shared" si="91"/>
        <v>59.741642339089012</v>
      </c>
      <c r="BG122" s="20">
        <f t="shared" si="61"/>
        <v>532.60592040724612</v>
      </c>
      <c r="BH122" s="59">
        <f t="shared" si="62"/>
        <v>825.93925374057949</v>
      </c>
      <c r="BI122" s="59">
        <f ca="1">AVERAGE(OFFSET($BH$3,0,0,'Données projet'!$E$11+1,1))-AVERAGE(OFFSET($H$3,0,0,'Données projet'!$E$11+1,1))</f>
        <v>245.06609107649069</v>
      </c>
      <c r="BJ122" s="59">
        <f t="shared" si="92"/>
        <v>156.24531945456499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4.6297479011326272</v>
      </c>
      <c r="BQ122" s="21">
        <f>EXP(-LN(2)/25)*BQ121+(1-EXP(-LN(2)/25))/(LN(2)/25)*Calculateur!BL122*Calculateur!BN122*VLOOKUP('Données projet'!$B$11,Paramètres!$A$1:$I$89,3,0)*0.475*44/12</f>
        <v>1.9530793456136089</v>
      </c>
      <c r="BR122" s="21">
        <f>EXP(-LN(2)/2)*BR121+(1-EXP(-LN(2)/2))/(LN(2)/2)*BL122*BO122*VLOOKUP('Données projet'!$B$11,Paramètres!$A$1:$I$89,3,0)*0.475*44/12</f>
        <v>7.1358483540238983E-10</v>
      </c>
      <c r="BS122" s="22">
        <f t="shared" si="63"/>
        <v>6.5828272474598206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-2.5579538487363607E-13</v>
      </c>
      <c r="BZ122" s="13">
        <f>BY122*VLOOKUP('Données projet'!$B$12,Paramètres!$A$1:$I$89,3,0)*VLOOKUP('Données projet'!$B$12,Paramètres!$A$1:$I$89,5,0)</f>
        <v>-2.7932856028201057E-13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173.63857221119594</v>
      </c>
      <c r="CE122" s="59">
        <f t="shared" si="94"/>
        <v>52.373745617370105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0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-6.7984728957526396E-14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175.34314856709307</v>
      </c>
      <c r="T123" s="59">
        <f t="shared" si="88"/>
        <v>296.28950942251339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2.4859246616822839</v>
      </c>
      <c r="AA123" s="21">
        <f>EXP(-LN(2)/25)*AA122+(1-EXP(-LN(2)/25))/(LN(2)/25)*Calculateur!V123*Calculateur!X123*VLOOKUP('Données projet'!$B$9,Paramètres!$A$1:$I$89,3,0)*0.475*44/12</f>
        <v>1.547500871594029</v>
      </c>
      <c r="AB123" s="21">
        <f>EXP(-LN(2)/2)*AB122+(1-EXP(-LN(2)/2))/(LN(2)/2)*V123*Y123*VLOOKUP('Données projet'!$B$9,Paramètres!$A$1:$I$89,3,0)*0.475*44/12</f>
        <v>7.2798070575283741E-14</v>
      </c>
      <c r="AC123" s="22">
        <f t="shared" si="57"/>
        <v>4.033425533276386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306</v>
      </c>
      <c r="AG123" s="12">
        <f>VLOOKUP(A123,'Données projet'!$A$61:$I$81,9,0)</f>
        <v>4.0999999999999996</v>
      </c>
      <c r="AH123" s="12">
        <f t="array" ref="AH123">INDEX(AG:AG,MIN(IF(ISNUMBER(AG123:AG319),ROW(AG123:AG319),"")))</f>
        <v>4.0999999999999996</v>
      </c>
      <c r="AI123" s="13">
        <f>IF('Données projet'!$A$62&gt;35,AI122+AH123-AQ122,IF(A123&lt;'Données projet'!$A$62,$AF$205^A123,IF(A123='Données projet'!$A$62,'Données projet'!$B$62,AI122+AH123-AQ122)))</f>
        <v>306.00000000000057</v>
      </c>
      <c r="AJ123" s="13">
        <f>AI123*VLOOKUP('Données projet'!$B$10,Paramètres!$A$1:$I$89,3,0)*VLOOKUP('Données projet'!$B$10,Paramètres!$A$1:$I$89,5,0)</f>
        <v>257.77440000000053</v>
      </c>
      <c r="AK123" s="13">
        <f t="shared" si="89"/>
        <v>62.247732872134407</v>
      </c>
      <c r="AL123" s="20">
        <f t="shared" si="58"/>
        <v>557.37188141896831</v>
      </c>
      <c r="AM123" s="59">
        <f t="shared" si="59"/>
        <v>850.70521475230157</v>
      </c>
      <c r="AN123" s="59">
        <f ca="1">AVERAGE(OFFSET($AM$3,0,0,'Données projet'!$E$10+1,1))-AVERAGE(OFFSET($H$3,0,0,'Données projet'!$E$10+1,1))</f>
        <v>247.67539667223065</v>
      </c>
      <c r="AO123" s="59">
        <f t="shared" si="90"/>
        <v>174.54442616983778</v>
      </c>
      <c r="AP123" s="15">
        <f>IF(ISNA(VLOOKUP(A123,'Données projet'!$A$61:$I$81,3,0)),0,VLOOKUP(A123,'Données projet'!$A$61:$I$81,3,0))</f>
        <v>11</v>
      </c>
      <c r="AQ123" s="15">
        <f>IF(ISNA(VLOOKUP(A123,'Données projet'!$A$61:$I$81,4,0)),0,VLOOKUP(A123,'Données projet'!$A$61:$I$81,4,0))</f>
        <v>31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0.21557915771078678</v>
      </c>
      <c r="AV123" s="21">
        <f>EXP(-LN(2)/25)*AV122+(1-EXP(-LN(2)/25))/(LN(2)/25)*Calculateur!AQ123*Calculateur!AS123*VLOOKUP('Données projet'!$B$10,Paramètres!$A$1:$I$89,3,0)*0.475*44/12</f>
        <v>0.54222319649811779</v>
      </c>
      <c r="AW123" s="21">
        <f>EXP(-LN(2)/2)*AW122+(1-EXP(-LN(2)/2))/(LN(2)/2)*AQ123*AT123*VLOOKUP('Données projet'!$B$10,Paramètres!$A$1:$I$89,3,0)*0.475*44/12</f>
        <v>3.2724231291495457E-13</v>
      </c>
      <c r="AX123" s="21">
        <f t="shared" si="60"/>
        <v>0.75780235420923181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5.3066239316239274</v>
      </c>
      <c r="BD123" s="12">
        <f>IF('Données projet'!$A$88&gt;35,BD122+BC123-BL122,IF(A123&lt;'Données projet'!$A$88,$BA$205^A123,IF(A123='Données projet'!$A$88,'Données projet'!$B$88,BD122+BC123-BL122)))</f>
        <v>251.7617521367518</v>
      </c>
      <c r="BE123" s="13">
        <f>BD123*VLOOKUP('Données projet'!$B$11,Paramètres!$A$1:$I$89,3,0)*VLOOKUP('Données projet'!$B$11,Paramètres!$A$1:$I$89,5,0)</f>
        <v>251.358933333333</v>
      </c>
      <c r="BF123" s="13">
        <f t="shared" si="91"/>
        <v>60.876844099407862</v>
      </c>
      <c r="BG123" s="20">
        <f t="shared" si="61"/>
        <v>543.81064569535704</v>
      </c>
      <c r="BH123" s="59">
        <f t="shared" si="62"/>
        <v>837.14397902869041</v>
      </c>
      <c r="BI123" s="59">
        <f ca="1">AVERAGE(OFFSET($BH$3,0,0,'Données projet'!$E$11+1,1))-AVERAGE(OFFSET($H$3,0,0,'Données projet'!$E$11+1,1))</f>
        <v>245.06609107649069</v>
      </c>
      <c r="BJ123" s="59">
        <f t="shared" si="92"/>
        <v>156.24531945456499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4.5389613686588026</v>
      </c>
      <c r="BQ123" s="21">
        <f>EXP(-LN(2)/25)*BQ122+(1-EXP(-LN(2)/25))/(LN(2)/25)*Calculateur!BL123*Calculateur!BN123*VLOOKUP('Données projet'!$B$11,Paramètres!$A$1:$I$89,3,0)*0.475*44/12</f>
        <v>1.8996722881998258</v>
      </c>
      <c r="BR123" s="21">
        <f>EXP(-LN(2)/2)*BR122+(1-EXP(-LN(2)/2))/(LN(2)/2)*BL123*BO123*VLOOKUP('Données projet'!$B$11,Paramètres!$A$1:$I$89,3,0)*0.475*44/12</f>
        <v>5.0458067606491618E-10</v>
      </c>
      <c r="BS123" s="22">
        <f t="shared" si="63"/>
        <v>6.4386336573632086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-2.5579538487363607E-13</v>
      </c>
      <c r="BZ123" s="13">
        <f>BY123*VLOOKUP('Données projet'!$B$12,Paramètres!$A$1:$I$89,3,0)*VLOOKUP('Données projet'!$B$12,Paramètres!$A$1:$I$89,5,0)</f>
        <v>-2.7932856028201057E-13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173.63857221119594</v>
      </c>
      <c r="CE123" s="59">
        <f t="shared" si="94"/>
        <v>52.373745617370105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0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-6.7984728957526396E-14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175.34314856709307</v>
      </c>
      <c r="T124" s="59">
        <f t="shared" si="88"/>
        <v>296.28950942251339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2.4371771953310191</v>
      </c>
      <c r="AA124" s="21">
        <f>EXP(-LN(2)/25)*AA123+(1-EXP(-LN(2)/25))/(LN(2)/25)*Calculateur!V124*Calculateur!X124*VLOOKUP('Données projet'!$B$9,Paramètres!$A$1:$I$89,3,0)*0.475*44/12</f>
        <v>1.5051843788807564</v>
      </c>
      <c r="AB124" s="21">
        <f>EXP(-LN(2)/2)*AB123+(1-EXP(-LN(2)/2))/(LN(2)/2)*V124*Y124*VLOOKUP('Données projet'!$B$9,Paramètres!$A$1:$I$89,3,0)*0.475*44/12</f>
        <v>5.1476009361080005E-14</v>
      </c>
      <c r="AC124" s="22">
        <f t="shared" si="57"/>
        <v>3.942361574211827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275.00000000000057</v>
      </c>
      <c r="AJ124" s="13">
        <f>AI124*VLOOKUP('Données projet'!$B$10,Paramètres!$A$1:$I$89,3,0)*VLOOKUP('Données projet'!$B$10,Paramètres!$A$1:$I$89,5,0)</f>
        <v>231.66000000000051</v>
      </c>
      <c r="AK124" s="13">
        <f t="shared" si="89"/>
        <v>56.641461975682923</v>
      </c>
      <c r="AL124" s="20">
        <f t="shared" si="58"/>
        <v>502.12504627431525</v>
      </c>
      <c r="AM124" s="59">
        <f t="shared" si="59"/>
        <v>795.45837960764857</v>
      </c>
      <c r="AN124" s="59">
        <f ca="1">AVERAGE(OFFSET($AM$3,0,0,'Données projet'!$E$10+1,1))-AVERAGE(OFFSET($H$3,0,0,'Données projet'!$E$10+1,1))</f>
        <v>247.67539667223065</v>
      </c>
      <c r="AO124" s="59">
        <f t="shared" si="90"/>
        <v>174.54442616983778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0.21135178191838086</v>
      </c>
      <c r="AV124" s="21">
        <f>EXP(-LN(2)/25)*AV123+(1-EXP(-LN(2)/25))/(LN(2)/25)*Calculateur!AQ124*Calculateur!AS124*VLOOKUP('Données projet'!$B$10,Paramètres!$A$1:$I$89,3,0)*0.475*44/12</f>
        <v>0.52739607467559813</v>
      </c>
      <c r="AW124" s="21">
        <f>EXP(-LN(2)/2)*AW123+(1-EXP(-LN(2)/2))/(LN(2)/2)*AQ124*AT124*VLOOKUP('Données projet'!$B$10,Paramètres!$A$1:$I$89,3,0)*0.475*44/12</f>
        <v>2.3139525855333449E-13</v>
      </c>
      <c r="AX124" s="21">
        <f t="shared" si="60"/>
        <v>0.73874785659421038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5.3066239316239274</v>
      </c>
      <c r="BD124" s="12">
        <f>IF('Données projet'!$A$88&gt;35,BD123+BC124-BL123,IF(A124&lt;'Données projet'!$A$88,$BA$205^A124,IF(A124='Données projet'!$A$88,'Données projet'!$B$88,BD123+BC124-BL123)))</f>
        <v>257.0683760683757</v>
      </c>
      <c r="BE124" s="13">
        <f>BD124*VLOOKUP('Données projet'!$B$11,Paramètres!$A$1:$I$89,3,0)*VLOOKUP('Données projet'!$B$11,Paramètres!$A$1:$I$89,5,0)</f>
        <v>256.65706666666631</v>
      </c>
      <c r="BF124" s="13">
        <f t="shared" si="91"/>
        <v>62.009263867374706</v>
      </c>
      <c r="BG124" s="20">
        <f t="shared" si="61"/>
        <v>555.01052568012142</v>
      </c>
      <c r="BH124" s="59">
        <f t="shared" si="62"/>
        <v>848.34385901345468</v>
      </c>
      <c r="BI124" s="59">
        <f ca="1">AVERAGE(OFFSET($BH$3,0,0,'Données projet'!$E$11+1,1))-AVERAGE(OFFSET($H$3,0,0,'Données projet'!$E$11+1,1))</f>
        <v>245.06609107649069</v>
      </c>
      <c r="BJ124" s="59">
        <f t="shared" si="92"/>
        <v>156.24531945456499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4.4499551047124726</v>
      </c>
      <c r="BQ124" s="21">
        <f>EXP(-LN(2)/25)*BQ123+(1-EXP(-LN(2)/25))/(LN(2)/25)*Calculateur!BL124*Calculateur!BN124*VLOOKUP('Données projet'!$B$11,Paramètres!$A$1:$I$89,3,0)*0.475*44/12</f>
        <v>1.8477256495795777</v>
      </c>
      <c r="BR124" s="21">
        <f>EXP(-LN(2)/2)*BR123+(1-EXP(-LN(2)/2))/(LN(2)/2)*BL124*BO124*VLOOKUP('Données projet'!$B$11,Paramètres!$A$1:$I$89,3,0)*0.475*44/12</f>
        <v>3.5679241770119491E-10</v>
      </c>
      <c r="BS124" s="22">
        <f t="shared" si="63"/>
        <v>6.2976807546488436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-2.5579538487363607E-13</v>
      </c>
      <c r="BZ124" s="13">
        <f>BY124*VLOOKUP('Données projet'!$B$12,Paramètres!$A$1:$I$89,3,0)*VLOOKUP('Données projet'!$B$12,Paramètres!$A$1:$I$89,5,0)</f>
        <v>-2.7932856028201057E-13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173.63857221119594</v>
      </c>
      <c r="CE124" s="59">
        <f t="shared" si="94"/>
        <v>52.373745617370105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0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-6.7984728957526396E-14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175.34314856709307</v>
      </c>
      <c r="T125" s="59">
        <f t="shared" si="88"/>
        <v>296.28950942251339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2.389385637061884</v>
      </c>
      <c r="AA125" s="21">
        <f>EXP(-LN(2)/25)*AA124+(1-EXP(-LN(2)/25))/(LN(2)/25)*Calculateur!V125*Calculateur!X125*VLOOKUP('Données projet'!$B$9,Paramètres!$A$1:$I$89,3,0)*0.475*44/12</f>
        <v>1.4640250328860558</v>
      </c>
      <c r="AB125" s="21">
        <f>EXP(-LN(2)/2)*AB124+(1-EXP(-LN(2)/2))/(LN(2)/2)*V125*Y125*VLOOKUP('Données projet'!$B$9,Paramètres!$A$1:$I$89,3,0)*0.475*44/12</f>
        <v>3.6399035287641871E-14</v>
      </c>
      <c r="AC125" s="22">
        <f t="shared" si="57"/>
        <v>3.8534106699479764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275.00000000000057</v>
      </c>
      <c r="AJ125" s="13">
        <f>AI125*VLOOKUP('Données projet'!$B$10,Paramètres!$A$1:$I$89,3,0)*VLOOKUP('Données projet'!$B$10,Paramètres!$A$1:$I$89,5,0)</f>
        <v>231.66000000000051</v>
      </c>
      <c r="AK125" s="13">
        <f t="shared" si="89"/>
        <v>56.641461975682923</v>
      </c>
      <c r="AL125" s="20">
        <f t="shared" si="58"/>
        <v>502.12504627431525</v>
      </c>
      <c r="AM125" s="59">
        <f t="shared" si="59"/>
        <v>795.45837960764857</v>
      </c>
      <c r="AN125" s="59">
        <f ca="1">AVERAGE(OFFSET($AM$3,0,0,'Données projet'!$E$10+1,1))-AVERAGE(OFFSET($H$3,0,0,'Données projet'!$E$10+1,1))</f>
        <v>247.67539667223065</v>
      </c>
      <c r="AO125" s="59">
        <f t="shared" si="90"/>
        <v>174.54442616983778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0.20720730238681939</v>
      </c>
      <c r="AV125" s="21">
        <f>EXP(-LN(2)/25)*AV124+(1-EXP(-LN(2)/25))/(LN(2)/25)*Calculateur!AQ125*Calculateur!AS125*VLOOKUP('Données projet'!$B$10,Paramètres!$A$1:$I$89,3,0)*0.475*44/12</f>
        <v>0.5129744012790397</v>
      </c>
      <c r="AW125" s="21">
        <f>EXP(-LN(2)/2)*AW124+(1-EXP(-LN(2)/2))/(LN(2)/2)*AQ125*AT125*VLOOKUP('Données projet'!$B$10,Paramètres!$A$1:$I$89,3,0)*0.475*44/12</f>
        <v>1.6362115645747728E-13</v>
      </c>
      <c r="AX125" s="21">
        <f t="shared" si="60"/>
        <v>0.72018170366602274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5.3066239316239274</v>
      </c>
      <c r="BD125" s="12">
        <f>IF('Données projet'!$A$88&gt;35,BD124+BC125-BL124,IF(A125&lt;'Données projet'!$A$88,$BA$205^A125,IF(A125='Données projet'!$A$88,'Données projet'!$B$88,BD124+BC125-BL124)))</f>
        <v>262.3749999999996</v>
      </c>
      <c r="BE125" s="13">
        <f>BD125*VLOOKUP('Données projet'!$B$11,Paramètres!$A$1:$I$89,3,0)*VLOOKUP('Données projet'!$B$11,Paramètres!$A$1:$I$89,5,0)</f>
        <v>261.95519999999965</v>
      </c>
      <c r="BF125" s="13">
        <f t="shared" si="91"/>
        <v>63.138965688107206</v>
      </c>
      <c r="BG125" s="20">
        <f t="shared" si="61"/>
        <v>566.20567190678605</v>
      </c>
      <c r="BH125" s="59">
        <f t="shared" si="62"/>
        <v>859.53900524011942</v>
      </c>
      <c r="BI125" s="59">
        <f ca="1">AVERAGE(OFFSET($BH$3,0,0,'Données projet'!$E$11+1,1))-AVERAGE(OFFSET($H$3,0,0,'Données projet'!$E$11+1,1))</f>
        <v>245.06609107649069</v>
      </c>
      <c r="BJ125" s="59">
        <f t="shared" si="92"/>
        <v>156.24531945456499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4.362694199313669</v>
      </c>
      <c r="BQ125" s="21">
        <f>EXP(-LN(2)/25)*BQ124+(1-EXP(-LN(2)/25))/(LN(2)/25)*Calculateur!BL125*Calculateur!BN125*VLOOKUP('Données projet'!$B$11,Paramètres!$A$1:$I$89,3,0)*0.475*44/12</f>
        <v>1.7971994945241554</v>
      </c>
      <c r="BR125" s="21">
        <f>EXP(-LN(2)/2)*BR124+(1-EXP(-LN(2)/2))/(LN(2)/2)*BL125*BO125*VLOOKUP('Données projet'!$B$11,Paramètres!$A$1:$I$89,3,0)*0.475*44/12</f>
        <v>2.5229033803245809E-10</v>
      </c>
      <c r="BS125" s="22">
        <f t="shared" si="63"/>
        <v>6.1598936940901154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-2.5579538487363607E-13</v>
      </c>
      <c r="BZ125" s="13">
        <f>BY125*VLOOKUP('Données projet'!$B$12,Paramètres!$A$1:$I$89,3,0)*VLOOKUP('Données projet'!$B$12,Paramètres!$A$1:$I$89,5,0)</f>
        <v>-2.7932856028201057E-13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173.63857221119594</v>
      </c>
      <c r="CE125" s="59">
        <f t="shared" si="94"/>
        <v>52.373745617370105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0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-6.7984728957526396E-14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175.34314856709307</v>
      </c>
      <c r="T126" s="59">
        <f t="shared" si="88"/>
        <v>296.28950942251339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2.3425312421004345</v>
      </c>
      <c r="AA126" s="21">
        <f>EXP(-LN(2)/25)*AA125+(1-EXP(-LN(2)/25))/(LN(2)/25)*Calculateur!V126*Calculateur!X126*VLOOKUP('Données projet'!$B$9,Paramètres!$A$1:$I$89,3,0)*0.475*44/12</f>
        <v>1.4239911913720562</v>
      </c>
      <c r="AB126" s="21">
        <f>EXP(-LN(2)/2)*AB125+(1-EXP(-LN(2)/2))/(LN(2)/2)*V126*Y126*VLOOKUP('Données projet'!$B$9,Paramètres!$A$1:$I$89,3,0)*0.475*44/12</f>
        <v>2.5738004680540003E-14</v>
      </c>
      <c r="AC126" s="22">
        <f t="shared" si="57"/>
        <v>3.7665224334725167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275.00000000000057</v>
      </c>
      <c r="AJ126" s="13">
        <f>AI126*VLOOKUP('Données projet'!$B$10,Paramètres!$A$1:$I$89,3,0)*VLOOKUP('Données projet'!$B$10,Paramètres!$A$1:$I$89,5,0)</f>
        <v>231.66000000000051</v>
      </c>
      <c r="AK126" s="13">
        <f t="shared" si="89"/>
        <v>56.641461975682923</v>
      </c>
      <c r="AL126" s="20">
        <f t="shared" si="58"/>
        <v>502.12504627431525</v>
      </c>
      <c r="AM126" s="59">
        <f t="shared" si="59"/>
        <v>795.45837960764857</v>
      </c>
      <c r="AN126" s="59">
        <f ca="1">AVERAGE(OFFSET($AM$3,0,0,'Données projet'!$E$10+1,1))-AVERAGE(OFFSET($H$3,0,0,'Données projet'!$E$10+1,1))</f>
        <v>247.67539667223065</v>
      </c>
      <c r="AO126" s="59">
        <f t="shared" si="90"/>
        <v>174.54442616983778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0.20314409357098895</v>
      </c>
      <c r="AV126" s="21">
        <f>EXP(-LN(2)/25)*AV125+(1-EXP(-LN(2)/25))/(LN(2)/25)*Calculateur!AQ126*Calculateur!AS126*VLOOKUP('Données projet'!$B$10,Paramètres!$A$1:$I$89,3,0)*0.475*44/12</f>
        <v>0.49894708929991299</v>
      </c>
      <c r="AW126" s="21">
        <f>EXP(-LN(2)/2)*AW125+(1-EXP(-LN(2)/2))/(LN(2)/2)*AQ126*AT126*VLOOKUP('Données projet'!$B$10,Paramètres!$A$1:$I$89,3,0)*0.475*44/12</f>
        <v>1.1569762927666725E-13</v>
      </c>
      <c r="AX126" s="21">
        <f t="shared" si="60"/>
        <v>0.70209118287101768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5.3066239316239274</v>
      </c>
      <c r="BD126" s="12">
        <f>IF('Données projet'!$A$88&gt;35,BD125+BC126-BL125,IF(A126&lt;'Données projet'!$A$88,$BA$205^A126,IF(A126='Données projet'!$A$88,'Données projet'!$B$88,BD125+BC126-BL125)))</f>
        <v>267.68162393162351</v>
      </c>
      <c r="BE126" s="13">
        <f>BD126*VLOOKUP('Données projet'!$B$11,Paramètres!$A$1:$I$89,3,0)*VLOOKUP('Données projet'!$B$11,Paramètres!$A$1:$I$89,5,0)</f>
        <v>267.25333333333288</v>
      </c>
      <c r="BF126" s="13">
        <f t="shared" si="91"/>
        <v>64.266010867941603</v>
      </c>
      <c r="BG126" s="20">
        <f t="shared" si="61"/>
        <v>577.39619115055291</v>
      </c>
      <c r="BH126" s="59">
        <f t="shared" si="62"/>
        <v>870.72952448388628</v>
      </c>
      <c r="BI126" s="59">
        <f ca="1">AVERAGE(OFFSET($BH$3,0,0,'Données projet'!$E$11+1,1))-AVERAGE(OFFSET($H$3,0,0,'Données projet'!$E$11+1,1))</f>
        <v>245.06609107649069</v>
      </c>
      <c r="BJ126" s="59">
        <f t="shared" si="92"/>
        <v>156.24531945456499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4.2771444270458394</v>
      </c>
      <c r="BQ126" s="21">
        <f>EXP(-LN(2)/25)*BQ125+(1-EXP(-LN(2)/25))/(LN(2)/25)*Calculateur!BL126*Calculateur!BN126*VLOOKUP('Données projet'!$B$11,Paramètres!$A$1:$I$89,3,0)*0.475*44/12</f>
        <v>1.7480549798357785</v>
      </c>
      <c r="BR126" s="21">
        <f>EXP(-LN(2)/2)*BR125+(1-EXP(-LN(2)/2))/(LN(2)/2)*BL126*BO126*VLOOKUP('Données projet'!$B$11,Paramètres!$A$1:$I$89,3,0)*0.475*44/12</f>
        <v>1.7839620885059746E-10</v>
      </c>
      <c r="BS126" s="22">
        <f t="shared" si="63"/>
        <v>6.0251994070600139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-2.5579538487363607E-13</v>
      </c>
      <c r="BZ126" s="13">
        <f>BY126*VLOOKUP('Données projet'!$B$12,Paramètres!$A$1:$I$89,3,0)*VLOOKUP('Données projet'!$B$12,Paramètres!$A$1:$I$89,5,0)</f>
        <v>-2.7932856028201057E-13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173.63857221119594</v>
      </c>
      <c r="CE126" s="59">
        <f t="shared" si="94"/>
        <v>52.373745617370105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0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-6.7984728957526396E-14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175.34314856709307</v>
      </c>
      <c r="T127" s="59">
        <f t="shared" si="88"/>
        <v>296.28950942251339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2.2965956332458202</v>
      </c>
      <c r="AA127" s="21">
        <f>EXP(-LN(2)/25)*AA126+(1-EXP(-LN(2)/25))/(LN(2)/25)*Calculateur!V127*Calculateur!X127*VLOOKUP('Données projet'!$B$9,Paramètres!$A$1:$I$89,3,0)*0.475*44/12</f>
        <v>1.3850520773595452</v>
      </c>
      <c r="AB127" s="21">
        <f>EXP(-LN(2)/2)*AB126+(1-EXP(-LN(2)/2))/(LN(2)/2)*V127*Y127*VLOOKUP('Données projet'!$B$9,Paramètres!$A$1:$I$89,3,0)*0.475*44/12</f>
        <v>1.8199517643820935E-14</v>
      </c>
      <c r="AC127" s="22">
        <f t="shared" si="57"/>
        <v>3.6816477106053838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275.00000000000057</v>
      </c>
      <c r="AJ127" s="13">
        <f>AI127*VLOOKUP('Données projet'!$B$10,Paramètres!$A$1:$I$89,3,0)*VLOOKUP('Données projet'!$B$10,Paramètres!$A$1:$I$89,5,0)</f>
        <v>231.66000000000051</v>
      </c>
      <c r="AK127" s="13">
        <f t="shared" si="89"/>
        <v>56.641461975682923</v>
      </c>
      <c r="AL127" s="20">
        <f t="shared" si="58"/>
        <v>502.12504627431525</v>
      </c>
      <c r="AM127" s="59">
        <f t="shared" si="59"/>
        <v>795.45837960764857</v>
      </c>
      <c r="AN127" s="59">
        <f ca="1">AVERAGE(OFFSET($AM$3,0,0,'Données projet'!$E$10+1,1))-AVERAGE(OFFSET($H$3,0,0,'Données projet'!$E$10+1,1))</f>
        <v>247.67539667223065</v>
      </c>
      <c r="AO127" s="59">
        <f t="shared" si="90"/>
        <v>174.54442616983778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0.19916056180172426</v>
      </c>
      <c r="AV127" s="21">
        <f>EXP(-LN(2)/25)*AV126+(1-EXP(-LN(2)/25))/(LN(2)/25)*Calculateur!AQ127*Calculateur!AS127*VLOOKUP('Données projet'!$B$10,Paramètres!$A$1:$I$89,3,0)*0.475*44/12</f>
        <v>0.48530335490451981</v>
      </c>
      <c r="AW127" s="21">
        <f>EXP(-LN(2)/2)*AW126+(1-EXP(-LN(2)/2))/(LN(2)/2)*AQ127*AT127*VLOOKUP('Données projet'!$B$10,Paramètres!$A$1:$I$89,3,0)*0.475*44/12</f>
        <v>8.1810578228738642E-14</v>
      </c>
      <c r="AX127" s="21">
        <f t="shared" si="60"/>
        <v>0.68446391670632589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5.3066239316239274</v>
      </c>
      <c r="BD127" s="12">
        <f>IF('Données projet'!$A$88&gt;35,BD126+BC127-BL126,IF(A127&lt;'Données projet'!$A$88,$BA$205^A127,IF(A127='Données projet'!$A$88,'Données projet'!$B$88,BD126+BC127-BL126)))</f>
        <v>272.98824786324741</v>
      </c>
      <c r="BE127" s="13">
        <f>BD127*VLOOKUP('Données projet'!$B$11,Paramètres!$A$1:$I$89,3,0)*VLOOKUP('Données projet'!$B$11,Paramètres!$A$1:$I$89,5,0)</f>
        <v>272.55146666666622</v>
      </c>
      <c r="BF127" s="13">
        <f t="shared" si="91"/>
        <v>65.390458143486015</v>
      </c>
      <c r="BG127" s="20">
        <f t="shared" si="61"/>
        <v>588.58218571101509</v>
      </c>
      <c r="BH127" s="59">
        <f t="shared" si="62"/>
        <v>881.91551904434846</v>
      </c>
      <c r="BI127" s="59">
        <f ca="1">AVERAGE(OFFSET($BH$3,0,0,'Données projet'!$E$11+1,1))-AVERAGE(OFFSET($H$3,0,0,'Données projet'!$E$11+1,1))</f>
        <v>245.06609107649069</v>
      </c>
      <c r="BJ127" s="59">
        <f t="shared" si="92"/>
        <v>156.24531945456499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4.1932722336319737</v>
      </c>
      <c r="BQ127" s="21">
        <f>EXP(-LN(2)/25)*BQ126+(1-EXP(-LN(2)/25))/(LN(2)/25)*Calculateur!BL127*Calculateur!BN127*VLOOKUP('Données projet'!$B$11,Paramètres!$A$1:$I$89,3,0)*0.475*44/12</f>
        <v>1.7002543244859529</v>
      </c>
      <c r="BR127" s="21">
        <f>EXP(-LN(2)/2)*BR126+(1-EXP(-LN(2)/2))/(LN(2)/2)*BL127*BO127*VLOOKUP('Données projet'!$B$11,Paramètres!$A$1:$I$89,3,0)*0.475*44/12</f>
        <v>1.2614516901622905E-10</v>
      </c>
      <c r="BS127" s="22">
        <f t="shared" si="63"/>
        <v>5.8935265582440719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-2.5579538487363607E-13</v>
      </c>
      <c r="BZ127" s="13">
        <f>BY127*VLOOKUP('Données projet'!$B$12,Paramètres!$A$1:$I$89,3,0)*VLOOKUP('Données projet'!$B$12,Paramètres!$A$1:$I$89,5,0)</f>
        <v>-2.7932856028201057E-13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173.63857221119594</v>
      </c>
      <c r="CE127" s="59">
        <f t="shared" si="94"/>
        <v>52.373745617370105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0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-6.7984728957526396E-14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175.34314856709307</v>
      </c>
      <c r="T128" s="59">
        <f t="shared" si="88"/>
        <v>296.28950942251339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2.2515607936628901</v>
      </c>
      <c r="AA128" s="21">
        <f>EXP(-LN(2)/25)*AA127+(1-EXP(-LN(2)/25))/(LN(2)/25)*Calculateur!V128*Calculateur!X128*VLOOKUP('Données projet'!$B$9,Paramètres!$A$1:$I$89,3,0)*0.475*44/12</f>
        <v>1.3471777554674251</v>
      </c>
      <c r="AB128" s="21">
        <f>EXP(-LN(2)/2)*AB127+(1-EXP(-LN(2)/2))/(LN(2)/2)*V128*Y128*VLOOKUP('Données projet'!$B$9,Paramètres!$A$1:$I$89,3,0)*0.475*44/12</f>
        <v>1.2869002340270001E-14</v>
      </c>
      <c r="AC128" s="22">
        <f t="shared" si="57"/>
        <v>3.5987385491303283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275.00000000000057</v>
      </c>
      <c r="AJ128" s="13">
        <f>AI128*VLOOKUP('Données projet'!$B$10,Paramètres!$A$1:$I$89,3,0)*VLOOKUP('Données projet'!$B$10,Paramètres!$A$1:$I$89,5,0)</f>
        <v>231.66000000000051</v>
      </c>
      <c r="AK128" s="13">
        <f t="shared" si="89"/>
        <v>56.641461975682923</v>
      </c>
      <c r="AL128" s="20">
        <f t="shared" si="58"/>
        <v>502.12504627431525</v>
      </c>
      <c r="AM128" s="59">
        <f t="shared" si="59"/>
        <v>795.45837960764857</v>
      </c>
      <c r="AN128" s="59">
        <f ca="1">AVERAGE(OFFSET($AM$3,0,0,'Données projet'!$E$10+1,1))-AVERAGE(OFFSET($H$3,0,0,'Données projet'!$E$10+1,1))</f>
        <v>247.67539667223065</v>
      </c>
      <c r="AO128" s="59">
        <f t="shared" si="90"/>
        <v>174.54442616983778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0.1952551446607404</v>
      </c>
      <c r="AV128" s="21">
        <f>EXP(-LN(2)/25)*AV127+(1-EXP(-LN(2)/25))/(LN(2)/25)*Calculateur!AQ128*Calculateur!AS128*VLOOKUP('Données projet'!$B$10,Paramètres!$A$1:$I$89,3,0)*0.475*44/12</f>
        <v>0.47203270914366147</v>
      </c>
      <c r="AW128" s="21">
        <f>EXP(-LN(2)/2)*AW127+(1-EXP(-LN(2)/2))/(LN(2)/2)*AQ128*AT128*VLOOKUP('Données projet'!$B$10,Paramètres!$A$1:$I$89,3,0)*0.475*44/12</f>
        <v>5.7848814638333623E-14</v>
      </c>
      <c r="AX128" s="21">
        <f t="shared" si="60"/>
        <v>0.66728785380445965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>
        <f>VLOOKUP(A128,'Données projet'!$A$87:$I$107,2,0)</f>
        <v>278.29487179487177</v>
      </c>
      <c r="BB128" s="12">
        <f>VLOOKUP(A128,'Données projet'!$A$87:$I$107,9,0)</f>
        <v>5.3066239316239274</v>
      </c>
      <c r="BC128" s="12">
        <f t="array" ref="BC128">INDEX(BB:BB,MIN(IF(ISNUMBER(BB128:BB324),ROW(BB128:BB324),"")))</f>
        <v>5.3066239316239274</v>
      </c>
      <c r="BD128" s="12">
        <f>IF('Données projet'!$A$88&gt;35,BD127+BC128-BL127,IF(A128&lt;'Données projet'!$A$88,$BA$205^A128,IF(A128='Données projet'!$A$88,'Données projet'!$B$88,BD127+BC128-BL127)))</f>
        <v>278.29487179487131</v>
      </c>
      <c r="BE128" s="13">
        <f>BD128*VLOOKUP('Données projet'!$B$11,Paramètres!$A$1:$I$89,3,0)*VLOOKUP('Données projet'!$B$11,Paramètres!$A$1:$I$89,5,0)</f>
        <v>277.84959999999955</v>
      </c>
      <c r="BF128" s="13">
        <f t="shared" si="91"/>
        <v>66.512363837156869</v>
      </c>
      <c r="BG128" s="20">
        <f t="shared" si="61"/>
        <v>599.76375368304741</v>
      </c>
      <c r="BH128" s="59">
        <f t="shared" si="62"/>
        <v>893.09708701638078</v>
      </c>
      <c r="BI128" s="59">
        <f ca="1">AVERAGE(OFFSET($BH$3,0,0,'Données projet'!$E$11+1,1))-AVERAGE(OFFSET($H$3,0,0,'Données projet'!$E$11+1,1))</f>
        <v>245.06609107649069</v>
      </c>
      <c r="BJ128" s="59">
        <f t="shared" si="92"/>
        <v>156.24531945456499</v>
      </c>
      <c r="BK128" s="15">
        <f>IF(ISNA(VLOOKUP(A128,'Données projet'!$A$87:$I$107,3,0)),0,VLOOKUP(A128,'Données projet'!$A$87:$I$107,3,0))</f>
        <v>10</v>
      </c>
      <c r="BL128" s="15">
        <f>IF(ISNA(VLOOKUP(A128,'Données projet'!$A$87:$I$107,4,0)),0,VLOOKUP(A128,'Données projet'!$A$87:$I$107,4,0))</f>
        <v>48.160256410256409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4.1110447227739666</v>
      </c>
      <c r="BQ128" s="21">
        <f>EXP(-LN(2)/25)*BQ127+(1-EXP(-LN(2)/25))/(LN(2)/25)*Calculateur!BL128*Calculateur!BN128*VLOOKUP('Données projet'!$B$11,Paramètres!$A$1:$I$89,3,0)*0.475*44/12</f>
        <v>1.6537607805703955</v>
      </c>
      <c r="BR128" s="21">
        <f>EXP(-LN(2)/2)*BR127+(1-EXP(-LN(2)/2))/(LN(2)/2)*BL128*BO128*VLOOKUP('Données projet'!$B$11,Paramètres!$A$1:$I$89,3,0)*0.475*44/12</f>
        <v>8.9198104425298728E-11</v>
      </c>
      <c r="BS128" s="22">
        <f t="shared" si="63"/>
        <v>5.7648055034335606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-2.5579538487363607E-13</v>
      </c>
      <c r="BZ128" s="13">
        <f>BY128*VLOOKUP('Données projet'!$B$12,Paramètres!$A$1:$I$89,3,0)*VLOOKUP('Données projet'!$B$12,Paramètres!$A$1:$I$89,5,0)</f>
        <v>-2.7932856028201057E-13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173.63857221119594</v>
      </c>
      <c r="CE128" s="59">
        <f t="shared" si="94"/>
        <v>52.373745617370105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0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-6.7984728957526396E-14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175.34314856709307</v>
      </c>
      <c r="T129" s="59">
        <f t="shared" si="88"/>
        <v>296.28950942251339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2.2074090598156411</v>
      </c>
      <c r="AA129" s="21">
        <f>EXP(-LN(2)/25)*AA128+(1-EXP(-LN(2)/25))/(LN(2)/25)*Calculateur!V129*Calculateur!X129*VLOOKUP('Données projet'!$B$9,Paramètres!$A$1:$I$89,3,0)*0.475*44/12</f>
        <v>1.3103391088991692</v>
      </c>
      <c r="AB129" s="21">
        <f>EXP(-LN(2)/2)*AB128+(1-EXP(-LN(2)/2))/(LN(2)/2)*V129*Y129*VLOOKUP('Données projet'!$B$9,Paramètres!$A$1:$I$89,3,0)*0.475*44/12</f>
        <v>9.0997588219104677E-15</v>
      </c>
      <c r="AC129" s="22">
        <f t="shared" si="57"/>
        <v>3.5177481687148191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275.00000000000057</v>
      </c>
      <c r="AJ129" s="13">
        <f>AI129*VLOOKUP('Données projet'!$B$10,Paramètres!$A$1:$I$89,3,0)*VLOOKUP('Données projet'!$B$10,Paramètres!$A$1:$I$89,5,0)</f>
        <v>231.66000000000051</v>
      </c>
      <c r="AK129" s="13">
        <f t="shared" si="89"/>
        <v>56.641461975682923</v>
      </c>
      <c r="AL129" s="20">
        <f t="shared" si="58"/>
        <v>502.12504627431525</v>
      </c>
      <c r="AM129" s="59">
        <f t="shared" si="59"/>
        <v>795.45837960764857</v>
      </c>
      <c r="AN129" s="59">
        <f ca="1">AVERAGE(OFFSET($AM$3,0,0,'Données projet'!$E$10+1,1))-AVERAGE(OFFSET($H$3,0,0,'Données projet'!$E$10+1,1))</f>
        <v>247.67539667223065</v>
      </c>
      <c r="AO129" s="59">
        <f t="shared" si="90"/>
        <v>174.54442616983778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0.19142631036782198</v>
      </c>
      <c r="AV129" s="21">
        <f>EXP(-LN(2)/25)*AV128+(1-EXP(-LN(2)/25))/(LN(2)/25)*Calculateur!AQ129*Calculateur!AS129*VLOOKUP('Données projet'!$B$10,Paramètres!$A$1:$I$89,3,0)*0.475*44/12</f>
        <v>0.45912494988900671</v>
      </c>
      <c r="AW129" s="21">
        <f>EXP(-LN(2)/2)*AW128+(1-EXP(-LN(2)/2))/(LN(2)/2)*AQ129*AT129*VLOOKUP('Données projet'!$B$10,Paramètres!$A$1:$I$89,3,0)*0.475*44/12</f>
        <v>4.0905289114369321E-14</v>
      </c>
      <c r="AX129" s="21">
        <f t="shared" si="60"/>
        <v>0.65055126025686949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5.2446581196581219</v>
      </c>
      <c r="BD129" s="12">
        <f>IF('Données projet'!$A$88&gt;35,BD128+BC129-BL128,IF(A129&lt;'Données projet'!$A$88,$BA$205^A129,IF(A129='Données projet'!$A$88,'Données projet'!$B$88,BD128+BC129-BL128)))</f>
        <v>235.37927350427304</v>
      </c>
      <c r="BE129" s="13">
        <f>BD129*VLOOKUP('Données projet'!$B$11,Paramètres!$A$1:$I$89,3,0)*VLOOKUP('Données projet'!$B$11,Paramètres!$A$1:$I$89,5,0)</f>
        <v>235.00266666666622</v>
      </c>
      <c r="BF129" s="13">
        <f t="shared" si="91"/>
        <v>57.363016677068437</v>
      </c>
      <c r="BG129" s="20">
        <f t="shared" si="61"/>
        <v>509.2035651570045</v>
      </c>
      <c r="BH129" s="59">
        <f t="shared" si="62"/>
        <v>802.53689849033776</v>
      </c>
      <c r="BI129" s="59">
        <f ca="1">AVERAGE(OFFSET($BH$3,0,0,'Données projet'!$E$11+1,1))-AVERAGE(OFFSET($H$3,0,0,'Données projet'!$E$11+1,1))</f>
        <v>245.06609107649069</v>
      </c>
      <c r="BJ129" s="59">
        <f t="shared" si="92"/>
        <v>156.24531945456499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4.0304296432500557</v>
      </c>
      <c r="BQ129" s="21">
        <f>EXP(-LN(2)/25)*BQ128+(1-EXP(-LN(2)/25))/(LN(2)/25)*Calculateur!BL129*Calculateur!BN129*VLOOKUP('Données projet'!$B$11,Paramètres!$A$1:$I$89,3,0)*0.475*44/12</f>
        <v>1.6085386050581985</v>
      </c>
      <c r="BR129" s="21">
        <f>EXP(-LN(2)/2)*BR128+(1-EXP(-LN(2)/2))/(LN(2)/2)*BL129*BO129*VLOOKUP('Données projet'!$B$11,Paramètres!$A$1:$I$89,3,0)*0.475*44/12</f>
        <v>6.3072584508114523E-11</v>
      </c>
      <c r="BS129" s="22">
        <f t="shared" si="63"/>
        <v>5.6389682483713264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-2.5579538487363607E-13</v>
      </c>
      <c r="BZ129" s="13">
        <f>BY129*VLOOKUP('Données projet'!$B$12,Paramètres!$A$1:$I$89,3,0)*VLOOKUP('Données projet'!$B$12,Paramètres!$A$1:$I$89,5,0)</f>
        <v>-2.7932856028201057E-13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173.63857221119594</v>
      </c>
      <c r="CE129" s="59">
        <f t="shared" si="94"/>
        <v>52.373745617370105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0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-6.7984728957526396E-14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175.34314856709307</v>
      </c>
      <c r="T130" s="59">
        <f t="shared" si="88"/>
        <v>296.28950942251339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2.1641231145392381</v>
      </c>
      <c r="AA130" s="21">
        <f>EXP(-LN(2)/25)*AA129+(1-EXP(-LN(2)/25))/(LN(2)/25)*Calculateur!V130*Calculateur!X130*VLOOKUP('Données projet'!$B$9,Paramètres!$A$1:$I$89,3,0)*0.475*44/12</f>
        <v>1.2745078170585824</v>
      </c>
      <c r="AB130" s="21">
        <f>EXP(-LN(2)/2)*AB129+(1-EXP(-LN(2)/2))/(LN(2)/2)*V130*Y130*VLOOKUP('Données projet'!$B$9,Paramètres!$A$1:$I$89,3,0)*0.475*44/12</f>
        <v>6.4345011701350006E-15</v>
      </c>
      <c r="AC130" s="22">
        <f t="shared" si="57"/>
        <v>3.4386309315978267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275.00000000000057</v>
      </c>
      <c r="AJ130" s="13">
        <f>AI130*VLOOKUP('Données projet'!$B$10,Paramètres!$A$1:$I$89,3,0)*VLOOKUP('Données projet'!$B$10,Paramètres!$A$1:$I$89,5,0)</f>
        <v>231.66000000000051</v>
      </c>
      <c r="AK130" s="13">
        <f t="shared" si="89"/>
        <v>56.641461975682923</v>
      </c>
      <c r="AL130" s="20">
        <f t="shared" si="58"/>
        <v>502.12504627431525</v>
      </c>
      <c r="AM130" s="59">
        <f t="shared" si="59"/>
        <v>795.45837960764857</v>
      </c>
      <c r="AN130" s="59">
        <f ca="1">AVERAGE(OFFSET($AM$3,0,0,'Données projet'!$E$10+1,1))-AVERAGE(OFFSET($H$3,0,0,'Données projet'!$E$10+1,1))</f>
        <v>247.67539667223065</v>
      </c>
      <c r="AO130" s="59">
        <f t="shared" si="90"/>
        <v>174.54442616983778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0.18767255718002937</v>
      </c>
      <c r="AV130" s="21">
        <f>EXP(-LN(2)/25)*AV129+(1-EXP(-LN(2)/25))/(LN(2)/25)*Calculateur!AQ130*Calculateur!AS130*VLOOKUP('Données projet'!$B$10,Paramètres!$A$1:$I$89,3,0)*0.475*44/12</f>
        <v>0.44657015398996003</v>
      </c>
      <c r="AW130" s="21">
        <f>EXP(-LN(2)/2)*AW129+(1-EXP(-LN(2)/2))/(LN(2)/2)*AQ130*AT130*VLOOKUP('Données projet'!$B$10,Paramètres!$A$1:$I$89,3,0)*0.475*44/12</f>
        <v>2.8924407319166811E-14</v>
      </c>
      <c r="AX130" s="21">
        <f t="shared" si="60"/>
        <v>0.6342427111700184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5.2446581196581219</v>
      </c>
      <c r="BD130" s="12">
        <f>IF('Données projet'!$A$88&gt;35,BD129+BC130-BL129,IF(A130&lt;'Données projet'!$A$88,$BA$205^A130,IF(A130='Données projet'!$A$88,'Données projet'!$B$88,BD129+BC130-BL129)))</f>
        <v>240.62393162393116</v>
      </c>
      <c r="BE130" s="13">
        <f>BD130*VLOOKUP('Données projet'!$B$11,Paramètres!$A$1:$I$89,3,0)*VLOOKUP('Données projet'!$B$11,Paramètres!$A$1:$I$89,5,0)</f>
        <v>240.23893333333285</v>
      </c>
      <c r="BF130" s="13">
        <f t="shared" si="91"/>
        <v>58.490935175292989</v>
      </c>
      <c r="BG130" s="20">
        <f t="shared" si="61"/>
        <v>520.28785431918993</v>
      </c>
      <c r="BH130" s="59">
        <f t="shared" si="62"/>
        <v>813.6211876525233</v>
      </c>
      <c r="BI130" s="59">
        <f ca="1">AVERAGE(OFFSET($BH$3,0,0,'Données projet'!$E$11+1,1))-AVERAGE(OFFSET($H$3,0,0,'Données projet'!$E$11+1,1))</f>
        <v>245.06609107649069</v>
      </c>
      <c r="BJ130" s="59">
        <f t="shared" si="92"/>
        <v>156.24531945456499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3.9513953762652658</v>
      </c>
      <c r="BQ130" s="21">
        <f>EXP(-LN(2)/25)*BQ129+(1-EXP(-LN(2)/25))/(LN(2)/25)*Calculateur!BL130*Calculateur!BN130*VLOOKUP('Données projet'!$B$11,Paramètres!$A$1:$I$89,3,0)*0.475*44/12</f>
        <v>1.5645530323135131</v>
      </c>
      <c r="BR130" s="21">
        <f>EXP(-LN(2)/2)*BR129+(1-EXP(-LN(2)/2))/(LN(2)/2)*BL130*BO130*VLOOKUP('Données projet'!$B$11,Paramètres!$A$1:$I$89,3,0)*0.475*44/12</f>
        <v>4.4599052212649364E-11</v>
      </c>
      <c r="BS130" s="22">
        <f t="shared" si="63"/>
        <v>5.5159484086233777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-2.5579538487363607E-13</v>
      </c>
      <c r="BZ130" s="13">
        <f>BY130*VLOOKUP('Données projet'!$B$12,Paramètres!$A$1:$I$89,3,0)*VLOOKUP('Données projet'!$B$12,Paramètres!$A$1:$I$89,5,0)</f>
        <v>-2.7932856028201057E-13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173.63857221119594</v>
      </c>
      <c r="CE130" s="59">
        <f t="shared" si="94"/>
        <v>52.373745617370105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0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-6.7984728957526396E-14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175.34314856709307</v>
      </c>
      <c r="T131" s="59">
        <f t="shared" si="88"/>
        <v>296.28950942251339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2.1216859802478858</v>
      </c>
      <c r="AA131" s="21">
        <f>EXP(-LN(2)/25)*AA130+(1-EXP(-LN(2)/25))/(LN(2)/25)*Calculateur!V131*Calculateur!X131*VLOOKUP('Données projet'!$B$9,Paramètres!$A$1:$I$89,3,0)*0.475*44/12</f>
        <v>1.2396563337776623</v>
      </c>
      <c r="AB131" s="21">
        <f>EXP(-LN(2)/2)*AB130+(1-EXP(-LN(2)/2))/(LN(2)/2)*V131*Y131*VLOOKUP('Données projet'!$B$9,Paramètres!$A$1:$I$89,3,0)*0.475*44/12</f>
        <v>4.5498794109552338E-15</v>
      </c>
      <c r="AC131" s="22">
        <f t="shared" si="57"/>
        <v>3.3613423140255527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275.00000000000057</v>
      </c>
      <c r="AJ131" s="13">
        <f>AI131*VLOOKUP('Données projet'!$B$10,Paramètres!$A$1:$I$89,3,0)*VLOOKUP('Données projet'!$B$10,Paramètres!$A$1:$I$89,5,0)</f>
        <v>231.66000000000051</v>
      </c>
      <c r="AK131" s="13">
        <f t="shared" si="89"/>
        <v>56.641461975682923</v>
      </c>
      <c r="AL131" s="20">
        <f t="shared" si="58"/>
        <v>502.12504627431525</v>
      </c>
      <c r="AM131" s="59">
        <f t="shared" si="59"/>
        <v>795.45837960764857</v>
      </c>
      <c r="AN131" s="59">
        <f ca="1">AVERAGE(OFFSET($AM$3,0,0,'Données projet'!$E$10+1,1))-AVERAGE(OFFSET($H$3,0,0,'Données projet'!$E$10+1,1))</f>
        <v>247.67539667223065</v>
      </c>
      <c r="AO131" s="59">
        <f t="shared" si="90"/>
        <v>174.54442616983778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0.183992412802686</v>
      </c>
      <c r="AV131" s="21">
        <f>EXP(-LN(2)/25)*AV130+(1-EXP(-LN(2)/25))/(LN(2)/25)*Calculateur!AQ131*Calculateur!AS131*VLOOKUP('Données projet'!$B$10,Paramètres!$A$1:$I$89,3,0)*0.475*44/12</f>
        <v>0.43435866964500081</v>
      </c>
      <c r="AW131" s="21">
        <f>EXP(-LN(2)/2)*AW130+(1-EXP(-LN(2)/2))/(LN(2)/2)*AQ131*AT131*VLOOKUP('Données projet'!$B$10,Paramètres!$A$1:$I$89,3,0)*0.475*44/12</f>
        <v>2.045264455718466E-14</v>
      </c>
      <c r="AX131" s="21">
        <f t="shared" si="60"/>
        <v>0.6183510824477072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5.2446581196581219</v>
      </c>
      <c r="BD131" s="12">
        <f>IF('Données projet'!$A$88&gt;35,BD130+BC131-BL130,IF(A131&lt;'Données projet'!$A$88,$BA$205^A131,IF(A131='Données projet'!$A$88,'Données projet'!$B$88,BD130+BC131-BL130)))</f>
        <v>245.86858974358927</v>
      </c>
      <c r="BE131" s="13">
        <f>BD131*VLOOKUP('Données projet'!$B$11,Paramètres!$A$1:$I$89,3,0)*VLOOKUP('Données projet'!$B$11,Paramètres!$A$1:$I$89,5,0)</f>
        <v>245.47519999999955</v>
      </c>
      <c r="BF131" s="13">
        <f t="shared" si="91"/>
        <v>59.615995460373888</v>
      </c>
      <c r="BG131" s="20">
        <f t="shared" si="61"/>
        <v>531.36716542681711</v>
      </c>
      <c r="BH131" s="59">
        <f t="shared" si="62"/>
        <v>824.70049876015037</v>
      </c>
      <c r="BI131" s="59">
        <f ca="1">AVERAGE(OFFSET($BH$3,0,0,'Données projet'!$E$11+1,1))-AVERAGE(OFFSET($H$3,0,0,'Données projet'!$E$11+1,1))</f>
        <v>245.06609107649069</v>
      </c>
      <c r="BJ131" s="59">
        <f t="shared" si="92"/>
        <v>156.24531945456499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3.8739109230499045</v>
      </c>
      <c r="BQ131" s="21">
        <f>EXP(-LN(2)/25)*BQ130+(1-EXP(-LN(2)/25))/(LN(2)/25)*Calculateur!BL131*Calculateur!BN131*VLOOKUP('Données projet'!$B$11,Paramètres!$A$1:$I$89,3,0)*0.475*44/12</f>
        <v>1.5217702473686319</v>
      </c>
      <c r="BR131" s="21">
        <f>EXP(-LN(2)/2)*BR130+(1-EXP(-LN(2)/2))/(LN(2)/2)*BL131*BO131*VLOOKUP('Données projet'!$B$11,Paramètres!$A$1:$I$89,3,0)*0.475*44/12</f>
        <v>3.1536292254057262E-11</v>
      </c>
      <c r="BS131" s="22">
        <f t="shared" si="63"/>
        <v>5.3956811704500725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-2.5579538487363607E-13</v>
      </c>
      <c r="BZ131" s="13">
        <f>BY131*VLOOKUP('Données projet'!$B$12,Paramètres!$A$1:$I$89,3,0)*VLOOKUP('Données projet'!$B$12,Paramètres!$A$1:$I$89,5,0)</f>
        <v>-2.7932856028201057E-13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173.63857221119594</v>
      </c>
      <c r="CE131" s="59">
        <f t="shared" si="94"/>
        <v>52.373745617370105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0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-6.7984728957526396E-14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175.34314856709307</v>
      </c>
      <c r="T132" s="59">
        <f t="shared" si="88"/>
        <v>296.28950942251339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2.0800810122758908</v>
      </c>
      <c r="AA132" s="21">
        <f>EXP(-LN(2)/25)*AA131+(1-EXP(-LN(2)/25))/(LN(2)/25)*Calculateur!V132*Calculateur!X132*VLOOKUP('Données projet'!$B$9,Paramètres!$A$1:$I$89,3,0)*0.475*44/12</f>
        <v>1.2057578661398187</v>
      </c>
      <c r="AB132" s="21">
        <f>EXP(-LN(2)/2)*AB131+(1-EXP(-LN(2)/2))/(LN(2)/2)*V132*Y132*VLOOKUP('Données projet'!$B$9,Paramètres!$A$1:$I$89,3,0)*0.475*44/12</f>
        <v>3.2172505850675003E-15</v>
      </c>
      <c r="AC132" s="22">
        <f t="shared" ref="AC132:AC153" si="111">SUM(Z132:AB132)</f>
        <v>3.2858388784157126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275.00000000000057</v>
      </c>
      <c r="AJ132" s="13">
        <f>AI132*VLOOKUP('Données projet'!$B$10,Paramètres!$A$1:$I$89,3,0)*VLOOKUP('Données projet'!$B$10,Paramètres!$A$1:$I$89,5,0)</f>
        <v>231.66000000000051</v>
      </c>
      <c r="AK132" s="13">
        <f t="shared" si="89"/>
        <v>56.641461975682923</v>
      </c>
      <c r="AL132" s="20">
        <f t="shared" ref="AL132:AL153" si="112">(AJ132+AK132)*0.475*44/12</f>
        <v>502.12504627431525</v>
      </c>
      <c r="AM132" s="59">
        <f t="shared" ref="AM132:AM195" si="113">AL132+(AD132+AE132)*44/12</f>
        <v>795.45837960764857</v>
      </c>
      <c r="AN132" s="59">
        <f ca="1">AVERAGE(OFFSET($AM$3,0,0,'Données projet'!$E$10+1,1))-AVERAGE(OFFSET($H$3,0,0,'Données projet'!$E$10+1,1))</f>
        <v>247.67539667223065</v>
      </c>
      <c r="AO132" s="59">
        <f t="shared" si="90"/>
        <v>174.54442616983778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0.18038443381191591</v>
      </c>
      <c r="AV132" s="21">
        <f>EXP(-LN(2)/25)*AV131+(1-EXP(-LN(2)/25))/(LN(2)/25)*Calculateur!AQ132*Calculateur!AS132*VLOOKUP('Données projet'!$B$10,Paramètres!$A$1:$I$89,3,0)*0.475*44/12</f>
        <v>0.42248110898162855</v>
      </c>
      <c r="AW132" s="21">
        <f>EXP(-LN(2)/2)*AW131+(1-EXP(-LN(2)/2))/(LN(2)/2)*AQ132*AT132*VLOOKUP('Données projet'!$B$10,Paramètres!$A$1:$I$89,3,0)*0.475*44/12</f>
        <v>1.4462203659583406E-14</v>
      </c>
      <c r="AX132" s="21">
        <f t="shared" ref="AX132:AX153" si="114">SUM(AU132:AW132)</f>
        <v>0.60286554279355886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5.2446581196581219</v>
      </c>
      <c r="BD132" s="12">
        <f>IF('Données projet'!$A$88&gt;35,BD131+BC132-BL131,IF(A132&lt;'Données projet'!$A$88,$BA$205^A132,IF(A132='Données projet'!$A$88,'Données projet'!$B$88,BD131+BC132-BL131)))</f>
        <v>251.11324786324738</v>
      </c>
      <c r="BE132" s="13">
        <f>BD132*VLOOKUP('Données projet'!$B$11,Paramètres!$A$1:$I$89,3,0)*VLOOKUP('Données projet'!$B$11,Paramètres!$A$1:$I$89,5,0)</f>
        <v>250.71146666666621</v>
      </c>
      <c r="BF132" s="13">
        <f t="shared" si="91"/>
        <v>60.738265524032691</v>
      </c>
      <c r="BG132" s="20">
        <f t="shared" ref="BG132:BG153" si="115">(BE132+BF132)*0.475*44/12</f>
        <v>542.44161689880059</v>
      </c>
      <c r="BH132" s="59">
        <f t="shared" ref="BH132:BH195" si="116">BG132+(AY132+AZ132)*44/12</f>
        <v>835.77495023213396</v>
      </c>
      <c r="BI132" s="59">
        <f ca="1">AVERAGE(OFFSET($BH$3,0,0,'Données projet'!$E$11+1,1))-AVERAGE(OFFSET($H$3,0,0,'Données projet'!$E$11+1,1))</f>
        <v>245.06609107649069</v>
      </c>
      <c r="BJ132" s="59">
        <f t="shared" si="92"/>
        <v>156.24531945456499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3.7979458927012466</v>
      </c>
      <c r="BQ132" s="21">
        <f>EXP(-LN(2)/25)*BQ131+(1-EXP(-LN(2)/25))/(LN(2)/25)*Calculateur!BL132*Calculateur!BN132*VLOOKUP('Données projet'!$B$11,Paramètres!$A$1:$I$89,3,0)*0.475*44/12</f>
        <v>1.4801573599279174</v>
      </c>
      <c r="BR132" s="21">
        <f>EXP(-LN(2)/2)*BR131+(1-EXP(-LN(2)/2))/(LN(2)/2)*BL132*BO132*VLOOKUP('Données projet'!$B$11,Paramètres!$A$1:$I$89,3,0)*0.475*44/12</f>
        <v>2.2299526106324682E-11</v>
      </c>
      <c r="BS132" s="22">
        <f t="shared" ref="BS132:BS153" si="117">SUM(BP132:BR132)</f>
        <v>5.2781032526514631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-2.5579538487363607E-13</v>
      </c>
      <c r="BZ132" s="13">
        <f>BY132*VLOOKUP('Données projet'!$B$12,Paramètres!$A$1:$I$89,3,0)*VLOOKUP('Données projet'!$B$12,Paramètres!$A$1:$I$89,5,0)</f>
        <v>-2.7932856028201057E-13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173.63857221119594</v>
      </c>
      <c r="CE132" s="59">
        <f t="shared" si="94"/>
        <v>52.373745617370105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0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-6.7984728957526396E-14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175.34314856709307</v>
      </c>
      <c r="T133" s="59">
        <f t="shared" ref="T133:T196" si="142">$T$3</f>
        <v>296.28950942251339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2.039291892349302</v>
      </c>
      <c r="AA133" s="21">
        <f>EXP(-LN(2)/25)*AA132+(1-EXP(-LN(2)/25))/(LN(2)/25)*Calculateur!V133*Calculateur!X133*VLOOKUP('Données projet'!$B$9,Paramètres!$A$1:$I$89,3,0)*0.475*44/12</f>
        <v>1.172786353882175</v>
      </c>
      <c r="AB133" s="21">
        <f>EXP(-LN(2)/2)*AB132+(1-EXP(-LN(2)/2))/(LN(2)/2)*V133*Y133*VLOOKUP('Données projet'!$B$9,Paramètres!$A$1:$I$89,3,0)*0.475*44/12</f>
        <v>2.2749397054776169E-15</v>
      </c>
      <c r="AC133" s="22">
        <f t="shared" si="111"/>
        <v>3.2120782462314792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275.00000000000057</v>
      </c>
      <c r="AJ133" s="13">
        <f>AI133*VLOOKUP('Données projet'!$B$10,Paramètres!$A$1:$I$89,3,0)*VLOOKUP('Données projet'!$B$10,Paramètres!$A$1:$I$89,5,0)</f>
        <v>231.66000000000051</v>
      </c>
      <c r="AK133" s="13">
        <f t="shared" ref="AK133:AK153" si="143">EXP(-1.0587+0.8836*LN(AJ133)+0.284)</f>
        <v>56.641461975682923</v>
      </c>
      <c r="AL133" s="20">
        <f t="shared" si="112"/>
        <v>502.12504627431525</v>
      </c>
      <c r="AM133" s="59">
        <f t="shared" si="113"/>
        <v>795.45837960764857</v>
      </c>
      <c r="AN133" s="59">
        <f ca="1">AVERAGE(OFFSET($AM$3,0,0,'Données projet'!$E$10+1,1))-AVERAGE(OFFSET($H$3,0,0,'Données projet'!$E$10+1,1))</f>
        <v>247.67539667223065</v>
      </c>
      <c r="AO133" s="59">
        <f t="shared" ref="AO133:AO196" si="144">$AO$3</f>
        <v>174.54442616983778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0.17684720508850493</v>
      </c>
      <c r="AV133" s="21">
        <f>EXP(-LN(2)/25)*AV132+(1-EXP(-LN(2)/25))/(LN(2)/25)*Calculateur!AQ133*Calculateur!AS133*VLOOKUP('Données projet'!$B$10,Paramètres!$A$1:$I$89,3,0)*0.475*44/12</f>
        <v>0.41092834083920998</v>
      </c>
      <c r="AW133" s="21">
        <f>EXP(-LN(2)/2)*AW132+(1-EXP(-LN(2)/2))/(LN(2)/2)*AQ133*AT133*VLOOKUP('Données projet'!$B$10,Paramètres!$A$1:$I$89,3,0)*0.475*44/12</f>
        <v>1.022632227859233E-14</v>
      </c>
      <c r="AX133" s="21">
        <f t="shared" si="114"/>
        <v>0.58777554592772518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5.2446581196581219</v>
      </c>
      <c r="BD133" s="12">
        <f>IF('Données projet'!$A$88&gt;35,BD132+BC133-BL132,IF(A133&lt;'Données projet'!$A$88,$BA$205^A133,IF(A133='Données projet'!$A$88,'Données projet'!$B$88,BD132+BC133-BL132)))</f>
        <v>256.35790598290549</v>
      </c>
      <c r="BE133" s="13">
        <f>BD133*VLOOKUP('Données projet'!$B$11,Paramètres!$A$1:$I$89,3,0)*VLOOKUP('Données projet'!$B$11,Paramètres!$A$1:$I$89,5,0)</f>
        <v>255.94773333333285</v>
      </c>
      <c r="BF133" s="13">
        <f t="shared" ref="BF133:BF153" si="145">EXP(-1.0587+0.8836*LN(BE133)+0.284)</f>
        <v>61.857810355592548</v>
      </c>
      <c r="BG133" s="20">
        <f t="shared" si="115"/>
        <v>553.51132192487842</v>
      </c>
      <c r="BH133" s="59">
        <f t="shared" si="116"/>
        <v>846.84465525821179</v>
      </c>
      <c r="BI133" s="59">
        <f ca="1">AVERAGE(OFFSET($BH$3,0,0,'Données projet'!$E$11+1,1))-AVERAGE(OFFSET($H$3,0,0,'Données projet'!$E$11+1,1))</f>
        <v>245.06609107649069</v>
      </c>
      <c r="BJ133" s="59">
        <f t="shared" ref="BJ133:BJ196" si="146">$BJ$3</f>
        <v>156.24531945456499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3.7234704902636326</v>
      </c>
      <c r="BQ133" s="21">
        <f>EXP(-LN(2)/25)*BQ132+(1-EXP(-LN(2)/25))/(LN(2)/25)*Calculateur!BL133*Calculateur!BN133*VLOOKUP('Données projet'!$B$11,Paramètres!$A$1:$I$89,3,0)*0.475*44/12</f>
        <v>1.4396823790825959</v>
      </c>
      <c r="BR133" s="21">
        <f>EXP(-LN(2)/2)*BR132+(1-EXP(-LN(2)/2))/(LN(2)/2)*BL133*BO133*VLOOKUP('Données projet'!$B$11,Paramètres!$A$1:$I$89,3,0)*0.475*44/12</f>
        <v>1.5768146127028631E-11</v>
      </c>
      <c r="BS133" s="22">
        <f t="shared" si="117"/>
        <v>5.1631528693619968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-2.5579538487363607E-13</v>
      </c>
      <c r="BZ133" s="13">
        <f>BY133*VLOOKUP('Données projet'!$B$12,Paramètres!$A$1:$I$89,3,0)*VLOOKUP('Données projet'!$B$12,Paramètres!$A$1:$I$89,5,0)</f>
        <v>-2.7932856028201057E-13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173.63857221119594</v>
      </c>
      <c r="CE133" s="59">
        <f t="shared" ref="CE133:CE196" si="148">$CE$3</f>
        <v>52.373745617370105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0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-6.7984728957526396E-14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175.34314856709307</v>
      </c>
      <c r="T134" s="59">
        <f t="shared" si="142"/>
        <v>296.28950942251339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1.999302622185567</v>
      </c>
      <c r="AA134" s="21">
        <f>EXP(-LN(2)/25)*AA133+(1-EXP(-LN(2)/25))/(LN(2)/25)*Calculateur!V134*Calculateur!X134*VLOOKUP('Données projet'!$B$9,Paramètres!$A$1:$I$89,3,0)*0.475*44/12</f>
        <v>1.140716449361113</v>
      </c>
      <c r="AB134" s="21">
        <f>EXP(-LN(2)/2)*AB133+(1-EXP(-LN(2)/2))/(LN(2)/2)*V134*Y134*VLOOKUP('Données projet'!$B$9,Paramètres!$A$1:$I$89,3,0)*0.475*44/12</f>
        <v>1.6086252925337502E-15</v>
      </c>
      <c r="AC134" s="22">
        <f t="shared" si="111"/>
        <v>3.140019071546682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275.00000000000057</v>
      </c>
      <c r="AJ134" s="13">
        <f>AI134*VLOOKUP('Données projet'!$B$10,Paramètres!$A$1:$I$89,3,0)*VLOOKUP('Données projet'!$B$10,Paramètres!$A$1:$I$89,5,0)</f>
        <v>231.66000000000051</v>
      </c>
      <c r="AK134" s="13">
        <f t="shared" si="143"/>
        <v>56.641461975682923</v>
      </c>
      <c r="AL134" s="20">
        <f t="shared" si="112"/>
        <v>502.12504627431525</v>
      </c>
      <c r="AM134" s="59">
        <f t="shared" si="113"/>
        <v>795.45837960764857</v>
      </c>
      <c r="AN134" s="59">
        <f ca="1">AVERAGE(OFFSET($AM$3,0,0,'Données projet'!$E$10+1,1))-AVERAGE(OFFSET($H$3,0,0,'Données projet'!$E$10+1,1))</f>
        <v>247.67539667223065</v>
      </c>
      <c r="AO134" s="59">
        <f t="shared" si="144"/>
        <v>174.54442616983778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0.17337933926286356</v>
      </c>
      <c r="AV134" s="21">
        <f>EXP(-LN(2)/25)*AV133+(1-EXP(-LN(2)/25))/(LN(2)/25)*Calculateur!AQ134*Calculateur!AS134*VLOOKUP('Données projet'!$B$10,Paramètres!$A$1:$I$89,3,0)*0.475*44/12</f>
        <v>0.39969148374917951</v>
      </c>
      <c r="AW134" s="21">
        <f>EXP(-LN(2)/2)*AW133+(1-EXP(-LN(2)/2))/(LN(2)/2)*AQ134*AT134*VLOOKUP('Données projet'!$B$10,Paramètres!$A$1:$I$89,3,0)*0.475*44/12</f>
        <v>7.2311018297917028E-15</v>
      </c>
      <c r="AX134" s="21">
        <f t="shared" si="114"/>
        <v>0.57307082301205026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5.2446581196581219</v>
      </c>
      <c r="BD134" s="12">
        <f>IF('Données projet'!$A$88&gt;35,BD133+BC134-BL133,IF(A134&lt;'Données projet'!$A$88,$BA$205^A134,IF(A134='Données projet'!$A$88,'Données projet'!$B$88,BD133+BC134-BL133)))</f>
        <v>261.60256410256363</v>
      </c>
      <c r="BE134" s="13">
        <f>BD134*VLOOKUP('Données projet'!$B$11,Paramètres!$A$1:$I$89,3,0)*VLOOKUP('Données projet'!$B$11,Paramètres!$A$1:$I$89,5,0)</f>
        <v>261.18399999999951</v>
      </c>
      <c r="BF134" s="13">
        <f t="shared" si="145"/>
        <v>62.974692133225417</v>
      </c>
      <c r="BG134" s="20">
        <f t="shared" si="115"/>
        <v>564.57638879870012</v>
      </c>
      <c r="BH134" s="59">
        <f t="shared" si="116"/>
        <v>857.90972213203349</v>
      </c>
      <c r="BI134" s="59">
        <f ca="1">AVERAGE(OFFSET($BH$3,0,0,'Données projet'!$E$11+1,1))-AVERAGE(OFFSET($H$3,0,0,'Données projet'!$E$11+1,1))</f>
        <v>245.06609107649069</v>
      </c>
      <c r="BJ134" s="59">
        <f t="shared" si="146"/>
        <v>156.24531945456499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3.6504555050423102</v>
      </c>
      <c r="BQ134" s="21">
        <f>EXP(-LN(2)/25)*BQ133+(1-EXP(-LN(2)/25))/(LN(2)/25)*Calculateur!BL134*Calculateur!BN134*VLOOKUP('Données projet'!$B$11,Paramètres!$A$1:$I$89,3,0)*0.475*44/12</f>
        <v>1.4003141887169763</v>
      </c>
      <c r="BR134" s="21">
        <f>EXP(-LN(2)/2)*BR133+(1-EXP(-LN(2)/2))/(LN(2)/2)*BL134*BO134*VLOOKUP('Données projet'!$B$11,Paramètres!$A$1:$I$89,3,0)*0.475*44/12</f>
        <v>1.1149763053162341E-11</v>
      </c>
      <c r="BS134" s="22">
        <f t="shared" si="117"/>
        <v>5.0507696937704365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-2.5579538487363607E-13</v>
      </c>
      <c r="BZ134" s="13">
        <f>BY134*VLOOKUP('Données projet'!$B$12,Paramètres!$A$1:$I$89,3,0)*VLOOKUP('Données projet'!$B$12,Paramètres!$A$1:$I$89,5,0)</f>
        <v>-2.7932856028201057E-13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173.63857221119594</v>
      </c>
      <c r="CE134" s="59">
        <f t="shared" si="148"/>
        <v>52.373745617370105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0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-6.7984728957526396E-14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175.34314856709307</v>
      </c>
      <c r="T135" s="59">
        <f t="shared" si="142"/>
        <v>296.28950942251339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1.9600975172186965</v>
      </c>
      <c r="AA135" s="21">
        <f>EXP(-LN(2)/25)*AA134+(1-EXP(-LN(2)/25))/(LN(2)/25)*Calculateur!V135*Calculateur!X135*VLOOKUP('Données projet'!$B$9,Paramètres!$A$1:$I$89,3,0)*0.475*44/12</f>
        <v>1.1095234980656625</v>
      </c>
      <c r="AB135" s="21">
        <f>EXP(-LN(2)/2)*AB134+(1-EXP(-LN(2)/2))/(LN(2)/2)*V135*Y135*VLOOKUP('Données projet'!$B$9,Paramètres!$A$1:$I$89,3,0)*0.475*44/12</f>
        <v>1.1374698527388085E-15</v>
      </c>
      <c r="AC135" s="22">
        <f t="shared" si="111"/>
        <v>3.0696210152843606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275.00000000000057</v>
      </c>
      <c r="AJ135" s="13">
        <f>AI135*VLOOKUP('Données projet'!$B$10,Paramètres!$A$1:$I$89,3,0)*VLOOKUP('Données projet'!$B$10,Paramètres!$A$1:$I$89,5,0)</f>
        <v>231.66000000000051</v>
      </c>
      <c r="AK135" s="13">
        <f t="shared" si="143"/>
        <v>56.641461975682923</v>
      </c>
      <c r="AL135" s="20">
        <f t="shared" si="112"/>
        <v>502.12504627431525</v>
      </c>
      <c r="AM135" s="59">
        <f t="shared" si="113"/>
        <v>795.45837960764857</v>
      </c>
      <c r="AN135" s="59">
        <f ca="1">AVERAGE(OFFSET($AM$3,0,0,'Données projet'!$E$10+1,1))-AVERAGE(OFFSET($H$3,0,0,'Données projet'!$E$10+1,1))</f>
        <v>247.67539667223065</v>
      </c>
      <c r="AO135" s="59">
        <f t="shared" si="144"/>
        <v>174.54442616983778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0.16997947617087372</v>
      </c>
      <c r="AV135" s="21">
        <f>EXP(-LN(2)/25)*AV134+(1-EXP(-LN(2)/25))/(LN(2)/25)*Calculateur!AQ135*Calculateur!AS135*VLOOKUP('Données projet'!$B$10,Paramètres!$A$1:$I$89,3,0)*0.475*44/12</f>
        <v>0.38876189910719655</v>
      </c>
      <c r="AW135" s="21">
        <f>EXP(-LN(2)/2)*AW134+(1-EXP(-LN(2)/2))/(LN(2)/2)*AQ135*AT135*VLOOKUP('Données projet'!$B$10,Paramètres!$A$1:$I$89,3,0)*0.475*44/12</f>
        <v>5.1131611392961651E-15</v>
      </c>
      <c r="AX135" s="21">
        <f t="shared" si="114"/>
        <v>0.55874137527807544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5.2446581196581219</v>
      </c>
      <c r="BD135" s="12">
        <f>IF('Données projet'!$A$88&gt;35,BD134+BC135-BL134,IF(A135&lt;'Données projet'!$A$88,$BA$205^A135,IF(A135='Données projet'!$A$88,'Données projet'!$B$88,BD134+BC135-BL134)))</f>
        <v>266.84722222222177</v>
      </c>
      <c r="BE135" s="13">
        <f>BD135*VLOOKUP('Données projet'!$B$11,Paramètres!$A$1:$I$89,3,0)*VLOOKUP('Données projet'!$B$11,Paramètres!$A$1:$I$89,5,0)</f>
        <v>266.42026666666624</v>
      </c>
      <c r="BF135" s="13">
        <f t="shared" si="145"/>
        <v>64.08897039943048</v>
      </c>
      <c r="BG135" s="20">
        <f t="shared" si="115"/>
        <v>575.63692122345174</v>
      </c>
      <c r="BH135" s="59">
        <f t="shared" si="116"/>
        <v>868.97025455678499</v>
      </c>
      <c r="BI135" s="59">
        <f ca="1">AVERAGE(OFFSET($BH$3,0,0,'Données projet'!$E$11+1,1))-AVERAGE(OFFSET($H$3,0,0,'Données projet'!$E$11+1,1))</f>
        <v>245.06609107649069</v>
      </c>
      <c r="BJ135" s="59">
        <f t="shared" si="146"/>
        <v>156.24531945456499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3.5788722991464343</v>
      </c>
      <c r="BQ135" s="21">
        <f>EXP(-LN(2)/25)*BQ134+(1-EXP(-LN(2)/25))/(LN(2)/25)*Calculateur!BL135*Calculateur!BN135*VLOOKUP('Données projet'!$B$11,Paramètres!$A$1:$I$89,3,0)*0.475*44/12</f>
        <v>1.3620225235871879</v>
      </c>
      <c r="BR135" s="21">
        <f>EXP(-LN(2)/2)*BR134+(1-EXP(-LN(2)/2))/(LN(2)/2)*BL135*BO135*VLOOKUP('Données projet'!$B$11,Paramètres!$A$1:$I$89,3,0)*0.475*44/12</f>
        <v>7.8840730635143154E-12</v>
      </c>
      <c r="BS135" s="22">
        <f t="shared" si="117"/>
        <v>4.9408948227415062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-2.5579538487363607E-13</v>
      </c>
      <c r="BZ135" s="13">
        <f>BY135*VLOOKUP('Données projet'!$B$12,Paramètres!$A$1:$I$89,3,0)*VLOOKUP('Données projet'!$B$12,Paramètres!$A$1:$I$89,5,0)</f>
        <v>-2.7932856028201057E-13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173.63857221119594</v>
      </c>
      <c r="CE135" s="59">
        <f t="shared" si="148"/>
        <v>52.373745617370105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0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-6.7984728957526396E-14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175.34314856709307</v>
      </c>
      <c r="T136" s="59">
        <f t="shared" si="142"/>
        <v>296.28950942251339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1.9216612004474736</v>
      </c>
      <c r="AA136" s="21">
        <f>EXP(-LN(2)/25)*AA135+(1-EXP(-LN(2)/25))/(LN(2)/25)*Calculateur!V136*Calculateur!X136*VLOOKUP('Données projet'!$B$9,Paramètres!$A$1:$I$89,3,0)*0.475*44/12</f>
        <v>1.079183519663752</v>
      </c>
      <c r="AB136" s="21">
        <f>EXP(-LN(2)/2)*AB135+(1-EXP(-LN(2)/2))/(LN(2)/2)*V136*Y136*VLOOKUP('Données projet'!$B$9,Paramètres!$A$1:$I$89,3,0)*0.475*44/12</f>
        <v>8.0431264626687508E-16</v>
      </c>
      <c r="AC136" s="22">
        <f t="shared" si="111"/>
        <v>3.0008447201112265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275.00000000000057</v>
      </c>
      <c r="AJ136" s="13">
        <f>AI136*VLOOKUP('Données projet'!$B$10,Paramètres!$A$1:$I$89,3,0)*VLOOKUP('Données projet'!$B$10,Paramètres!$A$1:$I$89,5,0)</f>
        <v>231.66000000000051</v>
      </c>
      <c r="AK136" s="13">
        <f t="shared" si="143"/>
        <v>56.641461975682923</v>
      </c>
      <c r="AL136" s="20">
        <f t="shared" si="112"/>
        <v>502.12504627431525</v>
      </c>
      <c r="AM136" s="59">
        <f t="shared" si="113"/>
        <v>795.45837960764857</v>
      </c>
      <c r="AN136" s="59">
        <f ca="1">AVERAGE(OFFSET($AM$3,0,0,'Données projet'!$E$10+1,1))-AVERAGE(OFFSET($H$3,0,0,'Données projet'!$E$10+1,1))</f>
        <v>247.67539667223065</v>
      </c>
      <c r="AO136" s="59">
        <f t="shared" si="144"/>
        <v>174.54442616983778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0.16664628232040607</v>
      </c>
      <c r="AV136" s="21">
        <f>EXP(-LN(2)/25)*AV135+(1-EXP(-LN(2)/25))/(LN(2)/25)*Calculateur!AQ136*Calculateur!AS136*VLOOKUP('Données projet'!$B$10,Paramètres!$A$1:$I$89,3,0)*0.475*44/12</f>
        <v>0.3781311845320105</v>
      </c>
      <c r="AW136" s="21">
        <f>EXP(-LN(2)/2)*AW135+(1-EXP(-LN(2)/2))/(LN(2)/2)*AQ136*AT136*VLOOKUP('Données projet'!$B$10,Paramètres!$A$1:$I$89,3,0)*0.475*44/12</f>
        <v>3.6155509148958514E-15</v>
      </c>
      <c r="AX136" s="21">
        <f t="shared" si="114"/>
        <v>0.54477746685242023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5.2446581196581219</v>
      </c>
      <c r="BD136" s="12">
        <f>IF('Données projet'!$A$88&gt;35,BD135+BC136-BL135,IF(A136&lt;'Données projet'!$A$88,$BA$205^A136,IF(A136='Données projet'!$A$88,'Données projet'!$B$88,BD135+BC136-BL135)))</f>
        <v>272.09188034187991</v>
      </c>
      <c r="BE136" s="13">
        <f>BD136*VLOOKUP('Données projet'!$B$11,Paramètres!$A$1:$I$89,3,0)*VLOOKUP('Données projet'!$B$11,Paramètres!$A$1:$I$89,5,0)</f>
        <v>271.6565333333329</v>
      </c>
      <c r="BF136" s="13">
        <f t="shared" si="145"/>
        <v>65.200702222326498</v>
      </c>
      <c r="BG136" s="20">
        <f t="shared" si="115"/>
        <v>586.69301859277346</v>
      </c>
      <c r="BH136" s="59">
        <f t="shared" si="116"/>
        <v>880.02635192610683</v>
      </c>
      <c r="BI136" s="59">
        <f ca="1">AVERAGE(OFFSET($BH$3,0,0,'Données projet'!$E$11+1,1))-AVERAGE(OFFSET($H$3,0,0,'Données projet'!$E$11+1,1))</f>
        <v>245.06609107649069</v>
      </c>
      <c r="BJ136" s="59">
        <f t="shared" si="146"/>
        <v>156.24531945456499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3.508692796256732</v>
      </c>
      <c r="BQ136" s="21">
        <f>EXP(-LN(2)/25)*BQ135+(1-EXP(-LN(2)/25))/(LN(2)/25)*Calculateur!BL136*Calculateur!BN136*VLOOKUP('Données projet'!$B$11,Paramètres!$A$1:$I$89,3,0)*0.475*44/12</f>
        <v>1.3247779460540448</v>
      </c>
      <c r="BR136" s="21">
        <f>EXP(-LN(2)/2)*BR135+(1-EXP(-LN(2)/2))/(LN(2)/2)*BL136*BO136*VLOOKUP('Données projet'!$B$11,Paramètres!$A$1:$I$89,3,0)*0.475*44/12</f>
        <v>5.5748815265811705E-12</v>
      </c>
      <c r="BS136" s="22">
        <f t="shared" si="117"/>
        <v>4.8334707423163517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-2.5579538487363607E-13</v>
      </c>
      <c r="BZ136" s="13">
        <f>BY136*VLOOKUP('Données projet'!$B$12,Paramètres!$A$1:$I$89,3,0)*VLOOKUP('Données projet'!$B$12,Paramètres!$A$1:$I$89,5,0)</f>
        <v>-2.7932856028201057E-13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173.63857221119594</v>
      </c>
      <c r="CE136" s="59">
        <f t="shared" si="148"/>
        <v>52.373745617370105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0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-6.7984728957526396E-14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175.34314856709307</v>
      </c>
      <c r="T137" s="59">
        <f t="shared" si="142"/>
        <v>296.28950942251339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1.8839785964042959</v>
      </c>
      <c r="AA137" s="21">
        <f>EXP(-LN(2)/25)*AA136+(1-EXP(-LN(2)/25))/(LN(2)/25)*Calculateur!V137*Calculateur!X137*VLOOKUP('Données projet'!$B$9,Paramètres!$A$1:$I$89,3,0)*0.475*44/12</f>
        <v>1.0496731895667519</v>
      </c>
      <c r="AB137" s="21">
        <f>EXP(-LN(2)/2)*AB136+(1-EXP(-LN(2)/2))/(LN(2)/2)*V137*Y137*VLOOKUP('Données projet'!$B$9,Paramètres!$A$1:$I$89,3,0)*0.475*44/12</f>
        <v>5.6873492636940423E-16</v>
      </c>
      <c r="AC137" s="22">
        <f t="shared" si="111"/>
        <v>2.933651785971048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275.00000000000057</v>
      </c>
      <c r="AJ137" s="13">
        <f>AI137*VLOOKUP('Données projet'!$B$10,Paramètres!$A$1:$I$89,3,0)*VLOOKUP('Données projet'!$B$10,Paramètres!$A$1:$I$89,5,0)</f>
        <v>231.66000000000051</v>
      </c>
      <c r="AK137" s="13">
        <f t="shared" si="143"/>
        <v>56.641461975682923</v>
      </c>
      <c r="AL137" s="20">
        <f t="shared" si="112"/>
        <v>502.12504627431525</v>
      </c>
      <c r="AM137" s="59">
        <f t="shared" si="113"/>
        <v>795.45837960764857</v>
      </c>
      <c r="AN137" s="59">
        <f ca="1">AVERAGE(OFFSET($AM$3,0,0,'Données projet'!$E$10+1,1))-AVERAGE(OFFSET($H$3,0,0,'Données projet'!$E$10+1,1))</f>
        <v>247.67539667223065</v>
      </c>
      <c r="AO137" s="59">
        <f t="shared" si="144"/>
        <v>174.54442616983778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0.16337845036829859</v>
      </c>
      <c r="AV137" s="21">
        <f>EXP(-LN(2)/25)*AV136+(1-EXP(-LN(2)/25))/(LN(2)/25)*Calculateur!AQ137*Calculateur!AS137*VLOOKUP('Données projet'!$B$10,Paramètres!$A$1:$I$89,3,0)*0.475*44/12</f>
        <v>0.36779116740592793</v>
      </c>
      <c r="AW137" s="21">
        <f>EXP(-LN(2)/2)*AW136+(1-EXP(-LN(2)/2))/(LN(2)/2)*AQ137*AT137*VLOOKUP('Données projet'!$B$10,Paramètres!$A$1:$I$89,3,0)*0.475*44/12</f>
        <v>2.5565805696480826E-15</v>
      </c>
      <c r="AX137" s="21">
        <f t="shared" si="114"/>
        <v>0.53116961777422911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5.2446581196581219</v>
      </c>
      <c r="BD137" s="12">
        <f>IF('Données projet'!$A$88&gt;35,BD136+BC137-BL136,IF(A137&lt;'Données projet'!$A$88,$BA$205^A137,IF(A137='Données projet'!$A$88,'Données projet'!$B$88,BD136+BC137-BL136)))</f>
        <v>277.33653846153805</v>
      </c>
      <c r="BE137" s="13">
        <f>BD137*VLOOKUP('Données projet'!$B$11,Paramètres!$A$1:$I$89,3,0)*VLOOKUP('Données projet'!$B$11,Paramètres!$A$1:$I$89,5,0)</f>
        <v>276.89279999999962</v>
      </c>
      <c r="BF137" s="13">
        <f t="shared" si="145"/>
        <v>66.309942344156951</v>
      </c>
      <c r="BG137" s="20">
        <f t="shared" si="115"/>
        <v>597.74477624940607</v>
      </c>
      <c r="BH137" s="59">
        <f t="shared" si="116"/>
        <v>891.07810958273944</v>
      </c>
      <c r="BI137" s="59">
        <f ca="1">AVERAGE(OFFSET($BH$3,0,0,'Données projet'!$E$11+1,1))-AVERAGE(OFFSET($H$3,0,0,'Données projet'!$E$11+1,1))</f>
        <v>245.06609107649069</v>
      </c>
      <c r="BJ137" s="59">
        <f t="shared" si="146"/>
        <v>156.24531945456499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3.4398894706134269</v>
      </c>
      <c r="BQ137" s="21">
        <f>EXP(-LN(2)/25)*BQ136+(1-EXP(-LN(2)/25))/(LN(2)/25)*Calculateur!BL137*Calculateur!BN137*VLOOKUP('Données projet'!$B$11,Paramètres!$A$1:$I$89,3,0)*0.475*44/12</f>
        <v>1.2885518234521525</v>
      </c>
      <c r="BR137" s="21">
        <f>EXP(-LN(2)/2)*BR136+(1-EXP(-LN(2)/2))/(LN(2)/2)*BL137*BO137*VLOOKUP('Données projet'!$B$11,Paramètres!$A$1:$I$89,3,0)*0.475*44/12</f>
        <v>3.9420365317571577E-12</v>
      </c>
      <c r="BS137" s="22">
        <f t="shared" si="117"/>
        <v>4.7284412940695209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-2.5579538487363607E-13</v>
      </c>
      <c r="BZ137" s="13">
        <f>BY137*VLOOKUP('Données projet'!$B$12,Paramètres!$A$1:$I$89,3,0)*VLOOKUP('Données projet'!$B$12,Paramètres!$A$1:$I$89,5,0)</f>
        <v>-2.7932856028201057E-13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173.63857221119594</v>
      </c>
      <c r="CE137" s="59">
        <f t="shared" si="148"/>
        <v>52.373745617370105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0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-6.7984728957526396E-14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175.34314856709307</v>
      </c>
      <c r="T138" s="59">
        <f t="shared" si="142"/>
        <v>296.28950942251339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1.847034925242286</v>
      </c>
      <c r="AA138" s="21">
        <f>EXP(-LN(2)/25)*AA137+(1-EXP(-LN(2)/25))/(LN(2)/25)*Calculateur!V138*Calculateur!X138*VLOOKUP('Données projet'!$B$9,Paramètres!$A$1:$I$89,3,0)*0.475*44/12</f>
        <v>1.020969820998135</v>
      </c>
      <c r="AB138" s="21">
        <f>EXP(-LN(2)/2)*AB137+(1-EXP(-LN(2)/2))/(LN(2)/2)*V138*Y138*VLOOKUP('Données projet'!$B$9,Paramètres!$A$1:$I$89,3,0)*0.475*44/12</f>
        <v>4.0215632313343754E-16</v>
      </c>
      <c r="AC138" s="22">
        <f t="shared" si="111"/>
        <v>2.8680047462404215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275.00000000000057</v>
      </c>
      <c r="AJ138" s="13">
        <f>AI138*VLOOKUP('Données projet'!$B$10,Paramètres!$A$1:$I$89,3,0)*VLOOKUP('Données projet'!$B$10,Paramètres!$A$1:$I$89,5,0)</f>
        <v>231.66000000000051</v>
      </c>
      <c r="AK138" s="13">
        <f t="shared" si="143"/>
        <v>56.641461975682923</v>
      </c>
      <c r="AL138" s="20">
        <f t="shared" si="112"/>
        <v>502.12504627431525</v>
      </c>
      <c r="AM138" s="59">
        <f t="shared" si="113"/>
        <v>795.45837960764857</v>
      </c>
      <c r="AN138" s="59">
        <f ca="1">AVERAGE(OFFSET($AM$3,0,0,'Données projet'!$E$10+1,1))-AVERAGE(OFFSET($H$3,0,0,'Données projet'!$E$10+1,1))</f>
        <v>247.67539667223065</v>
      </c>
      <c r="AO138" s="59">
        <f t="shared" si="144"/>
        <v>174.54442616983778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0.16017469860759126</v>
      </c>
      <c r="AV138" s="21">
        <f>EXP(-LN(2)/25)*AV137+(1-EXP(-LN(2)/25))/(LN(2)/25)*Calculateur!AQ138*Calculateur!AS138*VLOOKUP('Données projet'!$B$10,Paramètres!$A$1:$I$89,3,0)*0.475*44/12</f>
        <v>0.35773389859191596</v>
      </c>
      <c r="AW138" s="21">
        <f>EXP(-LN(2)/2)*AW137+(1-EXP(-LN(2)/2))/(LN(2)/2)*AQ138*AT138*VLOOKUP('Données projet'!$B$10,Paramètres!$A$1:$I$89,3,0)*0.475*44/12</f>
        <v>1.8077754574479257E-15</v>
      </c>
      <c r="AX138" s="21">
        <f t="shared" si="114"/>
        <v>0.51790859719950899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5.2446581196581219</v>
      </c>
      <c r="BD138" s="12">
        <f>IF('Données projet'!$A$88&gt;35,BD137+BC138-BL137,IF(A138&lt;'Données projet'!$A$88,$BA$205^A138,IF(A138='Données projet'!$A$88,'Données projet'!$B$88,BD137+BC138-BL137)))</f>
        <v>282.5811965811962</v>
      </c>
      <c r="BE138" s="13">
        <f>BD138*VLOOKUP('Données projet'!$B$11,Paramètres!$A$1:$I$89,3,0)*VLOOKUP('Données projet'!$B$11,Paramètres!$A$1:$I$89,5,0)</f>
        <v>282.12906666666629</v>
      </c>
      <c r="BF138" s="13">
        <f t="shared" si="145"/>
        <v>67.416743318244173</v>
      </c>
      <c r="BG138" s="20">
        <f t="shared" si="115"/>
        <v>608.79228572371903</v>
      </c>
      <c r="BH138" s="59">
        <f t="shared" si="116"/>
        <v>902.12561905705229</v>
      </c>
      <c r="BI138" s="59">
        <f ca="1">AVERAGE(OFFSET($BH$3,0,0,'Données projet'!$E$11+1,1))-AVERAGE(OFFSET($H$3,0,0,'Données projet'!$E$11+1,1))</f>
        <v>245.06609107649069</v>
      </c>
      <c r="BJ138" s="59">
        <f t="shared" si="146"/>
        <v>156.24531945456499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3.3724353362201018</v>
      </c>
      <c r="BQ138" s="21">
        <f>EXP(-LN(2)/25)*BQ137+(1-EXP(-LN(2)/25))/(LN(2)/25)*Calculateur!BL138*Calculateur!BN138*VLOOKUP('Données projet'!$B$11,Paramètres!$A$1:$I$89,3,0)*0.475*44/12</f>
        <v>1.253316306077858</v>
      </c>
      <c r="BR138" s="21">
        <f>EXP(-LN(2)/2)*BR137+(1-EXP(-LN(2)/2))/(LN(2)/2)*BL138*BO138*VLOOKUP('Données projet'!$B$11,Paramètres!$A$1:$I$89,3,0)*0.475*44/12</f>
        <v>2.7874407632905853E-12</v>
      </c>
      <c r="BS138" s="22">
        <f t="shared" si="117"/>
        <v>4.625751642300747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-2.5579538487363607E-13</v>
      </c>
      <c r="BZ138" s="13">
        <f>BY138*VLOOKUP('Données projet'!$B$12,Paramètres!$A$1:$I$89,3,0)*VLOOKUP('Données projet'!$B$12,Paramètres!$A$1:$I$89,5,0)</f>
        <v>-2.7932856028201057E-13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173.63857221119594</v>
      </c>
      <c r="CE138" s="59">
        <f t="shared" si="148"/>
        <v>52.373745617370105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0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-6.7984728957526396E-14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175.34314856709307</v>
      </c>
      <c r="T139" s="59">
        <f t="shared" si="142"/>
        <v>296.28950942251339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1.8108156969383487</v>
      </c>
      <c r="AA139" s="21">
        <f>EXP(-LN(2)/25)*AA138+(1-EXP(-LN(2)/25))/(LN(2)/25)*Calculateur!V139*Calculateur!X139*VLOOKUP('Données projet'!$B$9,Paramètres!$A$1:$I$89,3,0)*0.475*44/12</f>
        <v>0.9930513475524716</v>
      </c>
      <c r="AB139" s="21">
        <f>EXP(-LN(2)/2)*AB138+(1-EXP(-LN(2)/2))/(LN(2)/2)*V139*Y139*VLOOKUP('Données projet'!$B$9,Paramètres!$A$1:$I$89,3,0)*0.475*44/12</f>
        <v>2.8436746318470211E-16</v>
      </c>
      <c r="AC139" s="22">
        <f t="shared" si="111"/>
        <v>2.8038670444908207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275.00000000000057</v>
      </c>
      <c r="AJ139" s="13">
        <f>AI139*VLOOKUP('Données projet'!$B$10,Paramètres!$A$1:$I$89,3,0)*VLOOKUP('Données projet'!$B$10,Paramètres!$A$1:$I$89,5,0)</f>
        <v>231.66000000000051</v>
      </c>
      <c r="AK139" s="13">
        <f t="shared" si="143"/>
        <v>56.641461975682923</v>
      </c>
      <c r="AL139" s="20">
        <f t="shared" si="112"/>
        <v>502.12504627431525</v>
      </c>
      <c r="AM139" s="59">
        <f t="shared" si="113"/>
        <v>795.45837960764857</v>
      </c>
      <c r="AN139" s="59">
        <f ca="1">AVERAGE(OFFSET($AM$3,0,0,'Données projet'!$E$10+1,1))-AVERAGE(OFFSET($H$3,0,0,'Données projet'!$E$10+1,1))</f>
        <v>247.67539667223065</v>
      </c>
      <c r="AO139" s="59">
        <f t="shared" si="144"/>
        <v>174.54442616983778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0.15703377046481579</v>
      </c>
      <c r="AV139" s="21">
        <f>EXP(-LN(2)/25)*AV138+(1-EXP(-LN(2)/25))/(LN(2)/25)*Calculateur!AQ139*Calculateur!AS139*VLOOKUP('Données projet'!$B$10,Paramètres!$A$1:$I$89,3,0)*0.475*44/12</f>
        <v>0.34795164632251191</v>
      </c>
      <c r="AW139" s="21">
        <f>EXP(-LN(2)/2)*AW138+(1-EXP(-LN(2)/2))/(LN(2)/2)*AQ139*AT139*VLOOKUP('Données projet'!$B$10,Paramètres!$A$1:$I$89,3,0)*0.475*44/12</f>
        <v>1.2782902848240413E-15</v>
      </c>
      <c r="AX139" s="21">
        <f t="shared" si="114"/>
        <v>0.504985416787329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5.2446581196581219</v>
      </c>
      <c r="BD139" s="12">
        <f>IF('Données projet'!$A$88&gt;35,BD138+BC139-BL138,IF(A139&lt;'Données projet'!$A$88,$BA$205^A139,IF(A139='Données projet'!$A$88,'Données projet'!$B$88,BD138+BC139-BL138)))</f>
        <v>287.82585470085434</v>
      </c>
      <c r="BE139" s="13">
        <f>BD139*VLOOKUP('Données projet'!$B$11,Paramètres!$A$1:$I$89,3,0)*VLOOKUP('Données projet'!$B$11,Paramètres!$A$1:$I$89,5,0)</f>
        <v>287.36533333333301</v>
      </c>
      <c r="BF139" s="13">
        <f t="shared" si="145"/>
        <v>68.521155635488654</v>
      </c>
      <c r="BG139" s="20">
        <f t="shared" si="115"/>
        <v>619.83563495403098</v>
      </c>
      <c r="BH139" s="59">
        <f t="shared" si="116"/>
        <v>913.16896828736435</v>
      </c>
      <c r="BI139" s="59">
        <f ca="1">AVERAGE(OFFSET($BH$3,0,0,'Données projet'!$E$11+1,1))-AVERAGE(OFFSET($H$3,0,0,'Données projet'!$E$11+1,1))</f>
        <v>245.06609107649069</v>
      </c>
      <c r="BJ139" s="59">
        <f t="shared" si="146"/>
        <v>156.24531945456499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3.3063039362592708</v>
      </c>
      <c r="BQ139" s="21">
        <f>EXP(-LN(2)/25)*BQ138+(1-EXP(-LN(2)/25))/(LN(2)/25)*Calculateur!BL139*Calculateur!BN139*VLOOKUP('Données projet'!$B$11,Paramètres!$A$1:$I$89,3,0)*0.475*44/12</f>
        <v>1.2190443057791189</v>
      </c>
      <c r="BR139" s="21">
        <f>EXP(-LN(2)/2)*BR138+(1-EXP(-LN(2)/2))/(LN(2)/2)*BL139*BO139*VLOOKUP('Données projet'!$B$11,Paramètres!$A$1:$I$89,3,0)*0.475*44/12</f>
        <v>1.9710182658785788E-12</v>
      </c>
      <c r="BS139" s="22">
        <f t="shared" si="117"/>
        <v>4.5253482420403603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-2.5579538487363607E-13</v>
      </c>
      <c r="BZ139" s="13">
        <f>BY139*VLOOKUP('Données projet'!$B$12,Paramètres!$A$1:$I$89,3,0)*VLOOKUP('Données projet'!$B$12,Paramètres!$A$1:$I$89,5,0)</f>
        <v>-2.7932856028201057E-13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173.63857221119594</v>
      </c>
      <c r="CE139" s="59">
        <f t="shared" si="148"/>
        <v>52.373745617370105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0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-6.7984728957526396E-14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175.34314856709307</v>
      </c>
      <c r="T140" s="59">
        <f t="shared" si="142"/>
        <v>296.28950942251339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1.7753067056099037</v>
      </c>
      <c r="AA140" s="21">
        <f>EXP(-LN(2)/25)*AA139+(1-EXP(-LN(2)/25))/(LN(2)/25)*Calculateur!V140*Calculateur!X140*VLOOKUP('Données projet'!$B$9,Paramètres!$A$1:$I$89,3,0)*0.475*44/12</f>
        <v>0.96589630623134859</v>
      </c>
      <c r="AB140" s="21">
        <f>EXP(-LN(2)/2)*AB139+(1-EXP(-LN(2)/2))/(LN(2)/2)*V140*Y140*VLOOKUP('Données projet'!$B$9,Paramètres!$A$1:$I$89,3,0)*0.475*44/12</f>
        <v>2.0107816156671877E-16</v>
      </c>
      <c r="AC140" s="22">
        <f t="shared" si="111"/>
        <v>2.741203011841252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275.00000000000057</v>
      </c>
      <c r="AJ140" s="13">
        <f>AI140*VLOOKUP('Données projet'!$B$10,Paramètres!$A$1:$I$89,3,0)*VLOOKUP('Données projet'!$B$10,Paramètres!$A$1:$I$89,5,0)</f>
        <v>231.66000000000051</v>
      </c>
      <c r="AK140" s="13">
        <f t="shared" si="143"/>
        <v>56.641461975682923</v>
      </c>
      <c r="AL140" s="20">
        <f t="shared" si="112"/>
        <v>502.12504627431525</v>
      </c>
      <c r="AM140" s="59">
        <f t="shared" si="113"/>
        <v>795.45837960764857</v>
      </c>
      <c r="AN140" s="59">
        <f ca="1">AVERAGE(OFFSET($AM$3,0,0,'Données projet'!$E$10+1,1))-AVERAGE(OFFSET($H$3,0,0,'Données projet'!$E$10+1,1))</f>
        <v>247.67539667223065</v>
      </c>
      <c r="AO140" s="59">
        <f t="shared" si="144"/>
        <v>174.54442616983778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0.15395443400714312</v>
      </c>
      <c r="AV140" s="21">
        <f>EXP(-LN(2)/25)*AV139+(1-EXP(-LN(2)/25))/(LN(2)/25)*Calculateur!AQ140*Calculateur!AS140*VLOOKUP('Données projet'!$B$10,Paramètres!$A$1:$I$89,3,0)*0.475*44/12</f>
        <v>0.33843689025584101</v>
      </c>
      <c r="AW140" s="21">
        <f>EXP(-LN(2)/2)*AW139+(1-EXP(-LN(2)/2))/(LN(2)/2)*AQ140*AT140*VLOOKUP('Données projet'!$B$10,Paramètres!$A$1:$I$89,3,0)*0.475*44/12</f>
        <v>9.0388772872396285E-16</v>
      </c>
      <c r="AX140" s="21">
        <f t="shared" si="114"/>
        <v>0.49239132426298504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>
        <f>VLOOKUP(A140,'Données projet'!$A$87:$I$107,2,0)</f>
        <v>293.07051282051282</v>
      </c>
      <c r="BB140" s="12">
        <f>VLOOKUP(A140,'Données projet'!$A$87:$I$107,9,0)</f>
        <v>5.2446581196581219</v>
      </c>
      <c r="BC140" s="12">
        <f t="array" ref="BC140">INDEX(BB:BB,MIN(IF(ISNUMBER(BB140:BB336),ROW(BB140:BB336),"")))</f>
        <v>5.2446581196581219</v>
      </c>
      <c r="BD140" s="12">
        <f>IF('Données projet'!$A$88&gt;35,BD139+BC140-BL139,IF(A140&lt;'Données projet'!$A$88,$BA$205^A140,IF(A140='Données projet'!$A$88,'Données projet'!$B$88,BD139+BC140-BL139)))</f>
        <v>293.07051282051248</v>
      </c>
      <c r="BE140" s="13">
        <f>BD140*VLOOKUP('Données projet'!$B$11,Paramètres!$A$1:$I$89,3,0)*VLOOKUP('Données projet'!$B$11,Paramètres!$A$1:$I$89,5,0)</f>
        <v>292.60159999999968</v>
      </c>
      <c r="BF140" s="13">
        <f t="shared" si="145"/>
        <v>69.62322784138739</v>
      </c>
      <c r="BG140" s="20">
        <f t="shared" si="115"/>
        <v>630.87490849041581</v>
      </c>
      <c r="BH140" s="59">
        <f t="shared" si="116"/>
        <v>924.20824182374918</v>
      </c>
      <c r="BI140" s="59">
        <f ca="1">AVERAGE(OFFSET($BH$3,0,0,'Données projet'!$E$11+1,1))-AVERAGE(OFFSET($H$3,0,0,'Données projet'!$E$11+1,1))</f>
        <v>245.06609107649069</v>
      </c>
      <c r="BJ140" s="59">
        <f t="shared" si="146"/>
        <v>156.24531945456499</v>
      </c>
      <c r="BK140" s="15">
        <f>IF(ISNA(VLOOKUP(A140,'Données projet'!$A$87:$I$107,3,0)),0,VLOOKUP(A140,'Données projet'!$A$87:$I$107,3,0))</f>
        <v>11</v>
      </c>
      <c r="BL140" s="15">
        <f>IF(ISNA(VLOOKUP(A140,'Données projet'!$A$87:$I$107,4,0)),0,VLOOKUP(A140,'Données projet'!$A$87:$I$107,4,0))</f>
        <v>51.160256410256409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3.2414693327155004</v>
      </c>
      <c r="BQ140" s="21">
        <f>EXP(-LN(2)/25)*BQ139+(1-EXP(-LN(2)/25))/(LN(2)/25)*Calculateur!BL140*Calculateur!BN140*VLOOKUP('Données projet'!$B$11,Paramètres!$A$1:$I$89,3,0)*0.475*44/12</f>
        <v>1.185709475130835</v>
      </c>
      <c r="BR140" s="21">
        <f>EXP(-LN(2)/2)*BR139+(1-EXP(-LN(2)/2))/(LN(2)/2)*BL140*BO140*VLOOKUP('Données projet'!$B$11,Paramètres!$A$1:$I$89,3,0)*0.475*44/12</f>
        <v>1.3937203816452926E-12</v>
      </c>
      <c r="BS140" s="22">
        <f t="shared" si="117"/>
        <v>4.4271788078477288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-2.5579538487363607E-13</v>
      </c>
      <c r="BZ140" s="13">
        <f>BY140*VLOOKUP('Données projet'!$B$12,Paramètres!$A$1:$I$89,3,0)*VLOOKUP('Données projet'!$B$12,Paramètres!$A$1:$I$89,5,0)</f>
        <v>-2.7932856028201057E-13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173.63857221119594</v>
      </c>
      <c r="CE140" s="59">
        <f t="shared" si="148"/>
        <v>52.373745617370105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0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-6.7984728957526396E-14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175.34314856709307</v>
      </c>
      <c r="T141" s="59">
        <f t="shared" si="142"/>
        <v>296.28950942251339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1.7404940239430633</v>
      </c>
      <c r="AA141" s="21">
        <f>EXP(-LN(2)/25)*AA140+(1-EXP(-LN(2)/25))/(LN(2)/25)*Calculateur!V141*Calculateur!X141*VLOOKUP('Données projet'!$B$9,Paramètres!$A$1:$I$89,3,0)*0.475*44/12</f>
        <v>0.93948382094317318</v>
      </c>
      <c r="AB141" s="21">
        <f>EXP(-LN(2)/2)*AB140+(1-EXP(-LN(2)/2))/(LN(2)/2)*V141*Y141*VLOOKUP('Données projet'!$B$9,Paramètres!$A$1:$I$89,3,0)*0.475*44/12</f>
        <v>1.4218373159235106E-16</v>
      </c>
      <c r="AC141" s="22">
        <f t="shared" si="111"/>
        <v>2.6799778448862366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275.00000000000057</v>
      </c>
      <c r="AJ141" s="13">
        <f>AI141*VLOOKUP('Données projet'!$B$10,Paramètres!$A$1:$I$89,3,0)*VLOOKUP('Données projet'!$B$10,Paramètres!$A$1:$I$89,5,0)</f>
        <v>231.66000000000051</v>
      </c>
      <c r="AK141" s="13">
        <f t="shared" si="143"/>
        <v>56.641461975682923</v>
      </c>
      <c r="AL141" s="20">
        <f t="shared" si="112"/>
        <v>502.12504627431525</v>
      </c>
      <c r="AM141" s="59">
        <f t="shared" si="113"/>
        <v>795.45837960764857</v>
      </c>
      <c r="AN141" s="59">
        <f ca="1">AVERAGE(OFFSET($AM$3,0,0,'Données projet'!$E$10+1,1))-AVERAGE(OFFSET($H$3,0,0,'Données projet'!$E$10+1,1))</f>
        <v>247.67539667223065</v>
      </c>
      <c r="AO141" s="59">
        <f t="shared" si="144"/>
        <v>174.54442616983778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0.15093548145919564</v>
      </c>
      <c r="AV141" s="21">
        <f>EXP(-LN(2)/25)*AV140+(1-EXP(-LN(2)/25))/(LN(2)/25)*Calculateur!AQ141*Calculateur!AS141*VLOOKUP('Données projet'!$B$10,Paramètres!$A$1:$I$89,3,0)*0.475*44/12</f>
        <v>0.3291823156941725</v>
      </c>
      <c r="AW141" s="21">
        <f>EXP(-LN(2)/2)*AW140+(1-EXP(-LN(2)/2))/(LN(2)/2)*AQ141*AT141*VLOOKUP('Données projet'!$B$10,Paramètres!$A$1:$I$89,3,0)*0.475*44/12</f>
        <v>6.3914514241202064E-16</v>
      </c>
      <c r="AX141" s="21">
        <f t="shared" si="114"/>
        <v>0.48011779715336877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5.1063034188034209</v>
      </c>
      <c r="BD141" s="12">
        <f>IF('Données projet'!$A$88&gt;35,BD140+BC141-BL140,IF(A141&lt;'Données projet'!$A$88,$BA$205^A141,IF(A141='Données projet'!$A$88,'Données projet'!$B$88,BD140+BC141-BL140)))</f>
        <v>247.01655982905947</v>
      </c>
      <c r="BE141" s="13">
        <f>BD141*VLOOKUP('Données projet'!$B$11,Paramètres!$A$1:$I$89,3,0)*VLOOKUP('Données projet'!$B$11,Paramètres!$A$1:$I$89,5,0)</f>
        <v>246.62133333333301</v>
      </c>
      <c r="BF141" s="13">
        <f t="shared" si="145"/>
        <v>59.861878290055003</v>
      </c>
      <c r="BG141" s="20">
        <f t="shared" si="115"/>
        <v>533.79159357740082</v>
      </c>
      <c r="BH141" s="59">
        <f t="shared" si="116"/>
        <v>827.12492691073408</v>
      </c>
      <c r="BI141" s="59">
        <f ca="1">AVERAGE(OFFSET($BH$3,0,0,'Données projet'!$E$11+1,1))-AVERAGE(OFFSET($H$3,0,0,'Données projet'!$E$11+1,1))</f>
        <v>245.06609107649069</v>
      </c>
      <c r="BJ141" s="59">
        <f t="shared" si="146"/>
        <v>156.24531945456499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3.1779060962020198</v>
      </c>
      <c r="BQ141" s="21">
        <f>EXP(-LN(2)/25)*BQ140+(1-EXP(-LN(2)/25))/(LN(2)/25)*Calculateur!BL141*Calculateur!BN141*VLOOKUP('Données projet'!$B$11,Paramètres!$A$1:$I$89,3,0)*0.475*44/12</f>
        <v>1.1532861871796309</v>
      </c>
      <c r="BR141" s="21">
        <f>EXP(-LN(2)/2)*BR140+(1-EXP(-LN(2)/2))/(LN(2)/2)*BL141*BO141*VLOOKUP('Données projet'!$B$11,Paramètres!$A$1:$I$89,3,0)*0.475*44/12</f>
        <v>9.8550913293928942E-13</v>
      </c>
      <c r="BS141" s="22">
        <f t="shared" si="117"/>
        <v>4.3311922833826362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-2.5579538487363607E-13</v>
      </c>
      <c r="BZ141" s="13">
        <f>BY141*VLOOKUP('Données projet'!$B$12,Paramètres!$A$1:$I$89,3,0)*VLOOKUP('Données projet'!$B$12,Paramètres!$A$1:$I$89,5,0)</f>
        <v>-2.7932856028201057E-13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173.63857221119594</v>
      </c>
      <c r="CE141" s="59">
        <f t="shared" si="148"/>
        <v>52.373745617370105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0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-6.7984728957526396E-14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175.34314856709307</v>
      </c>
      <c r="T142" s="59">
        <f t="shared" si="142"/>
        <v>296.28950942251339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1.7063639977300704</v>
      </c>
      <c r="AA142" s="21">
        <f>EXP(-LN(2)/25)*AA141+(1-EXP(-LN(2)/25))/(LN(2)/25)*Calculateur!V142*Calculateur!X142*VLOOKUP('Données projet'!$B$9,Paramètres!$A$1:$I$89,3,0)*0.475*44/12</f>
        <v>0.91379358645417519</v>
      </c>
      <c r="AB142" s="21">
        <f>EXP(-LN(2)/2)*AB141+(1-EXP(-LN(2)/2))/(LN(2)/2)*V142*Y142*VLOOKUP('Données projet'!$B$9,Paramètres!$A$1:$I$89,3,0)*0.475*44/12</f>
        <v>1.0053908078335939E-16</v>
      </c>
      <c r="AC142" s="22">
        <f t="shared" si="111"/>
        <v>2.6201575841842457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275.00000000000057</v>
      </c>
      <c r="AJ142" s="13">
        <f>AI142*VLOOKUP('Données projet'!$B$10,Paramètres!$A$1:$I$89,3,0)*VLOOKUP('Données projet'!$B$10,Paramètres!$A$1:$I$89,5,0)</f>
        <v>231.66000000000051</v>
      </c>
      <c r="AK142" s="13">
        <f t="shared" si="143"/>
        <v>56.641461975682923</v>
      </c>
      <c r="AL142" s="20">
        <f t="shared" si="112"/>
        <v>502.12504627431525</v>
      </c>
      <c r="AM142" s="59">
        <f t="shared" si="113"/>
        <v>795.45837960764857</v>
      </c>
      <c r="AN142" s="59">
        <f ca="1">AVERAGE(OFFSET($AM$3,0,0,'Données projet'!$E$10+1,1))-AVERAGE(OFFSET($H$3,0,0,'Données projet'!$E$10+1,1))</f>
        <v>247.67539667223065</v>
      </c>
      <c r="AO142" s="59">
        <f t="shared" si="144"/>
        <v>174.54442616983778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0.14797572872933418</v>
      </c>
      <c r="AV142" s="21">
        <f>EXP(-LN(2)/25)*AV141+(1-EXP(-LN(2)/25))/(LN(2)/25)*Calculateur!AQ142*Calculateur!AS142*VLOOKUP('Données projet'!$B$10,Paramètres!$A$1:$I$89,3,0)*0.475*44/12</f>
        <v>0.32018080796056975</v>
      </c>
      <c r="AW142" s="21">
        <f>EXP(-LN(2)/2)*AW141+(1-EXP(-LN(2)/2))/(LN(2)/2)*AQ142*AT142*VLOOKUP('Données projet'!$B$10,Paramètres!$A$1:$I$89,3,0)*0.475*44/12</f>
        <v>4.5194386436198143E-16</v>
      </c>
      <c r="AX142" s="21">
        <f t="shared" si="114"/>
        <v>0.46815653668990437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5.1063034188034209</v>
      </c>
      <c r="BD142" s="12">
        <f>IF('Données projet'!$A$88&gt;35,BD141+BC142-BL141,IF(A142&lt;'Données projet'!$A$88,$BA$205^A142,IF(A142='Données projet'!$A$88,'Données projet'!$B$88,BD141+BC142-BL141)))</f>
        <v>252.12286324786288</v>
      </c>
      <c r="BE142" s="13">
        <f>BD142*VLOOKUP('Données projet'!$B$11,Paramètres!$A$1:$I$89,3,0)*VLOOKUP('Données projet'!$B$11,Paramètres!$A$1:$I$89,5,0)</f>
        <v>251.71946666666631</v>
      </c>
      <c r="BF142" s="13">
        <f t="shared" si="145"/>
        <v>60.953991749166633</v>
      </c>
      <c r="BG142" s="20">
        <f t="shared" si="115"/>
        <v>544.57294007424241</v>
      </c>
      <c r="BH142" s="59">
        <f t="shared" si="116"/>
        <v>837.90627340757578</v>
      </c>
      <c r="BI142" s="59">
        <f ca="1">AVERAGE(OFFSET($BH$3,0,0,'Données projet'!$E$11+1,1))-AVERAGE(OFFSET($H$3,0,0,'Données projet'!$E$11+1,1))</f>
        <v>245.06609107649069</v>
      </c>
      <c r="BJ142" s="59">
        <f t="shared" si="146"/>
        <v>156.24531945456499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3.1155892959868225</v>
      </c>
      <c r="BQ142" s="21">
        <f>EXP(-LN(2)/25)*BQ141+(1-EXP(-LN(2)/25))/(LN(2)/25)*Calculateur!BL142*Calculateur!BN142*VLOOKUP('Données projet'!$B$11,Paramètres!$A$1:$I$89,3,0)*0.475*44/12</f>
        <v>1.1217495157425192</v>
      </c>
      <c r="BR142" s="21">
        <f>EXP(-LN(2)/2)*BR141+(1-EXP(-LN(2)/2))/(LN(2)/2)*BL142*BO142*VLOOKUP('Données projet'!$B$11,Paramètres!$A$1:$I$89,3,0)*0.475*44/12</f>
        <v>6.9686019082264632E-13</v>
      </c>
      <c r="BS142" s="22">
        <f t="shared" si="117"/>
        <v>4.237338811730039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-2.5579538487363607E-13</v>
      </c>
      <c r="BZ142" s="13">
        <f>BY142*VLOOKUP('Données projet'!$B$12,Paramètres!$A$1:$I$89,3,0)*VLOOKUP('Données projet'!$B$12,Paramètres!$A$1:$I$89,5,0)</f>
        <v>-2.7932856028201057E-13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173.63857221119594</v>
      </c>
      <c r="CE142" s="59">
        <f t="shared" si="148"/>
        <v>52.373745617370105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0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-6.7984728957526396E-14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175.34314856709307</v>
      </c>
      <c r="T143" s="59">
        <f t="shared" si="142"/>
        <v>296.28950942251339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1.672903240513854</v>
      </c>
      <c r="AA143" s="21">
        <f>EXP(-LN(2)/25)*AA142+(1-EXP(-LN(2)/25))/(LN(2)/25)*Calculateur!V143*Calculateur!X143*VLOOKUP('Données projet'!$B$9,Paramètres!$A$1:$I$89,3,0)*0.475*44/12</f>
        <v>0.88880585277826951</v>
      </c>
      <c r="AB143" s="21">
        <f>EXP(-LN(2)/2)*AB142+(1-EXP(-LN(2)/2))/(LN(2)/2)*V143*Y143*VLOOKUP('Données projet'!$B$9,Paramètres!$A$1:$I$89,3,0)*0.475*44/12</f>
        <v>7.1091865796175529E-17</v>
      </c>
      <c r="AC143" s="22">
        <f t="shared" si="111"/>
        <v>2.5617090932921234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275.00000000000057</v>
      </c>
      <c r="AJ143" s="13">
        <f>AI143*VLOOKUP('Données projet'!$B$10,Paramètres!$A$1:$I$89,3,0)*VLOOKUP('Données projet'!$B$10,Paramètres!$A$1:$I$89,5,0)</f>
        <v>231.66000000000051</v>
      </c>
      <c r="AK143" s="13">
        <f t="shared" si="143"/>
        <v>56.641461975682923</v>
      </c>
      <c r="AL143" s="20">
        <f t="shared" si="112"/>
        <v>502.12504627431525</v>
      </c>
      <c r="AM143" s="59">
        <f t="shared" si="113"/>
        <v>795.45837960764857</v>
      </c>
      <c r="AN143" s="59">
        <f ca="1">AVERAGE(OFFSET($AM$3,0,0,'Données projet'!$E$10+1,1))-AVERAGE(OFFSET($H$3,0,0,'Données projet'!$E$10+1,1))</f>
        <v>247.67539667223065</v>
      </c>
      <c r="AO143" s="59">
        <f t="shared" si="144"/>
        <v>174.54442616983778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0.14507401494523439</v>
      </c>
      <c r="AV143" s="21">
        <f>EXP(-LN(2)/25)*AV142+(1-EXP(-LN(2)/25))/(LN(2)/25)*Calculateur!AQ143*Calculateur!AS143*VLOOKUP('Données projet'!$B$10,Paramètres!$A$1:$I$89,3,0)*0.475*44/12</f>
        <v>0.31142544692931107</v>
      </c>
      <c r="AW143" s="21">
        <f>EXP(-LN(2)/2)*AW142+(1-EXP(-LN(2)/2))/(LN(2)/2)*AQ143*AT143*VLOOKUP('Données projet'!$B$10,Paramètres!$A$1:$I$89,3,0)*0.475*44/12</f>
        <v>3.1957257120601032E-16</v>
      </c>
      <c r="AX143" s="21">
        <f t="shared" si="114"/>
        <v>0.45649946187454582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5.1063034188034209</v>
      </c>
      <c r="BD143" s="12">
        <f>IF('Données projet'!$A$88&gt;35,BD142+BC143-BL142,IF(A143&lt;'Données projet'!$A$88,$BA$205^A143,IF(A143='Données projet'!$A$88,'Données projet'!$B$88,BD142+BC143-BL142)))</f>
        <v>257.22916666666629</v>
      </c>
      <c r="BE143" s="13">
        <f>BD143*VLOOKUP('Données projet'!$B$11,Paramètres!$A$1:$I$89,3,0)*VLOOKUP('Données projet'!$B$11,Paramètres!$A$1:$I$89,5,0)</f>
        <v>256.81759999999963</v>
      </c>
      <c r="BF143" s="13">
        <f t="shared" si="145"/>
        <v>62.043533423074294</v>
      </c>
      <c r="BG143" s="20">
        <f t="shared" si="115"/>
        <v>555.34980737852027</v>
      </c>
      <c r="BH143" s="59">
        <f t="shared" si="116"/>
        <v>848.68314071185364</v>
      </c>
      <c r="BI143" s="59">
        <f ca="1">AVERAGE(OFFSET($BH$3,0,0,'Données projet'!$E$11+1,1))-AVERAGE(OFFSET($H$3,0,0,'Données projet'!$E$11+1,1))</f>
        <v>245.06609107649069</v>
      </c>
      <c r="BJ143" s="59">
        <f t="shared" si="146"/>
        <v>156.24531945456499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3.0544944902143505</v>
      </c>
      <c r="BQ143" s="21">
        <f>EXP(-LN(2)/25)*BQ142+(1-EXP(-LN(2)/25))/(LN(2)/25)*Calculateur!BL143*Calculateur!BN143*VLOOKUP('Données projet'!$B$11,Paramètres!$A$1:$I$89,3,0)*0.475*44/12</f>
        <v>1.0910752162442967</v>
      </c>
      <c r="BR143" s="21">
        <f>EXP(-LN(2)/2)*BR142+(1-EXP(-LN(2)/2))/(LN(2)/2)*BL143*BO143*VLOOKUP('Données projet'!$B$11,Paramètres!$A$1:$I$89,3,0)*0.475*44/12</f>
        <v>4.9275456646964471E-13</v>
      </c>
      <c r="BS143" s="22">
        <f t="shared" si="117"/>
        <v>4.1455697064591401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-2.5579538487363607E-13</v>
      </c>
      <c r="BZ143" s="13">
        <f>BY143*VLOOKUP('Données projet'!$B$12,Paramètres!$A$1:$I$89,3,0)*VLOOKUP('Données projet'!$B$12,Paramètres!$A$1:$I$89,5,0)</f>
        <v>-2.7932856028201057E-13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173.63857221119594</v>
      </c>
      <c r="CE143" s="59">
        <f t="shared" si="148"/>
        <v>52.373745617370105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0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-6.7984728957526396E-14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175.34314856709307</v>
      </c>
      <c r="T144" s="59">
        <f t="shared" si="142"/>
        <v>296.28950942251339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1.6400986283376009</v>
      </c>
      <c r="AA144" s="21">
        <f>EXP(-LN(2)/25)*AA143+(1-EXP(-LN(2)/25))/(LN(2)/25)*Calculateur!V144*Calculateur!X144*VLOOKUP('Données projet'!$B$9,Paramètres!$A$1:$I$89,3,0)*0.475*44/12</f>
        <v>0.86450140999377934</v>
      </c>
      <c r="AB144" s="21">
        <f>EXP(-LN(2)/2)*AB143+(1-EXP(-LN(2)/2))/(LN(2)/2)*V144*Y144*VLOOKUP('Données projet'!$B$9,Paramètres!$A$1:$I$89,3,0)*0.475*44/12</f>
        <v>5.0269540391679693E-17</v>
      </c>
      <c r="AC144" s="22">
        <f t="shared" si="111"/>
        <v>2.5046000383313802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275.00000000000057</v>
      </c>
      <c r="AJ144" s="13">
        <f>AI144*VLOOKUP('Données projet'!$B$10,Paramètres!$A$1:$I$89,3,0)*VLOOKUP('Données projet'!$B$10,Paramètres!$A$1:$I$89,5,0)</f>
        <v>231.66000000000051</v>
      </c>
      <c r="AK144" s="13">
        <f t="shared" si="143"/>
        <v>56.641461975682923</v>
      </c>
      <c r="AL144" s="20">
        <f t="shared" si="112"/>
        <v>502.12504627431525</v>
      </c>
      <c r="AM144" s="59">
        <f t="shared" si="113"/>
        <v>795.45837960764857</v>
      </c>
      <c r="AN144" s="59">
        <f ca="1">AVERAGE(OFFSET($AM$3,0,0,'Données projet'!$E$10+1,1))-AVERAGE(OFFSET($H$3,0,0,'Données projet'!$E$10+1,1))</f>
        <v>247.67539667223065</v>
      </c>
      <c r="AO144" s="59">
        <f t="shared" si="144"/>
        <v>174.54442616983778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0.14222920199857014</v>
      </c>
      <c r="AV144" s="21">
        <f>EXP(-LN(2)/25)*AV143+(1-EXP(-LN(2)/25))/(LN(2)/25)*Calculateur!AQ144*Calculateur!AS144*VLOOKUP('Données projet'!$B$10,Paramètres!$A$1:$I$89,3,0)*0.475*44/12</f>
        <v>0.30290950170587655</v>
      </c>
      <c r="AW144" s="21">
        <f>EXP(-LN(2)/2)*AW143+(1-EXP(-LN(2)/2))/(LN(2)/2)*AQ144*AT144*VLOOKUP('Données projet'!$B$10,Paramètres!$A$1:$I$89,3,0)*0.475*44/12</f>
        <v>2.2597193218099071E-16</v>
      </c>
      <c r="AX144" s="21">
        <f t="shared" si="114"/>
        <v>0.44513870370444691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5.1063034188034209</v>
      </c>
      <c r="BD144" s="12">
        <f>IF('Données projet'!$A$88&gt;35,BD143+BC144-BL143,IF(A144&lt;'Données projet'!$A$88,$BA$205^A144,IF(A144='Données projet'!$A$88,'Données projet'!$B$88,BD143+BC144-BL143)))</f>
        <v>262.33547008546969</v>
      </c>
      <c r="BE144" s="13">
        <f>BD144*VLOOKUP('Données projet'!$B$11,Paramètres!$A$1:$I$89,3,0)*VLOOKUP('Données projet'!$B$11,Paramètres!$A$1:$I$89,5,0)</f>
        <v>261.91573333333292</v>
      </c>
      <c r="BF144" s="13">
        <f t="shared" si="145"/>
        <v>63.130560249073696</v>
      </c>
      <c r="BG144" s="20">
        <f t="shared" si="115"/>
        <v>566.12229465602491</v>
      </c>
      <c r="BH144" s="59">
        <f t="shared" si="116"/>
        <v>859.45562798935816</v>
      </c>
      <c r="BI144" s="59">
        <f ca="1">AVERAGE(OFFSET($BH$3,0,0,'Données projet'!$E$11+1,1))-AVERAGE(OFFSET($H$3,0,0,'Données projet'!$E$11+1,1))</f>
        <v>245.06609107649069</v>
      </c>
      <c r="BJ144" s="59">
        <f t="shared" si="146"/>
        <v>156.24531945456499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2.9945977163189244</v>
      </c>
      <c r="BQ144" s="21">
        <f>EXP(-LN(2)/25)*BQ143+(1-EXP(-LN(2)/25))/(LN(2)/25)*Calculateur!BL144*Calculateur!BN144*VLOOKUP('Données projet'!$B$11,Paramètres!$A$1:$I$89,3,0)*0.475*44/12</f>
        <v>1.0612397070789445</v>
      </c>
      <c r="BR144" s="21">
        <f>EXP(-LN(2)/2)*BR143+(1-EXP(-LN(2)/2))/(LN(2)/2)*BL144*BO144*VLOOKUP('Données projet'!$B$11,Paramètres!$A$1:$I$89,3,0)*0.475*44/12</f>
        <v>3.4843009541132316E-13</v>
      </c>
      <c r="BS144" s="22">
        <f t="shared" si="117"/>
        <v>4.0558374233982173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-2.5579538487363607E-13</v>
      </c>
      <c r="BZ144" s="13">
        <f>BY144*VLOOKUP('Données projet'!$B$12,Paramètres!$A$1:$I$89,3,0)*VLOOKUP('Données projet'!$B$12,Paramètres!$A$1:$I$89,5,0)</f>
        <v>-2.7932856028201057E-13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173.63857221119594</v>
      </c>
      <c r="CE144" s="59">
        <f t="shared" si="148"/>
        <v>52.373745617370105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0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-6.7984728957526396E-14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175.34314856709307</v>
      </c>
      <c r="T145" s="59">
        <f t="shared" si="142"/>
        <v>296.28950942251339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1.6079372945972863</v>
      </c>
      <c r="AA145" s="21">
        <f>EXP(-LN(2)/25)*AA144+(1-EXP(-LN(2)/25))/(LN(2)/25)*Calculateur!V145*Calculateur!X145*VLOOKUP('Données projet'!$B$9,Paramètres!$A$1:$I$89,3,0)*0.475*44/12</f>
        <v>0.84086157347534618</v>
      </c>
      <c r="AB145" s="21">
        <f>EXP(-LN(2)/2)*AB144+(1-EXP(-LN(2)/2))/(LN(2)/2)*V145*Y145*VLOOKUP('Données projet'!$B$9,Paramètres!$A$1:$I$89,3,0)*0.475*44/12</f>
        <v>3.5545932898087764E-17</v>
      </c>
      <c r="AC145" s="22">
        <f t="shared" si="111"/>
        <v>2.4487988680726325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275.00000000000057</v>
      </c>
      <c r="AJ145" s="13">
        <f>AI145*VLOOKUP('Données projet'!$B$10,Paramètres!$A$1:$I$89,3,0)*VLOOKUP('Données projet'!$B$10,Paramètres!$A$1:$I$89,5,0)</f>
        <v>231.66000000000051</v>
      </c>
      <c r="AK145" s="13">
        <f t="shared" si="143"/>
        <v>56.641461975682923</v>
      </c>
      <c r="AL145" s="20">
        <f t="shared" si="112"/>
        <v>502.12504627431525</v>
      </c>
      <c r="AM145" s="59">
        <f t="shared" si="113"/>
        <v>795.45837960764857</v>
      </c>
      <c r="AN145" s="59">
        <f ca="1">AVERAGE(OFFSET($AM$3,0,0,'Données projet'!$E$10+1,1))-AVERAGE(OFFSET($H$3,0,0,'Données projet'!$E$10+1,1))</f>
        <v>247.67539667223065</v>
      </c>
      <c r="AO145" s="59">
        <f t="shared" si="144"/>
        <v>174.54442616983778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0.13944017409862541</v>
      </c>
      <c r="AV145" s="21">
        <f>EXP(-LN(2)/25)*AV144+(1-EXP(-LN(2)/25))/(LN(2)/25)*Calculateur!AQ145*Calculateur!AS145*VLOOKUP('Données projet'!$B$10,Paramètres!$A$1:$I$89,3,0)*0.475*44/12</f>
        <v>0.29462642545241097</v>
      </c>
      <c r="AW145" s="21">
        <f>EXP(-LN(2)/2)*AW144+(1-EXP(-LN(2)/2))/(LN(2)/2)*AQ145*AT145*VLOOKUP('Données projet'!$B$10,Paramètres!$A$1:$I$89,3,0)*0.475*44/12</f>
        <v>1.5978628560300516E-16</v>
      </c>
      <c r="AX145" s="21">
        <f t="shared" si="114"/>
        <v>0.43406659955103655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5.1063034188034209</v>
      </c>
      <c r="BD145" s="12">
        <f>IF('Données projet'!$A$88&gt;35,BD144+BC145-BL144,IF(A145&lt;'Données projet'!$A$88,$BA$205^A145,IF(A145='Données projet'!$A$88,'Données projet'!$B$88,BD144+BC145-BL144)))</f>
        <v>267.4417735042731</v>
      </c>
      <c r="BE145" s="13">
        <f>BD145*VLOOKUP('Données projet'!$B$11,Paramètres!$A$1:$I$89,3,0)*VLOOKUP('Données projet'!$B$11,Paramètres!$A$1:$I$89,5,0)</f>
        <v>267.01386666666627</v>
      </c>
      <c r="BF145" s="13">
        <f t="shared" si="145"/>
        <v>64.215126821124571</v>
      </c>
      <c r="BG145" s="20">
        <f t="shared" si="115"/>
        <v>576.89049699123564</v>
      </c>
      <c r="BH145" s="59">
        <f t="shared" si="116"/>
        <v>870.22383032456901</v>
      </c>
      <c r="BI145" s="59">
        <f ca="1">AVERAGE(OFFSET($BH$3,0,0,'Données projet'!$E$11+1,1))-AVERAGE(OFFSET($H$3,0,0,'Données projet'!$E$11+1,1))</f>
        <v>245.06609107649069</v>
      </c>
      <c r="BJ145" s="59">
        <f t="shared" si="146"/>
        <v>156.24531945456499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2.9358754816261627</v>
      </c>
      <c r="BQ145" s="21">
        <f>EXP(-LN(2)/25)*BQ144+(1-EXP(-LN(2)/25))/(LN(2)/25)*Calculateur!BL145*Calculateur!BN145*VLOOKUP('Données projet'!$B$11,Paramètres!$A$1:$I$89,3,0)*0.475*44/12</f>
        <v>1.0322200514807001</v>
      </c>
      <c r="BR145" s="21">
        <f>EXP(-LN(2)/2)*BR144+(1-EXP(-LN(2)/2))/(LN(2)/2)*BL145*BO145*VLOOKUP('Données projet'!$B$11,Paramètres!$A$1:$I$89,3,0)*0.475*44/12</f>
        <v>2.4637728323482236E-13</v>
      </c>
      <c r="BS145" s="22">
        <f t="shared" si="117"/>
        <v>3.9680955331071091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-2.5579538487363607E-13</v>
      </c>
      <c r="BZ145" s="13">
        <f>BY145*VLOOKUP('Données projet'!$B$12,Paramètres!$A$1:$I$89,3,0)*VLOOKUP('Données projet'!$B$12,Paramètres!$A$1:$I$89,5,0)</f>
        <v>-2.7932856028201057E-13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173.63857221119594</v>
      </c>
      <c r="CE145" s="59">
        <f t="shared" si="148"/>
        <v>52.373745617370105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0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-6.7984728957526396E-14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175.34314856709307</v>
      </c>
      <c r="T146" s="59">
        <f t="shared" si="142"/>
        <v>296.28950942251339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1.5764066249951427</v>
      </c>
      <c r="AA146" s="21">
        <f>EXP(-LN(2)/25)*AA145+(1-EXP(-LN(2)/25))/(LN(2)/25)*Calculateur!V146*Calculateur!X146*VLOOKUP('Données projet'!$B$9,Paramètres!$A$1:$I$89,3,0)*0.475*44/12</f>
        <v>0.81786816952967456</v>
      </c>
      <c r="AB146" s="21">
        <f>EXP(-LN(2)/2)*AB145+(1-EXP(-LN(2)/2))/(LN(2)/2)*V146*Y146*VLOOKUP('Données projet'!$B$9,Paramètres!$A$1:$I$89,3,0)*0.475*44/12</f>
        <v>2.5134770195839846E-17</v>
      </c>
      <c r="AC146" s="22">
        <f t="shared" si="111"/>
        <v>2.3942747945248173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275.00000000000057</v>
      </c>
      <c r="AJ146" s="13">
        <f>AI146*VLOOKUP('Données projet'!$B$10,Paramètres!$A$1:$I$89,3,0)*VLOOKUP('Données projet'!$B$10,Paramètres!$A$1:$I$89,5,0)</f>
        <v>231.66000000000051</v>
      </c>
      <c r="AK146" s="13">
        <f t="shared" si="143"/>
        <v>56.641461975682923</v>
      </c>
      <c r="AL146" s="20">
        <f t="shared" si="112"/>
        <v>502.12504627431525</v>
      </c>
      <c r="AM146" s="59">
        <f t="shared" si="113"/>
        <v>795.45837960764857</v>
      </c>
      <c r="AN146" s="59">
        <f ca="1">AVERAGE(OFFSET($AM$3,0,0,'Données projet'!$E$10+1,1))-AVERAGE(OFFSET($H$3,0,0,'Données projet'!$E$10+1,1))</f>
        <v>247.67539667223065</v>
      </c>
      <c r="AO146" s="59">
        <f t="shared" si="144"/>
        <v>174.54442616983778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0.13670583733465957</v>
      </c>
      <c r="AV146" s="21">
        <f>EXP(-LN(2)/25)*AV145+(1-EXP(-LN(2)/25))/(LN(2)/25)*Calculateur!AQ146*Calculateur!AS146*VLOOKUP('Données projet'!$B$10,Paramètres!$A$1:$I$89,3,0)*0.475*44/12</f>
        <v>0.28656985035468446</v>
      </c>
      <c r="AW146" s="21">
        <f>EXP(-LN(2)/2)*AW145+(1-EXP(-LN(2)/2))/(LN(2)/2)*AQ146*AT146*VLOOKUP('Données projet'!$B$10,Paramètres!$A$1:$I$89,3,0)*0.475*44/12</f>
        <v>1.1298596609049536E-16</v>
      </c>
      <c r="AX146" s="21">
        <f t="shared" si="114"/>
        <v>0.42327568768934415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5.1063034188034209</v>
      </c>
      <c r="BD146" s="12">
        <f>IF('Données projet'!$A$88&gt;35,BD145+BC146-BL145,IF(A146&lt;'Données projet'!$A$88,$BA$205^A146,IF(A146='Données projet'!$A$88,'Données projet'!$B$88,BD145+BC146-BL145)))</f>
        <v>272.54807692307651</v>
      </c>
      <c r="BE146" s="13">
        <f>BD146*VLOOKUP('Données projet'!$B$11,Paramètres!$A$1:$I$89,3,0)*VLOOKUP('Données projet'!$B$11,Paramètres!$A$1:$I$89,5,0)</f>
        <v>272.11199999999957</v>
      </c>
      <c r="BF146" s="13">
        <f t="shared" si="145"/>
        <v>65.297285529162707</v>
      </c>
      <c r="BG146" s="20">
        <f t="shared" si="115"/>
        <v>587.65450562995761</v>
      </c>
      <c r="BH146" s="59">
        <f t="shared" si="116"/>
        <v>880.98783896329087</v>
      </c>
      <c r="BI146" s="59">
        <f ca="1">AVERAGE(OFFSET($BH$3,0,0,'Données projet'!$E$11+1,1))-AVERAGE(OFFSET($H$3,0,0,'Données projet'!$E$11+1,1))</f>
        <v>245.06609107649069</v>
      </c>
      <c r="BJ146" s="59">
        <f t="shared" si="146"/>
        <v>156.24531945456499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2.8783047541386999</v>
      </c>
      <c r="BQ146" s="21">
        <f>EXP(-LN(2)/25)*BQ145+(1-EXP(-LN(2)/25))/(LN(2)/25)*Calculateur!BL146*Calculateur!BN146*VLOOKUP('Données projet'!$B$11,Paramètres!$A$1:$I$89,3,0)*0.475*44/12</f>
        <v>1.003993939890867</v>
      </c>
      <c r="BR146" s="21">
        <f>EXP(-LN(2)/2)*BR145+(1-EXP(-LN(2)/2))/(LN(2)/2)*BL146*BO146*VLOOKUP('Données projet'!$B$11,Paramètres!$A$1:$I$89,3,0)*0.475*44/12</f>
        <v>1.7421504770566158E-13</v>
      </c>
      <c r="BS146" s="22">
        <f t="shared" si="117"/>
        <v>3.8822986940297408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-2.5579538487363607E-13</v>
      </c>
      <c r="BZ146" s="13">
        <f>BY146*VLOOKUP('Données projet'!$B$12,Paramètres!$A$1:$I$89,3,0)*VLOOKUP('Données projet'!$B$12,Paramètres!$A$1:$I$89,5,0)</f>
        <v>-2.7932856028201057E-13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173.63857221119594</v>
      </c>
      <c r="CE146" s="59">
        <f t="shared" si="148"/>
        <v>52.373745617370105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0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-6.7984728957526396E-14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175.34314856709307</v>
      </c>
      <c r="T147" s="59">
        <f t="shared" si="142"/>
        <v>296.28950942251339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1.5454942525920876</v>
      </c>
      <c r="AA147" s="21">
        <f>EXP(-LN(2)/25)*AA146+(1-EXP(-LN(2)/25))/(LN(2)/25)*Calculateur!V147*Calculateur!X147*VLOOKUP('Données projet'!$B$9,Paramètres!$A$1:$I$89,3,0)*0.475*44/12</f>
        <v>0.79550352142406788</v>
      </c>
      <c r="AB147" s="21">
        <f>EXP(-LN(2)/2)*AB146+(1-EXP(-LN(2)/2))/(LN(2)/2)*V147*Y147*VLOOKUP('Données projet'!$B$9,Paramètres!$A$1:$I$89,3,0)*0.475*44/12</f>
        <v>1.7772966449043882E-17</v>
      </c>
      <c r="AC147" s="22">
        <f t="shared" si="111"/>
        <v>2.3409977740161554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275.00000000000057</v>
      </c>
      <c r="AJ147" s="13">
        <f>AI147*VLOOKUP('Données projet'!$B$10,Paramètres!$A$1:$I$89,3,0)*VLOOKUP('Données projet'!$B$10,Paramètres!$A$1:$I$89,5,0)</f>
        <v>231.66000000000051</v>
      </c>
      <c r="AK147" s="13">
        <f t="shared" si="143"/>
        <v>56.641461975682923</v>
      </c>
      <c r="AL147" s="20">
        <f t="shared" si="112"/>
        <v>502.12504627431525</v>
      </c>
      <c r="AM147" s="59">
        <f t="shared" si="113"/>
        <v>795.45837960764857</v>
      </c>
      <c r="AN147" s="59">
        <f ca="1">AVERAGE(OFFSET($AM$3,0,0,'Données projet'!$E$10+1,1))-AVERAGE(OFFSET($H$3,0,0,'Données projet'!$E$10+1,1))</f>
        <v>247.67539667223065</v>
      </c>
      <c r="AO147" s="59">
        <f t="shared" si="144"/>
        <v>174.54442616983778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0.13402511924685434</v>
      </c>
      <c r="AV147" s="21">
        <f>EXP(-LN(2)/25)*AV146+(1-EXP(-LN(2)/25))/(LN(2)/25)*Calculateur!AQ147*Calculateur!AS147*VLOOKUP('Données projet'!$B$10,Paramètres!$A$1:$I$89,3,0)*0.475*44/12</f>
        <v>0.27873358272668214</v>
      </c>
      <c r="AW147" s="21">
        <f>EXP(-LN(2)/2)*AW146+(1-EXP(-LN(2)/2))/(LN(2)/2)*AQ147*AT147*VLOOKUP('Données projet'!$B$10,Paramètres!$A$1:$I$89,3,0)*0.475*44/12</f>
        <v>7.989314280150258E-17</v>
      </c>
      <c r="AX147" s="21">
        <f t="shared" si="114"/>
        <v>0.41275870197353653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5.1063034188034209</v>
      </c>
      <c r="BD147" s="12">
        <f>IF('Données projet'!$A$88&gt;35,BD146+BC147-BL146,IF(A147&lt;'Données projet'!$A$88,$BA$205^A147,IF(A147='Données projet'!$A$88,'Données projet'!$B$88,BD146+BC147-BL146)))</f>
        <v>277.65438034187991</v>
      </c>
      <c r="BE147" s="13">
        <f>BD147*VLOOKUP('Données projet'!$B$11,Paramètres!$A$1:$I$89,3,0)*VLOOKUP('Données projet'!$B$11,Paramètres!$A$1:$I$89,5,0)</f>
        <v>277.21013333333292</v>
      </c>
      <c r="BF147" s="13">
        <f t="shared" si="145"/>
        <v>66.377086687676652</v>
      </c>
      <c r="BG147" s="20">
        <f t="shared" si="115"/>
        <v>598.41440820325829</v>
      </c>
      <c r="BH147" s="59">
        <f t="shared" si="116"/>
        <v>891.74774153659155</v>
      </c>
      <c r="BI147" s="59">
        <f ca="1">AVERAGE(OFFSET($BH$3,0,0,'Données projet'!$E$11+1,1))-AVERAGE(OFFSET($H$3,0,0,'Données projet'!$E$11+1,1))</f>
        <v>245.06609107649069</v>
      </c>
      <c r="BJ147" s="59">
        <f t="shared" si="146"/>
        <v>156.24531945456499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2.8218629535025896</v>
      </c>
      <c r="BQ147" s="21">
        <f>EXP(-LN(2)/25)*BQ146+(1-EXP(-LN(2)/25))/(LN(2)/25)*Calculateur!BL147*Calculateur!BN147*VLOOKUP('Données projet'!$B$11,Paramètres!$A$1:$I$89,3,0)*0.475*44/12</f>
        <v>0.97653967280680465</v>
      </c>
      <c r="BR147" s="21">
        <f>EXP(-LN(2)/2)*BR146+(1-EXP(-LN(2)/2))/(LN(2)/2)*BL147*BO147*VLOOKUP('Données projet'!$B$11,Paramètres!$A$1:$I$89,3,0)*0.475*44/12</f>
        <v>1.2318864161741118E-13</v>
      </c>
      <c r="BS147" s="22">
        <f t="shared" si="117"/>
        <v>3.7984026263095174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-2.5579538487363607E-13</v>
      </c>
      <c r="BZ147" s="13">
        <f>BY147*VLOOKUP('Données projet'!$B$12,Paramètres!$A$1:$I$89,3,0)*VLOOKUP('Données projet'!$B$12,Paramètres!$A$1:$I$89,5,0)</f>
        <v>-2.7932856028201057E-13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173.63857221119594</v>
      </c>
      <c r="CE147" s="59">
        <f t="shared" si="148"/>
        <v>52.373745617370105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0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-6.7984728957526396E-14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175.34314856709307</v>
      </c>
      <c r="T148" s="59">
        <f t="shared" si="142"/>
        <v>296.28950942251339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1.5151880529571711</v>
      </c>
      <c r="AA148" s="21">
        <f>EXP(-LN(2)/25)*AA147+(1-EXP(-LN(2)/25))/(LN(2)/25)*Calculateur!V148*Calculateur!X148*VLOOKUP('Données projet'!$B$9,Paramètres!$A$1:$I$89,3,0)*0.475*44/12</f>
        <v>0.77375043579701475</v>
      </c>
      <c r="AB148" s="21">
        <f>EXP(-LN(2)/2)*AB147+(1-EXP(-LN(2)/2))/(LN(2)/2)*V148*Y148*VLOOKUP('Données projet'!$B$9,Paramètres!$A$1:$I$89,3,0)*0.475*44/12</f>
        <v>1.2567385097919923E-17</v>
      </c>
      <c r="AC148" s="22">
        <f t="shared" si="111"/>
        <v>2.2889384887541859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275.00000000000057</v>
      </c>
      <c r="AJ148" s="13">
        <f>AI148*VLOOKUP('Données projet'!$B$10,Paramètres!$A$1:$I$89,3,0)*VLOOKUP('Données projet'!$B$10,Paramètres!$A$1:$I$89,5,0)</f>
        <v>231.66000000000051</v>
      </c>
      <c r="AK148" s="13">
        <f t="shared" si="143"/>
        <v>56.641461975682923</v>
      </c>
      <c r="AL148" s="20">
        <f t="shared" si="112"/>
        <v>502.12504627431525</v>
      </c>
      <c r="AM148" s="59">
        <f t="shared" si="113"/>
        <v>795.45837960764857</v>
      </c>
      <c r="AN148" s="59">
        <f ca="1">AVERAGE(OFFSET($AM$3,0,0,'Données projet'!$E$10+1,1))-AVERAGE(OFFSET($H$3,0,0,'Données projet'!$E$10+1,1))</f>
        <v>247.67539667223065</v>
      </c>
      <c r="AO148" s="59">
        <f t="shared" si="144"/>
        <v>174.54442616983778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0.13139696840567439</v>
      </c>
      <c r="AV148" s="21">
        <f>EXP(-LN(2)/25)*AV147+(1-EXP(-LN(2)/25))/(LN(2)/25)*Calculateur!AQ148*Calculateur!AS148*VLOOKUP('Données projet'!$B$10,Paramètres!$A$1:$I$89,3,0)*0.475*44/12</f>
        <v>0.27111159824905895</v>
      </c>
      <c r="AW148" s="21">
        <f>EXP(-LN(2)/2)*AW147+(1-EXP(-LN(2)/2))/(LN(2)/2)*AQ148*AT148*VLOOKUP('Données projet'!$B$10,Paramètres!$A$1:$I$89,3,0)*0.475*44/12</f>
        <v>5.6492983045247678E-17</v>
      </c>
      <c r="AX148" s="21">
        <f t="shared" si="114"/>
        <v>0.40250856665473339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5.1063034188034209</v>
      </c>
      <c r="BD148" s="12">
        <f>IF('Données projet'!$A$88&gt;35,BD147+BC148-BL147,IF(A148&lt;'Données projet'!$A$88,$BA$205^A148,IF(A148='Données projet'!$A$88,'Données projet'!$B$88,BD147+BC148-BL147)))</f>
        <v>282.76068376068332</v>
      </c>
      <c r="BE148" s="13">
        <f>BD148*VLOOKUP('Données projet'!$B$11,Paramètres!$A$1:$I$89,3,0)*VLOOKUP('Données projet'!$B$11,Paramètres!$A$1:$I$89,5,0)</f>
        <v>282.30826666666621</v>
      </c>
      <c r="BF148" s="13">
        <f t="shared" si="145"/>
        <v>67.454578654557295</v>
      </c>
      <c r="BG148" s="20">
        <f t="shared" si="115"/>
        <v>609.17028893446422</v>
      </c>
      <c r="BH148" s="59">
        <f t="shared" si="116"/>
        <v>902.50362226779748</v>
      </c>
      <c r="BI148" s="59">
        <f ca="1">AVERAGE(OFFSET($BH$3,0,0,'Données projet'!$E$11+1,1))-AVERAGE(OFFSET($H$3,0,0,'Données projet'!$E$11+1,1))</f>
        <v>245.06609107649069</v>
      </c>
      <c r="BJ148" s="59">
        <f t="shared" si="146"/>
        <v>156.24531945456499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2.7665279421508546</v>
      </c>
      <c r="BQ148" s="21">
        <f>EXP(-LN(2)/25)*BQ147+(1-EXP(-LN(2)/25))/(LN(2)/25)*Calculateur!BL148*Calculateur!BN148*VLOOKUP('Données projet'!$B$11,Paramètres!$A$1:$I$89,3,0)*0.475*44/12</f>
        <v>0.94983614409991313</v>
      </c>
      <c r="BR148" s="21">
        <f>EXP(-LN(2)/2)*BR147+(1-EXP(-LN(2)/2))/(LN(2)/2)*BL148*BO148*VLOOKUP('Données projet'!$B$11,Paramètres!$A$1:$I$89,3,0)*0.475*44/12</f>
        <v>8.7107523852830789E-14</v>
      </c>
      <c r="BS148" s="22">
        <f t="shared" si="117"/>
        <v>3.7163640862508549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-2.5579538487363607E-13</v>
      </c>
      <c r="BZ148" s="13">
        <f>BY148*VLOOKUP('Données projet'!$B$12,Paramètres!$A$1:$I$89,3,0)*VLOOKUP('Données projet'!$B$12,Paramètres!$A$1:$I$89,5,0)</f>
        <v>-2.7932856028201057E-13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173.63857221119594</v>
      </c>
      <c r="CE148" s="59">
        <f t="shared" si="148"/>
        <v>52.373745617370105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0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-6.7984728957526396E-14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175.34314856709307</v>
      </c>
      <c r="T149" s="59">
        <f t="shared" si="142"/>
        <v>296.28950942251339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1.4854761394121387</v>
      </c>
      <c r="AA149" s="21">
        <f>EXP(-LN(2)/25)*AA148+(1-EXP(-LN(2)/25))/(LN(2)/25)*Calculateur!V149*Calculateur!X149*VLOOKUP('Données projet'!$B$9,Paramètres!$A$1:$I$89,3,0)*0.475*44/12</f>
        <v>0.75259218944037842</v>
      </c>
      <c r="AB149" s="21">
        <f>EXP(-LN(2)/2)*AB148+(1-EXP(-LN(2)/2))/(LN(2)/2)*V149*Y149*VLOOKUP('Données projet'!$B$9,Paramètres!$A$1:$I$89,3,0)*0.475*44/12</f>
        <v>8.8864832245219411E-18</v>
      </c>
      <c r="AC149" s="22">
        <f t="shared" si="111"/>
        <v>2.2380683288525169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275.00000000000057</v>
      </c>
      <c r="AJ149" s="13">
        <f>AI149*VLOOKUP('Données projet'!$B$10,Paramètres!$A$1:$I$89,3,0)*VLOOKUP('Données projet'!$B$10,Paramètres!$A$1:$I$89,5,0)</f>
        <v>231.66000000000051</v>
      </c>
      <c r="AK149" s="13">
        <f t="shared" si="143"/>
        <v>56.641461975682923</v>
      </c>
      <c r="AL149" s="20">
        <f t="shared" si="112"/>
        <v>502.12504627431525</v>
      </c>
      <c r="AM149" s="59">
        <f t="shared" si="113"/>
        <v>795.45837960764857</v>
      </c>
      <c r="AN149" s="59">
        <f ca="1">AVERAGE(OFFSET($AM$3,0,0,'Données projet'!$E$10+1,1))-AVERAGE(OFFSET($H$3,0,0,'Données projet'!$E$10+1,1))</f>
        <v>247.67539667223065</v>
      </c>
      <c r="AO149" s="59">
        <f t="shared" si="144"/>
        <v>174.54442616983778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0.12882035399947625</v>
      </c>
      <c r="AV149" s="21">
        <f>EXP(-LN(2)/25)*AV148+(1-EXP(-LN(2)/25))/(LN(2)/25)*Calculateur!AQ149*Calculateur!AS149*VLOOKUP('Données projet'!$B$10,Paramètres!$A$1:$I$89,3,0)*0.475*44/12</f>
        <v>0.26369803733779912</v>
      </c>
      <c r="AW149" s="21">
        <f>EXP(-LN(2)/2)*AW148+(1-EXP(-LN(2)/2))/(LN(2)/2)*AQ149*AT149*VLOOKUP('Données projet'!$B$10,Paramètres!$A$1:$I$89,3,0)*0.475*44/12</f>
        <v>3.994657140075129E-17</v>
      </c>
      <c r="AX149" s="21">
        <f t="shared" si="114"/>
        <v>0.39251839133727545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5.1063034188034209</v>
      </c>
      <c r="BD149" s="12">
        <f>IF('Données projet'!$A$88&gt;35,BD148+BC149-BL148,IF(A149&lt;'Données projet'!$A$88,$BA$205^A149,IF(A149='Données projet'!$A$88,'Données projet'!$B$88,BD148+BC149-BL148)))</f>
        <v>287.86698717948673</v>
      </c>
      <c r="BE149" s="13">
        <f>BD149*VLOOKUP('Données projet'!$B$11,Paramètres!$A$1:$I$89,3,0)*VLOOKUP('Données projet'!$B$11,Paramètres!$A$1:$I$89,5,0)</f>
        <v>287.40639999999956</v>
      </c>
      <c r="BF149" s="13">
        <f t="shared" si="145"/>
        <v>68.529807941120509</v>
      </c>
      <c r="BG149" s="20">
        <f t="shared" si="115"/>
        <v>619.92222883078409</v>
      </c>
      <c r="BH149" s="59">
        <f t="shared" si="116"/>
        <v>913.25556216411746</v>
      </c>
      <c r="BI149" s="59">
        <f ca="1">AVERAGE(OFFSET($BH$3,0,0,'Données projet'!$E$11+1,1))-AVERAGE(OFFSET($H$3,0,0,'Données projet'!$E$11+1,1))</f>
        <v>245.06609107649069</v>
      </c>
      <c r="BJ149" s="59">
        <f t="shared" si="146"/>
        <v>156.24531945456499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2.7122780166207026</v>
      </c>
      <c r="BQ149" s="21">
        <f>EXP(-LN(2)/25)*BQ148+(1-EXP(-LN(2)/25))/(LN(2)/25)*Calculateur!BL149*Calculateur!BN149*VLOOKUP('Données projet'!$B$11,Paramètres!$A$1:$I$89,3,0)*0.475*44/12</f>
        <v>0.92386282478978909</v>
      </c>
      <c r="BR149" s="21">
        <f>EXP(-LN(2)/2)*BR148+(1-EXP(-LN(2)/2))/(LN(2)/2)*BL149*BO149*VLOOKUP('Données projet'!$B$11,Paramètres!$A$1:$I$89,3,0)*0.475*44/12</f>
        <v>6.1594320808705589E-14</v>
      </c>
      <c r="BS149" s="22">
        <f t="shared" si="117"/>
        <v>3.6361408414105534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-2.5579538487363607E-13</v>
      </c>
      <c r="BZ149" s="13">
        <f>BY149*VLOOKUP('Données projet'!$B$12,Paramètres!$A$1:$I$89,3,0)*VLOOKUP('Données projet'!$B$12,Paramètres!$A$1:$I$89,5,0)</f>
        <v>-2.7932856028201057E-13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173.63857221119594</v>
      </c>
      <c r="CE149" s="59">
        <f t="shared" si="148"/>
        <v>52.373745617370105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0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-6.7984728957526396E-14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175.34314856709307</v>
      </c>
      <c r="T150" s="59">
        <f t="shared" si="142"/>
        <v>296.28950942251339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1.4563468583692467</v>
      </c>
      <c r="AA150" s="21">
        <f>EXP(-LN(2)/25)*AA149+(1-EXP(-LN(2)/25))/(LN(2)/25)*Calculateur!V150*Calculateur!X150*VLOOKUP('Données projet'!$B$9,Paramètres!$A$1:$I$89,3,0)*0.475*44/12</f>
        <v>0.73201251644302812</v>
      </c>
      <c r="AB150" s="21">
        <f>EXP(-LN(2)/2)*AB149+(1-EXP(-LN(2)/2))/(LN(2)/2)*V150*Y150*VLOOKUP('Données projet'!$B$9,Paramètres!$A$1:$I$89,3,0)*0.475*44/12</f>
        <v>6.2836925489599616E-18</v>
      </c>
      <c r="AC150" s="22">
        <f t="shared" si="111"/>
        <v>2.1883593748122747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275.00000000000057</v>
      </c>
      <c r="AJ150" s="13">
        <f>AI150*VLOOKUP('Données projet'!$B$10,Paramètres!$A$1:$I$89,3,0)*VLOOKUP('Données projet'!$B$10,Paramètres!$A$1:$I$89,5,0)</f>
        <v>231.66000000000051</v>
      </c>
      <c r="AK150" s="13">
        <f t="shared" si="143"/>
        <v>56.641461975682923</v>
      </c>
      <c r="AL150" s="20">
        <f t="shared" si="112"/>
        <v>502.12504627431525</v>
      </c>
      <c r="AM150" s="59">
        <f t="shared" si="113"/>
        <v>795.45837960764857</v>
      </c>
      <c r="AN150" s="59">
        <f ca="1">AVERAGE(OFFSET($AM$3,0,0,'Données projet'!$E$10+1,1))-AVERAGE(OFFSET($H$3,0,0,'Données projet'!$E$10+1,1))</f>
        <v>247.67539667223065</v>
      </c>
      <c r="AO150" s="59">
        <f t="shared" si="144"/>
        <v>174.54442616983778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0.12629426543020406</v>
      </c>
      <c r="AV150" s="21">
        <f>EXP(-LN(2)/25)*AV149+(1-EXP(-LN(2)/25))/(LN(2)/25)*Calculateur!AQ150*Calculateur!AS150*VLOOKUP('Données projet'!$B$10,Paramètres!$A$1:$I$89,3,0)*0.475*44/12</f>
        <v>0.25648720063951991</v>
      </c>
      <c r="AW150" s="21">
        <f>EXP(-LN(2)/2)*AW149+(1-EXP(-LN(2)/2))/(LN(2)/2)*AQ150*AT150*VLOOKUP('Données projet'!$B$10,Paramètres!$A$1:$I$89,3,0)*0.475*44/12</f>
        <v>2.8246491522623839E-17</v>
      </c>
      <c r="AX150" s="21">
        <f t="shared" si="114"/>
        <v>0.38278146606972402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5.1063034188034209</v>
      </c>
      <c r="BD150" s="12">
        <f>IF('Données projet'!$A$88&gt;35,BD149+BC150-BL149,IF(A150&lt;'Données projet'!$A$88,$BA$205^A150,IF(A150='Données projet'!$A$88,'Données projet'!$B$88,BD149+BC150-BL149)))</f>
        <v>292.97329059829013</v>
      </c>
      <c r="BE150" s="13">
        <f>BD150*VLOOKUP('Données projet'!$B$11,Paramètres!$A$1:$I$89,3,0)*VLOOKUP('Données projet'!$B$11,Paramètres!$A$1:$I$89,5,0)</f>
        <v>292.50453333333292</v>
      </c>
      <c r="BF150" s="13">
        <f t="shared" si="145"/>
        <v>69.602819314101566</v>
      </c>
      <c r="BG150" s="20">
        <f t="shared" si="115"/>
        <v>630.67030586094836</v>
      </c>
      <c r="BH150" s="59">
        <f t="shared" si="116"/>
        <v>924.00363919428173</v>
      </c>
      <c r="BI150" s="59">
        <f ca="1">AVERAGE(OFFSET($BH$3,0,0,'Données projet'!$E$11+1,1))-AVERAGE(OFFSET($H$3,0,0,'Données projet'!$E$11+1,1))</f>
        <v>245.06609107649069</v>
      </c>
      <c r="BJ150" s="59">
        <f t="shared" si="146"/>
        <v>156.24531945456499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2.6590918990410097</v>
      </c>
      <c r="BQ150" s="21">
        <f>EXP(-LN(2)/25)*BQ149+(1-EXP(-LN(2)/25))/(LN(2)/25)*Calculateur!BL150*Calculateur!BN150*VLOOKUP('Données projet'!$B$11,Paramètres!$A$1:$I$89,3,0)*0.475*44/12</f>
        <v>0.89859974726207792</v>
      </c>
      <c r="BR150" s="21">
        <f>EXP(-LN(2)/2)*BR149+(1-EXP(-LN(2)/2))/(LN(2)/2)*BL150*BO150*VLOOKUP('Données projet'!$B$11,Paramètres!$A$1:$I$89,3,0)*0.475*44/12</f>
        <v>4.3553761926415395E-14</v>
      </c>
      <c r="BS150" s="22">
        <f t="shared" si="117"/>
        <v>3.5576916463031312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-2.5579538487363607E-13</v>
      </c>
      <c r="BZ150" s="13">
        <f>BY150*VLOOKUP('Données projet'!$B$12,Paramètres!$A$1:$I$89,3,0)*VLOOKUP('Données projet'!$B$12,Paramètres!$A$1:$I$89,5,0)</f>
        <v>-2.7932856028201057E-13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173.63857221119594</v>
      </c>
      <c r="CE150" s="59">
        <f t="shared" si="148"/>
        <v>52.373745617370105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0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-6.7984728957526396E-14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175.34314856709307</v>
      </c>
      <c r="T151" s="59">
        <f t="shared" si="142"/>
        <v>296.28950942251339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1.4277887847604986</v>
      </c>
      <c r="AA151" s="21">
        <f>EXP(-LN(2)/25)*AA150+(1-EXP(-LN(2)/25))/(LN(2)/25)*Calculateur!V151*Calculateur!X151*VLOOKUP('Données projet'!$B$9,Paramètres!$A$1:$I$89,3,0)*0.475*44/12</f>
        <v>0.71199559568602833</v>
      </c>
      <c r="AB151" s="21">
        <f>EXP(-LN(2)/2)*AB150+(1-EXP(-LN(2)/2))/(LN(2)/2)*V151*Y151*VLOOKUP('Données projet'!$B$9,Paramètres!$A$1:$I$89,3,0)*0.475*44/12</f>
        <v>4.4432416122609705E-18</v>
      </c>
      <c r="AC151" s="22">
        <f t="shared" si="111"/>
        <v>2.1397843804465269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275.00000000000057</v>
      </c>
      <c r="AJ151" s="13">
        <f>AI151*VLOOKUP('Données projet'!$B$10,Paramètres!$A$1:$I$89,3,0)*VLOOKUP('Données projet'!$B$10,Paramètres!$A$1:$I$89,5,0)</f>
        <v>231.66000000000051</v>
      </c>
      <c r="AK151" s="13">
        <f t="shared" si="143"/>
        <v>56.641461975682923</v>
      </c>
      <c r="AL151" s="20">
        <f t="shared" si="112"/>
        <v>502.12504627431525</v>
      </c>
      <c r="AM151" s="59">
        <f t="shared" si="113"/>
        <v>795.45837960764857</v>
      </c>
      <c r="AN151" s="59">
        <f ca="1">AVERAGE(OFFSET($AM$3,0,0,'Données projet'!$E$10+1,1))-AVERAGE(OFFSET($H$3,0,0,'Données projet'!$E$10+1,1))</f>
        <v>247.67539667223065</v>
      </c>
      <c r="AO151" s="59">
        <f t="shared" si="144"/>
        <v>174.54442616983778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0.12381771191701339</v>
      </c>
      <c r="AV151" s="21">
        <f>EXP(-LN(2)/25)*AV150+(1-EXP(-LN(2)/25))/(LN(2)/25)*Calculateur!AQ151*Calculateur!AS151*VLOOKUP('Données projet'!$B$10,Paramètres!$A$1:$I$89,3,0)*0.475*44/12</f>
        <v>0.24947354464995655</v>
      </c>
      <c r="AW151" s="21">
        <f>EXP(-LN(2)/2)*AW150+(1-EXP(-LN(2)/2))/(LN(2)/2)*AQ151*AT151*VLOOKUP('Données projet'!$B$10,Paramètres!$A$1:$I$89,3,0)*0.475*44/12</f>
        <v>1.9973285700375645E-17</v>
      </c>
      <c r="AX151" s="21">
        <f t="shared" si="114"/>
        <v>0.37329125656696993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5.1063034188034209</v>
      </c>
      <c r="BD151" s="12">
        <f>IF('Données projet'!$A$88&gt;35,BD150+BC151-BL150,IF(A151&lt;'Données projet'!$A$88,$BA$205^A151,IF(A151='Données projet'!$A$88,'Données projet'!$B$88,BD150+BC151-BL150)))</f>
        <v>298.07959401709354</v>
      </c>
      <c r="BE151" s="13">
        <f>BD151*VLOOKUP('Données projet'!$B$11,Paramètres!$A$1:$I$89,3,0)*VLOOKUP('Données projet'!$B$11,Paramètres!$A$1:$I$89,5,0)</f>
        <v>297.60266666666621</v>
      </c>
      <c r="BF151" s="13">
        <f t="shared" si="145"/>
        <v>70.673655890337713</v>
      </c>
      <c r="BG151" s="20">
        <f t="shared" si="115"/>
        <v>641.41459512011511</v>
      </c>
      <c r="BH151" s="59">
        <f t="shared" si="116"/>
        <v>934.74792845344837</v>
      </c>
      <c r="BI151" s="59">
        <f ca="1">AVERAGE(OFFSET($BH$3,0,0,'Données projet'!$E$11+1,1))-AVERAGE(OFFSET($H$3,0,0,'Données projet'!$E$11+1,1))</f>
        <v>245.06609107649069</v>
      </c>
      <c r="BJ151" s="59">
        <f t="shared" si="146"/>
        <v>156.24531945456499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2.6069487287867261</v>
      </c>
      <c r="BQ151" s="21">
        <f>EXP(-LN(2)/25)*BQ150+(1-EXP(-LN(2)/25))/(LN(2)/25)*Calculateur!BL151*Calculateur!BN151*VLOOKUP('Données projet'!$B$11,Paramètres!$A$1:$I$89,3,0)*0.475*44/12</f>
        <v>0.87402748991788948</v>
      </c>
      <c r="BR151" s="21">
        <f>EXP(-LN(2)/2)*BR150+(1-EXP(-LN(2)/2))/(LN(2)/2)*BL151*BO151*VLOOKUP('Données projet'!$B$11,Paramètres!$A$1:$I$89,3,0)*0.475*44/12</f>
        <v>3.0797160404352794E-14</v>
      </c>
      <c r="BS151" s="22">
        <f t="shared" si="117"/>
        <v>3.480976218704646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-2.5579538487363607E-13</v>
      </c>
      <c r="BZ151" s="13">
        <f>BY151*VLOOKUP('Données projet'!$B$12,Paramètres!$A$1:$I$89,3,0)*VLOOKUP('Données projet'!$B$12,Paramètres!$A$1:$I$89,5,0)</f>
        <v>-2.7932856028201057E-13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173.63857221119594</v>
      </c>
      <c r="CE151" s="59">
        <f t="shared" si="148"/>
        <v>52.373745617370105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0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-6.7984728957526396E-14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175.34314856709307</v>
      </c>
      <c r="T152" s="59">
        <f t="shared" si="142"/>
        <v>296.28950942251339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1.3997907175565132</v>
      </c>
      <c r="AA152" s="21">
        <f>EXP(-LN(2)/25)*AA151+(1-EXP(-LN(2)/25))/(LN(2)/25)*Calculateur!V152*Calculateur!X152*VLOOKUP('Données projet'!$B$9,Paramètres!$A$1:$I$89,3,0)*0.475*44/12</f>
        <v>0.6925260386797728</v>
      </c>
      <c r="AB152" s="21">
        <f>EXP(-LN(2)/2)*AB151+(1-EXP(-LN(2)/2))/(LN(2)/2)*V152*Y152*VLOOKUP('Données projet'!$B$9,Paramètres!$A$1:$I$89,3,0)*0.475*44/12</f>
        <v>3.1418462744799808E-18</v>
      </c>
      <c r="AC152" s="22">
        <f t="shared" si="111"/>
        <v>2.0923167562362859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275.00000000000057</v>
      </c>
      <c r="AJ152" s="13">
        <f>AI152*VLOOKUP('Données projet'!$B$10,Paramètres!$A$1:$I$89,3,0)*VLOOKUP('Données projet'!$B$10,Paramètres!$A$1:$I$89,5,0)</f>
        <v>231.66000000000051</v>
      </c>
      <c r="AK152" s="13">
        <f t="shared" si="143"/>
        <v>56.641461975682923</v>
      </c>
      <c r="AL152" s="20">
        <f t="shared" si="112"/>
        <v>502.12504627431525</v>
      </c>
      <c r="AM152" s="59">
        <f t="shared" si="113"/>
        <v>795.45837960764857</v>
      </c>
      <c r="AN152" s="59">
        <f ca="1">AVERAGE(OFFSET($AM$3,0,0,'Données projet'!$E$10+1,1))-AVERAGE(OFFSET($H$3,0,0,'Données projet'!$E$10+1,1))</f>
        <v>247.67539667223065</v>
      </c>
      <c r="AO152" s="59">
        <f t="shared" si="144"/>
        <v>174.54442616983778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0.12138972210766792</v>
      </c>
      <c r="AV152" s="21">
        <f>EXP(-LN(2)/25)*AV151+(1-EXP(-LN(2)/25))/(LN(2)/25)*Calculateur!AQ152*Calculateur!AS152*VLOOKUP('Données projet'!$B$10,Paramètres!$A$1:$I$89,3,0)*0.475*44/12</f>
        <v>0.24265167745225996</v>
      </c>
      <c r="AW152" s="21">
        <f>EXP(-LN(2)/2)*AW151+(1-EXP(-LN(2)/2))/(LN(2)/2)*AQ152*AT152*VLOOKUP('Données projet'!$B$10,Paramètres!$A$1:$I$89,3,0)*0.475*44/12</f>
        <v>1.412324576131192E-17</v>
      </c>
      <c r="AX152" s="21">
        <f t="shared" si="114"/>
        <v>0.36404139955992787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>
        <f>VLOOKUP(A152,'Données projet'!$A$87:$I$107,2,0)</f>
        <v>303.18589743589746</v>
      </c>
      <c r="BB152" s="12">
        <f>VLOOKUP(A152,'Données projet'!$A$87:$I$107,9,0)</f>
        <v>5.1063034188034209</v>
      </c>
      <c r="BC152" s="12">
        <f t="array" ref="BC152">INDEX(BB:BB,MIN(IF(ISNUMBER(BB152:BB348),ROW(BB152:BB348),"")))</f>
        <v>5.1063034188034209</v>
      </c>
      <c r="BD152" s="12">
        <f>IF('Données projet'!$A$88&gt;35,BD151+BC152-BL151,IF(A152&lt;'Données projet'!$A$88,$BA$205^A152,IF(A152='Données projet'!$A$88,'Données projet'!$B$88,BD151+BC152-BL151)))</f>
        <v>303.18589743589695</v>
      </c>
      <c r="BE152" s="13">
        <f>BD152*VLOOKUP('Données projet'!$B$11,Paramètres!$A$1:$I$89,3,0)*VLOOKUP('Données projet'!$B$11,Paramètres!$A$1:$I$89,5,0)</f>
        <v>302.70079999999956</v>
      </c>
      <c r="BF152" s="13">
        <f t="shared" si="145"/>
        <v>71.742359224779321</v>
      </c>
      <c r="BG152" s="20">
        <f t="shared" si="115"/>
        <v>652.1551689831565</v>
      </c>
      <c r="BH152" s="59">
        <f t="shared" si="116"/>
        <v>945.48850231648976</v>
      </c>
      <c r="BI152" s="59">
        <f ca="1">AVERAGE(OFFSET($BH$3,0,0,'Données projet'!$E$11+1,1))-AVERAGE(OFFSET($H$3,0,0,'Données projet'!$E$11+1,1))</f>
        <v>245.06609107649069</v>
      </c>
      <c r="BJ152" s="59">
        <f t="shared" si="146"/>
        <v>156.24531945456499</v>
      </c>
      <c r="BK152" s="15">
        <f>IF(ISNA(VLOOKUP(A152,'Données projet'!$A$87:$I$107,3,0)),0,VLOOKUP(A152,'Données projet'!$A$87:$I$107,3,0))</f>
        <v>12</v>
      </c>
      <c r="BL152" s="15">
        <f>IF(ISNA(VLOOKUP(A152,'Données projet'!$A$87:$I$107,4,0)),0,VLOOKUP(A152,'Données projet'!$A$87:$I$107,4,0))</f>
        <v>120.50641025641026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2.5558280542969354</v>
      </c>
      <c r="BQ152" s="21">
        <f>EXP(-LN(2)/25)*BQ151+(1-EXP(-LN(2)/25))/(LN(2)/25)*Calculateur!BL152*Calculateur!BN152*VLOOKUP('Données projet'!$B$11,Paramètres!$A$1:$I$89,3,0)*0.475*44/12</f>
        <v>0.85012716224297669</v>
      </c>
      <c r="BR152" s="21">
        <f>EXP(-LN(2)/2)*BR151+(1-EXP(-LN(2)/2))/(LN(2)/2)*BL152*BO152*VLOOKUP('Données projet'!$B$11,Paramètres!$A$1:$I$89,3,0)*0.475*44/12</f>
        <v>2.1776880963207697E-14</v>
      </c>
      <c r="BS152" s="22">
        <f t="shared" si="117"/>
        <v>3.4059552165399336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-2.5579538487363607E-13</v>
      </c>
      <c r="BZ152" s="13">
        <f>BY152*VLOOKUP('Données projet'!$B$12,Paramètres!$A$1:$I$89,3,0)*VLOOKUP('Données projet'!$B$12,Paramètres!$A$1:$I$89,5,0)</f>
        <v>-2.7932856028201057E-13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173.63857221119594</v>
      </c>
      <c r="CE152" s="59">
        <f t="shared" si="148"/>
        <v>52.373745617370105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0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-6.7984728957526396E-14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175.34314856709307</v>
      </c>
      <c r="T153" s="59">
        <f t="shared" si="142"/>
        <v>296.28950942251339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1.3723416753732631</v>
      </c>
      <c r="AA153" s="21">
        <f>EXP(-LN(2)/25)*AA152+(1-EXP(-LN(2)/25))/(LN(2)/25)*Calculateur!V153*Calculateur!X153*VLOOKUP('Données projet'!$B$9,Paramètres!$A$1:$I$89,3,0)*0.475*44/12</f>
        <v>0.67358887773371279</v>
      </c>
      <c r="AB153" s="21">
        <f>EXP(-LN(2)/2)*AB152+(1-EXP(-LN(2)/2))/(LN(2)/2)*V153*Y153*VLOOKUP('Données projet'!$B$9,Paramètres!$A$1:$I$89,3,0)*0.475*44/12</f>
        <v>2.2216208061304853E-18</v>
      </c>
      <c r="AC153" s="22">
        <f t="shared" si="111"/>
        <v>2.045930553106976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275.00000000000057</v>
      </c>
      <c r="AJ153" s="13">
        <f>AI153*VLOOKUP('Données projet'!$B$10,Paramètres!$A$1:$I$89,3,0)*VLOOKUP('Données projet'!$B$10,Paramètres!$A$1:$I$89,5,0)</f>
        <v>231.66000000000051</v>
      </c>
      <c r="AK153" s="13">
        <f t="shared" si="143"/>
        <v>56.641461975682923</v>
      </c>
      <c r="AL153" s="20">
        <f t="shared" si="112"/>
        <v>502.12504627431525</v>
      </c>
      <c r="AM153" s="59">
        <f t="shared" si="113"/>
        <v>795.45837960764857</v>
      </c>
      <c r="AN153" s="59">
        <f ca="1">AVERAGE(OFFSET($AM$3,0,0,'Données projet'!$E$10+1,1))-AVERAGE(OFFSET($H$3,0,0,'Données projet'!$E$10+1,1))</f>
        <v>247.67539667223065</v>
      </c>
      <c r="AO153" s="59">
        <f t="shared" si="144"/>
        <v>174.54442616983778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0.11900934369755616</v>
      </c>
      <c r="AV153" s="21">
        <f>EXP(-LN(2)/25)*AV152+(1-EXP(-LN(2)/25))/(LN(2)/25)*Calculateur!AQ153*Calculateur!AS153*VLOOKUP('Données projet'!$B$10,Paramètres!$A$1:$I$89,3,0)*0.475*44/12</f>
        <v>0.23601635457183079</v>
      </c>
      <c r="AW153" s="21">
        <f>EXP(-LN(2)/2)*AW152+(1-EXP(-LN(2)/2))/(LN(2)/2)*AQ153*AT153*VLOOKUP('Données projet'!$B$10,Paramètres!$A$1:$I$89,3,0)*0.475*44/12</f>
        <v>9.9866428501878225E-18</v>
      </c>
      <c r="AX153" s="21">
        <f t="shared" si="114"/>
        <v>0.35502569826938696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3.0945512820512846</v>
      </c>
      <c r="BD153" s="12">
        <f>IF('Données projet'!$A$88&gt;35,BD152+BC153-BL152,IF(A153&lt;'Données projet'!$A$88,$BA$205^A153,IF(A153='Données projet'!$A$88,'Données projet'!$B$88,BD152+BC153-BL152)))</f>
        <v>185.77403846153794</v>
      </c>
      <c r="BE153" s="13">
        <f>BD153*VLOOKUP('Données projet'!$B$11,Paramètres!$A$1:$I$89,3,0)*VLOOKUP('Données projet'!$B$11,Paramètres!$A$1:$I$89,5,0)</f>
        <v>185.47679999999949</v>
      </c>
      <c r="BF153" s="13">
        <f t="shared" si="145"/>
        <v>46.538539572121756</v>
      </c>
      <c r="BG153" s="20">
        <f t="shared" si="115"/>
        <v>404.09338308811112</v>
      </c>
      <c r="BH153" s="59">
        <f t="shared" si="116"/>
        <v>697.42671642144444</v>
      </c>
      <c r="BI153" s="59">
        <f ca="1">AVERAGE(OFFSET($BH$3,0,0,'Données projet'!$E$11+1,1))-AVERAGE(OFFSET($H$3,0,0,'Données projet'!$E$11+1,1))</f>
        <v>245.06609107649069</v>
      </c>
      <c r="BJ153" s="59">
        <f t="shared" si="146"/>
        <v>156.24531945456499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2.5057098250533567</v>
      </c>
      <c r="BQ153" s="21">
        <f>EXP(-LN(2)/25)*BQ152+(1-EXP(-LN(2)/25))/(LN(2)/25)*Calculateur!BL153*Calculateur!BN153*VLOOKUP('Données projet'!$B$11,Paramètres!$A$1:$I$89,3,0)*0.475*44/12</f>
        <v>0.826880390285198</v>
      </c>
      <c r="BR153" s="21">
        <f>EXP(-LN(2)/2)*BR152+(1-EXP(-LN(2)/2))/(LN(2)/2)*BL153*BO153*VLOOKUP('Données projet'!$B$11,Paramètres!$A$1:$I$89,3,0)*0.475*44/12</f>
        <v>1.5398580202176397E-14</v>
      </c>
      <c r="BS153" s="22">
        <f t="shared" si="117"/>
        <v>3.3325902153385702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-2.5579538487363607E-13</v>
      </c>
      <c r="BZ153" s="13">
        <f>BY153*VLOOKUP('Données projet'!$B$12,Paramètres!$A$1:$I$89,3,0)*VLOOKUP('Données projet'!$B$12,Paramètres!$A$1:$I$89,5,0)</f>
        <v>-2.7932856028201057E-13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173.63857221119594</v>
      </c>
      <c r="CE153" s="59">
        <f t="shared" si="148"/>
        <v>52.373745617370105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0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-6.7984728957526396E-14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175.34314856709307</v>
      </c>
      <c r="T154" s="59">
        <f t="shared" si="142"/>
        <v>296.28950942251339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1.345430892164964</v>
      </c>
      <c r="AA154" s="21">
        <f>EXP(-LN(2)/25)*AA153+(1-EXP(-LN(2)/25))/(LN(2)/25)*Calculateur!V154*Calculateur!X154*VLOOKUP('Données projet'!$B$9,Paramètres!$A$1:$I$89,3,0)*0.475*44/12</f>
        <v>0.6551695544495848</v>
      </c>
      <c r="AB154" s="21">
        <f>EXP(-LN(2)/2)*AB153+(1-EXP(-LN(2)/2))/(LN(2)/2)*V154*Y154*VLOOKUP('Données projet'!$B$9,Paramètres!$A$1:$I$89,3,0)*0.475*44/12</f>
        <v>1.5709231372399904E-18</v>
      </c>
      <c r="AC154" s="22">
        <f t="shared" ref="AC154:AC203" si="163">SUM(Z154:AB154)</f>
        <v>2.0006004466145488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275.00000000000057</v>
      </c>
      <c r="AJ154" s="13">
        <f>AI154*VLOOKUP('Données projet'!$B$10,Paramètres!$A$1:$I$89,3,0)*VLOOKUP('Données projet'!$B$10,Paramètres!$A$1:$I$89,5,0)</f>
        <v>231.66000000000051</v>
      </c>
      <c r="AK154" s="13">
        <f t="shared" ref="AK154:AK203" si="164">EXP(-1.0587+0.8836*LN(AJ154)+0.284)</f>
        <v>56.641461975682923</v>
      </c>
      <c r="AL154" s="20">
        <f t="shared" ref="AL154:AL203" si="165">(AJ154+AK154)*0.475*44/12</f>
        <v>502.12504627431525</v>
      </c>
      <c r="AM154" s="59">
        <f t="shared" si="113"/>
        <v>795.45837960764857</v>
      </c>
      <c r="AN154" s="59">
        <f ca="1">AVERAGE(OFFSET($AM$3,0,0,'Données projet'!$E$10+1,1))-AVERAGE(OFFSET($H$3,0,0,'Données projet'!$E$10+1,1))</f>
        <v>247.67539667223065</v>
      </c>
      <c r="AO154" s="59">
        <f t="shared" si="144"/>
        <v>174.54442616983778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0.11667564305617921</v>
      </c>
      <c r="AV154" s="21">
        <f>EXP(-LN(2)/25)*AV153+(1-EXP(-LN(2)/25))/(LN(2)/25)*Calculateur!AQ154*Calculateur!AS154*VLOOKUP('Données projet'!$B$10,Paramètres!$A$1:$I$89,3,0)*0.475*44/12</f>
        <v>0.22956247494450341</v>
      </c>
      <c r="AW154" s="21">
        <f>EXP(-LN(2)/2)*AW153+(1-EXP(-LN(2)/2))/(LN(2)/2)*AQ154*AT154*VLOOKUP('Données projet'!$B$10,Paramètres!$A$1:$I$89,3,0)*0.475*44/12</f>
        <v>7.0616228806559598E-18</v>
      </c>
      <c r="AX154" s="21">
        <f t="shared" ref="AX154:AX203" si="166">SUM(AU154:AW154)</f>
        <v>0.3462381180006826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3.0945512820512846</v>
      </c>
      <c r="BD154" s="12">
        <f>IF('Données projet'!$A$88&gt;35,BD153+BC154-BL153,IF(A154&lt;'Données projet'!$A$88,$BA$205^A154,IF(A154='Données projet'!$A$88,'Données projet'!$B$88,BD153+BC154-BL153)))</f>
        <v>188.86858974358921</v>
      </c>
      <c r="BE154" s="13">
        <f>BD154*VLOOKUP('Données projet'!$B$11,Paramètres!$A$1:$I$89,3,0)*VLOOKUP('Données projet'!$B$11,Paramètres!$A$1:$I$89,5,0)</f>
        <v>188.56639999999948</v>
      </c>
      <c r="BF154" s="13">
        <f t="shared" ref="BF154:BF203" si="167">EXP(-1.0587+0.8836*LN(BE154)+0.284)</f>
        <v>47.222864670406764</v>
      </c>
      <c r="BG154" s="20">
        <f t="shared" ref="BG154:BG203" si="168">(BE154+BF154)*0.475*44/12</f>
        <v>410.66630263429084</v>
      </c>
      <c r="BH154" s="59">
        <f t="shared" si="116"/>
        <v>703.99963596762416</v>
      </c>
      <c r="BI154" s="59">
        <f ca="1">AVERAGE(OFFSET($BH$3,0,0,'Données projet'!$E$11+1,1))-AVERAGE(OFFSET($H$3,0,0,'Données projet'!$E$11+1,1))</f>
        <v>245.06609107649069</v>
      </c>
      <c r="BJ154" s="59">
        <f t="shared" si="146"/>
        <v>156.24531945456499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2.4565743837161436</v>
      </c>
      <c r="BQ154" s="21">
        <f>EXP(-LN(2)/25)*BQ153+(1-EXP(-LN(2)/25))/(LN(2)/25)*Calculateur!BL154*Calculateur!BN154*VLOOKUP('Données projet'!$B$11,Paramètres!$A$1:$I$89,3,0)*0.475*44/12</f>
        <v>0.80426930252909934</v>
      </c>
      <c r="BR154" s="21">
        <f>EXP(-LN(2)/2)*BR153+(1-EXP(-LN(2)/2))/(LN(2)/2)*BL154*BO154*VLOOKUP('Données projet'!$B$11,Paramètres!$A$1:$I$89,3,0)*0.475*44/12</f>
        <v>1.0888440481603849E-14</v>
      </c>
      <c r="BS154" s="22">
        <f t="shared" ref="BS154:BS203" si="169">SUM(BP154:BR154)</f>
        <v>3.2608436862452539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-2.5579538487363607E-13</v>
      </c>
      <c r="BZ154" s="13">
        <f>BY154*VLOOKUP('Données projet'!$B$12,Paramètres!$A$1:$I$89,3,0)*VLOOKUP('Données projet'!$B$12,Paramètres!$A$1:$I$89,5,0)</f>
        <v>-2.7932856028201057E-13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173.63857221119594</v>
      </c>
      <c r="CE154" s="59">
        <f t="shared" si="148"/>
        <v>52.373745617370105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0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-6.7984728957526396E-14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175.34314856709307</v>
      </c>
      <c r="T155" s="59">
        <f t="shared" si="142"/>
        <v>296.28950942251339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1.3190478130014227</v>
      </c>
      <c r="AA155" s="21">
        <f>EXP(-LN(2)/25)*AA154+(1-EXP(-LN(2)/25))/(LN(2)/25)*Calculateur!V155*Calculateur!X155*VLOOKUP('Données projet'!$B$9,Paramètres!$A$1:$I$89,3,0)*0.475*44/12</f>
        <v>0.63725390852929142</v>
      </c>
      <c r="AB155" s="21">
        <f>EXP(-LN(2)/2)*AB154+(1-EXP(-LN(2)/2))/(LN(2)/2)*V155*Y155*VLOOKUP('Données projet'!$B$9,Paramètres!$A$1:$I$89,3,0)*0.475*44/12</f>
        <v>1.1108104030652426E-18</v>
      </c>
      <c r="AC155" s="22">
        <f t="shared" si="163"/>
        <v>1.9563017215307141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275.00000000000057</v>
      </c>
      <c r="AJ155" s="13">
        <f>AI155*VLOOKUP('Données projet'!$B$10,Paramètres!$A$1:$I$89,3,0)*VLOOKUP('Données projet'!$B$10,Paramètres!$A$1:$I$89,5,0)</f>
        <v>231.66000000000051</v>
      </c>
      <c r="AK155" s="13">
        <f t="shared" si="164"/>
        <v>56.641461975682923</v>
      </c>
      <c r="AL155" s="20">
        <f t="shared" si="165"/>
        <v>502.12504627431525</v>
      </c>
      <c r="AM155" s="59">
        <f t="shared" si="113"/>
        <v>795.45837960764857</v>
      </c>
      <c r="AN155" s="59">
        <f ca="1">AVERAGE(OFFSET($AM$3,0,0,'Données projet'!$E$10+1,1))-AVERAGE(OFFSET($H$3,0,0,'Données projet'!$E$10+1,1))</f>
        <v>247.67539667223065</v>
      </c>
      <c r="AO155" s="59">
        <f t="shared" si="144"/>
        <v>174.54442616983778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0.11438770486096282</v>
      </c>
      <c r="AV155" s="21">
        <f>EXP(-LN(2)/25)*AV154+(1-EXP(-LN(2)/25))/(LN(2)/25)*Calculateur!AQ155*Calculateur!AS155*VLOOKUP('Données projet'!$B$10,Paramètres!$A$1:$I$89,3,0)*0.475*44/12</f>
        <v>0.22328507699498007</v>
      </c>
      <c r="AW155" s="21">
        <f>EXP(-LN(2)/2)*AW154+(1-EXP(-LN(2)/2))/(LN(2)/2)*AQ155*AT155*VLOOKUP('Données projet'!$B$10,Paramètres!$A$1:$I$89,3,0)*0.475*44/12</f>
        <v>4.9933214250939113E-18</v>
      </c>
      <c r="AX155" s="21">
        <f t="shared" si="166"/>
        <v>0.33767278185594291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3.0945512820512846</v>
      </c>
      <c r="BD155" s="12">
        <f>IF('Données projet'!$A$88&gt;35,BD154+BC155-BL154,IF(A155&lt;'Données projet'!$A$88,$BA$205^A155,IF(A155='Données projet'!$A$88,'Données projet'!$B$88,BD154+BC155-BL154)))</f>
        <v>191.96314102564048</v>
      </c>
      <c r="BE155" s="13">
        <f>BD155*VLOOKUP('Données projet'!$B$11,Paramètres!$A$1:$I$89,3,0)*VLOOKUP('Données projet'!$B$11,Paramètres!$A$1:$I$89,5,0)</f>
        <v>191.65599999999947</v>
      </c>
      <c r="BF155" s="13">
        <f t="shared" si="167"/>
        <v>47.905885821907063</v>
      </c>
      <c r="BG155" s="20">
        <f t="shared" si="168"/>
        <v>417.23695113982052</v>
      </c>
      <c r="BH155" s="59">
        <f t="shared" si="116"/>
        <v>710.57028447315383</v>
      </c>
      <c r="BI155" s="59">
        <f ca="1">AVERAGE(OFFSET($BH$3,0,0,'Données projet'!$E$11+1,1))-AVERAGE(OFFSET($H$3,0,0,'Données projet'!$E$11+1,1))</f>
        <v>245.06609107649069</v>
      </c>
      <c r="BJ155" s="59">
        <f t="shared" si="146"/>
        <v>156.24531945456499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2.4084024584138932</v>
      </c>
      <c r="BQ155" s="21">
        <f>EXP(-LN(2)/25)*BQ154+(1-EXP(-LN(2)/25))/(LN(2)/25)*Calculateur!BL155*Calculateur!BN155*VLOOKUP('Données projet'!$B$11,Paramètres!$A$1:$I$89,3,0)*0.475*44/12</f>
        <v>0.78227651615675664</v>
      </c>
      <c r="BR155" s="21">
        <f>EXP(-LN(2)/2)*BR154+(1-EXP(-LN(2)/2))/(LN(2)/2)*BL155*BO155*VLOOKUP('Données projet'!$B$11,Paramètres!$A$1:$I$89,3,0)*0.475*44/12</f>
        <v>7.6992901010881986E-15</v>
      </c>
      <c r="BS155" s="22">
        <f t="shared" si="169"/>
        <v>3.1906789745706576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-2.5579538487363607E-13</v>
      </c>
      <c r="BZ155" s="13">
        <f>BY155*VLOOKUP('Données projet'!$B$12,Paramètres!$A$1:$I$89,3,0)*VLOOKUP('Données projet'!$B$12,Paramètres!$A$1:$I$89,5,0)</f>
        <v>-2.7932856028201057E-13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173.63857221119594</v>
      </c>
      <c r="CE155" s="59">
        <f t="shared" si="148"/>
        <v>52.373745617370105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0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-6.7984728957526396E-14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175.34314856709307</v>
      </c>
      <c r="T156" s="59">
        <f t="shared" si="142"/>
        <v>296.28950942251339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1.2931820899281889</v>
      </c>
      <c r="AA156" s="21">
        <f>EXP(-LN(2)/25)*AA155+(1-EXP(-LN(2)/25))/(LN(2)/25)*Calculateur!V156*Calculateur!X156*VLOOKUP('Données projet'!$B$9,Paramètres!$A$1:$I$89,3,0)*0.475*44/12</f>
        <v>0.61982816688883136</v>
      </c>
      <c r="AB156" s="21">
        <f>EXP(-LN(2)/2)*AB155+(1-EXP(-LN(2)/2))/(LN(2)/2)*V156*Y156*VLOOKUP('Données projet'!$B$9,Paramètres!$A$1:$I$89,3,0)*0.475*44/12</f>
        <v>7.854615686199952E-19</v>
      </c>
      <c r="AC156" s="22">
        <f t="shared" si="163"/>
        <v>1.9130102568170204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275.00000000000057</v>
      </c>
      <c r="AJ156" s="13">
        <f>AI156*VLOOKUP('Données projet'!$B$10,Paramètres!$A$1:$I$89,3,0)*VLOOKUP('Données projet'!$B$10,Paramètres!$A$1:$I$89,5,0)</f>
        <v>231.66000000000051</v>
      </c>
      <c r="AK156" s="13">
        <f t="shared" si="164"/>
        <v>56.641461975682923</v>
      </c>
      <c r="AL156" s="20">
        <f t="shared" si="165"/>
        <v>502.12504627431525</v>
      </c>
      <c r="AM156" s="59">
        <f t="shared" si="113"/>
        <v>795.45837960764857</v>
      </c>
      <c r="AN156" s="59">
        <f ca="1">AVERAGE(OFFSET($AM$3,0,0,'Données projet'!$E$10+1,1))-AVERAGE(OFFSET($H$3,0,0,'Données projet'!$E$10+1,1))</f>
        <v>247.67539667223065</v>
      </c>
      <c r="AO156" s="59">
        <f t="shared" si="144"/>
        <v>174.54442616983778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0.11214463173825012</v>
      </c>
      <c r="AV156" s="21">
        <f>EXP(-LN(2)/25)*AV155+(1-EXP(-LN(2)/25))/(LN(2)/25)*Calculateur!AQ156*Calculateur!AS156*VLOOKUP('Données projet'!$B$10,Paramètres!$A$1:$I$89,3,0)*0.475*44/12</f>
        <v>0.21717933482250046</v>
      </c>
      <c r="AW156" s="21">
        <f>EXP(-LN(2)/2)*AW155+(1-EXP(-LN(2)/2))/(LN(2)/2)*AQ156*AT156*VLOOKUP('Données projet'!$B$10,Paramètres!$A$1:$I$89,3,0)*0.475*44/12</f>
        <v>3.5308114403279799E-18</v>
      </c>
      <c r="AX156" s="21">
        <f t="shared" si="166"/>
        <v>0.32932396656075058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>
        <f>VLOOKUP(A156,'Données projet'!$A$87:$I$107,2,0)</f>
        <v>195.05769230769232</v>
      </c>
      <c r="BB156" s="12">
        <f>VLOOKUP(A156,'Données projet'!$A$87:$I$107,9,0)</f>
        <v>3.0945512820512846</v>
      </c>
      <c r="BC156" s="12">
        <f t="array" ref="BC156">INDEX(BB:BB,MIN(IF(ISNUMBER(BB156:BB352),ROW(BB156:BB352),"")))</f>
        <v>3.0945512820512846</v>
      </c>
      <c r="BD156" s="12">
        <f>IF('Données projet'!$A$88&gt;35,BD155+BC156-BL155,IF(A156&lt;'Données projet'!$A$88,$BA$205^A156,IF(A156='Données projet'!$A$88,'Données projet'!$B$88,BD155+BC156-BL155)))</f>
        <v>195.05769230769175</v>
      </c>
      <c r="BE156" s="13">
        <f>BD156*VLOOKUP('Données projet'!$B$11,Paramètres!$A$1:$I$89,3,0)*VLOOKUP('Données projet'!$B$11,Paramètres!$A$1:$I$89,5,0)</f>
        <v>194.74559999999946</v>
      </c>
      <c r="BF156" s="13">
        <f t="shared" si="167"/>
        <v>48.587626473771046</v>
      </c>
      <c r="BG156" s="20">
        <f t="shared" si="168"/>
        <v>423.80536944181694</v>
      </c>
      <c r="BH156" s="59">
        <f t="shared" si="116"/>
        <v>717.13870277515025</v>
      </c>
      <c r="BI156" s="59">
        <f ca="1">AVERAGE(OFFSET($BH$3,0,0,'Données projet'!$E$11+1,1))-AVERAGE(OFFSET($H$3,0,0,'Données projet'!$E$11+1,1))</f>
        <v>245.06609107649069</v>
      </c>
      <c r="BJ156" s="59">
        <f t="shared" si="146"/>
        <v>156.24531945456499</v>
      </c>
      <c r="BK156" s="15">
        <f>IF(ISNA(VLOOKUP(A156,'Données projet'!$A$87:$I$107,3,0)),0,VLOOKUP(A156,'Données projet'!$A$87:$I$107,3,0))</f>
        <v>13</v>
      </c>
      <c r="BL156" s="15">
        <f>IF(ISNA(VLOOKUP(A156,'Données projet'!$A$87:$I$107,4,0)),0,VLOOKUP(A156,'Données projet'!$A$87:$I$107,4,0))</f>
        <v>70.115384615384613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2.3611751551848466</v>
      </c>
      <c r="BQ156" s="21">
        <f>EXP(-LN(2)/25)*BQ155+(1-EXP(-LN(2)/25))/(LN(2)/25)*Calculateur!BL156*Calculateur!BN156*VLOOKUP('Données projet'!$B$11,Paramètres!$A$1:$I$89,3,0)*0.475*44/12</f>
        <v>0.76088512368431604</v>
      </c>
      <c r="BR156" s="21">
        <f>EXP(-LN(2)/2)*BR155+(1-EXP(-LN(2)/2))/(LN(2)/2)*BL156*BO156*VLOOKUP('Données projet'!$B$11,Paramètres!$A$1:$I$89,3,0)*0.475*44/12</f>
        <v>5.4442202408019243E-15</v>
      </c>
      <c r="BS156" s="22">
        <f t="shared" si="169"/>
        <v>3.122060278869168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-2.5579538487363607E-13</v>
      </c>
      <c r="BZ156" s="13">
        <f>BY156*VLOOKUP('Données projet'!$B$12,Paramètres!$A$1:$I$89,3,0)*VLOOKUP('Données projet'!$B$12,Paramètres!$A$1:$I$89,5,0)</f>
        <v>-2.7932856028201057E-13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173.63857221119594</v>
      </c>
      <c r="CE156" s="59">
        <f t="shared" si="148"/>
        <v>52.373745617370105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0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-6.7984728957526396E-14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175.34314856709307</v>
      </c>
      <c r="T157" s="59">
        <f t="shared" si="142"/>
        <v>296.28950942251339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1.2678235779078881</v>
      </c>
      <c r="AA157" s="21">
        <f>EXP(-LN(2)/25)*AA156+(1-EXP(-LN(2)/25))/(LN(2)/25)*Calculateur!V157*Calculateur!X157*VLOOKUP('Données projet'!$B$9,Paramètres!$A$1:$I$89,3,0)*0.475*44/12</f>
        <v>0.60287893306990958</v>
      </c>
      <c r="AB157" s="21">
        <f>EXP(-LN(2)/2)*AB156+(1-EXP(-LN(2)/2))/(LN(2)/2)*V157*Y157*VLOOKUP('Données projet'!$B$9,Paramètres!$A$1:$I$89,3,0)*0.475*44/12</f>
        <v>5.5540520153262132E-19</v>
      </c>
      <c r="AC157" s="22">
        <f t="shared" si="163"/>
        <v>1.8707025109777977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275.00000000000057</v>
      </c>
      <c r="AJ157" s="13">
        <f>AI157*VLOOKUP('Données projet'!$B$10,Paramètres!$A$1:$I$89,3,0)*VLOOKUP('Données projet'!$B$10,Paramètres!$A$1:$I$89,5,0)</f>
        <v>231.66000000000051</v>
      </c>
      <c r="AK157" s="13">
        <f t="shared" si="164"/>
        <v>56.641461975682923</v>
      </c>
      <c r="AL157" s="20">
        <f t="shared" si="165"/>
        <v>502.12504627431525</v>
      </c>
      <c r="AM157" s="59">
        <f t="shared" si="113"/>
        <v>795.45837960764857</v>
      </c>
      <c r="AN157" s="59">
        <f ca="1">AVERAGE(OFFSET($AM$3,0,0,'Données projet'!$E$10+1,1))-AVERAGE(OFFSET($H$3,0,0,'Données projet'!$E$10+1,1))</f>
        <v>247.67539667223065</v>
      </c>
      <c r="AO157" s="59">
        <f t="shared" si="144"/>
        <v>174.54442616983778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0.10994554391133432</v>
      </c>
      <c r="AV157" s="21">
        <f>EXP(-LN(2)/25)*AV156+(1-EXP(-LN(2)/25))/(LN(2)/25)*Calculateur!AQ157*Calculateur!AS157*VLOOKUP('Données projet'!$B$10,Paramètres!$A$1:$I$89,3,0)*0.475*44/12</f>
        <v>0.21124055449081433</v>
      </c>
      <c r="AW157" s="21">
        <f>EXP(-LN(2)/2)*AW156+(1-EXP(-LN(2)/2))/(LN(2)/2)*AQ157*AT157*VLOOKUP('Données projet'!$B$10,Paramètres!$A$1:$I$89,3,0)*0.475*44/12</f>
        <v>2.4966607125469556E-18</v>
      </c>
      <c r="AX157" s="21">
        <f t="shared" si="166"/>
        <v>0.32118609840214862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1.8717948717948687</v>
      </c>
      <c r="BD157" s="12">
        <f>IF('Données projet'!$A$88&gt;35,BD156+BC157-BL156,IF(A157&lt;'Données projet'!$A$88,$BA$205^A157,IF(A157='Données projet'!$A$88,'Données projet'!$B$88,BD156+BC157-BL156)))</f>
        <v>126.814102564102</v>
      </c>
      <c r="BE157" s="13">
        <f>BD157*VLOOKUP('Données projet'!$B$11,Paramètres!$A$1:$I$89,3,0)*VLOOKUP('Données projet'!$B$11,Paramètres!$A$1:$I$89,5,0)</f>
        <v>126.61119999999943</v>
      </c>
      <c r="BF157" s="13">
        <f t="shared" si="167"/>
        <v>33.212107464464275</v>
      </c>
      <c r="BG157" s="20">
        <f t="shared" si="168"/>
        <v>278.35892716727426</v>
      </c>
      <c r="BH157" s="59">
        <f t="shared" si="116"/>
        <v>571.69226050060752</v>
      </c>
      <c r="BI157" s="59">
        <f ca="1">AVERAGE(OFFSET($BH$3,0,0,'Données projet'!$E$11+1,1))-AVERAGE(OFFSET($H$3,0,0,'Données projet'!$E$11+1,1))</f>
        <v>245.06609107649069</v>
      </c>
      <c r="BJ157" s="59">
        <f t="shared" si="146"/>
        <v>156.24531945456499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2.314873950566311</v>
      </c>
      <c r="BQ157" s="21">
        <f>EXP(-LN(2)/25)*BQ156+(1-EXP(-LN(2)/25))/(LN(2)/25)*Calculateur!BL157*Calculateur!BN157*VLOOKUP('Données projet'!$B$11,Paramètres!$A$1:$I$89,3,0)*0.475*44/12</f>
        <v>0.74007867996395882</v>
      </c>
      <c r="BR157" s="21">
        <f>EXP(-LN(2)/2)*BR156+(1-EXP(-LN(2)/2))/(LN(2)/2)*BL157*BO157*VLOOKUP('Données projet'!$B$11,Paramètres!$A$1:$I$89,3,0)*0.475*44/12</f>
        <v>3.8496450505440993E-15</v>
      </c>
      <c r="BS157" s="22">
        <f t="shared" si="169"/>
        <v>3.0549526305302739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-2.5579538487363607E-13</v>
      </c>
      <c r="BZ157" s="13">
        <f>BY157*VLOOKUP('Données projet'!$B$12,Paramètres!$A$1:$I$89,3,0)*VLOOKUP('Données projet'!$B$12,Paramètres!$A$1:$I$89,5,0)</f>
        <v>-2.7932856028201057E-13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173.63857221119594</v>
      </c>
      <c r="CE157" s="59">
        <f t="shared" si="148"/>
        <v>52.373745617370105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0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-6.7984728957526396E-14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175.34314856709307</v>
      </c>
      <c r="T158" s="59">
        <f t="shared" si="142"/>
        <v>296.28950942251339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1.2429623308411404</v>
      </c>
      <c r="AA158" s="21">
        <f>EXP(-LN(2)/25)*AA157+(1-EXP(-LN(2)/25))/(LN(2)/25)*Calculateur!V158*Calculateur!X158*VLOOKUP('Données projet'!$B$9,Paramètres!$A$1:$I$89,3,0)*0.475*44/12</f>
        <v>0.58639317694108772</v>
      </c>
      <c r="AB158" s="21">
        <f>EXP(-LN(2)/2)*AB157+(1-EXP(-LN(2)/2))/(LN(2)/2)*V158*Y158*VLOOKUP('Données projet'!$B$9,Paramètres!$A$1:$I$89,3,0)*0.475*44/12</f>
        <v>3.927307843099976E-19</v>
      </c>
      <c r="AC158" s="22">
        <f t="shared" si="163"/>
        <v>1.8293555077822281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275.00000000000057</v>
      </c>
      <c r="AJ158" s="13">
        <f>AI158*VLOOKUP('Données projet'!$B$10,Paramètres!$A$1:$I$89,3,0)*VLOOKUP('Données projet'!$B$10,Paramètres!$A$1:$I$89,5,0)</f>
        <v>231.66000000000051</v>
      </c>
      <c r="AK158" s="13">
        <f t="shared" si="164"/>
        <v>56.641461975682923</v>
      </c>
      <c r="AL158" s="20">
        <f t="shared" si="165"/>
        <v>502.12504627431525</v>
      </c>
      <c r="AM158" s="59">
        <f t="shared" si="113"/>
        <v>795.45837960764857</v>
      </c>
      <c r="AN158" s="59">
        <f ca="1">AVERAGE(OFFSET($AM$3,0,0,'Données projet'!$E$10+1,1))-AVERAGE(OFFSET($H$3,0,0,'Données projet'!$E$10+1,1))</f>
        <v>247.67539667223065</v>
      </c>
      <c r="AO158" s="59">
        <f t="shared" si="144"/>
        <v>174.54442616983778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0.1077895788553932</v>
      </c>
      <c r="AV158" s="21">
        <f>EXP(-LN(2)/25)*AV157+(1-EXP(-LN(2)/25))/(LN(2)/25)*Calculateur!AQ158*Calculateur!AS158*VLOOKUP('Données projet'!$B$10,Paramètres!$A$1:$I$89,3,0)*0.475*44/12</f>
        <v>0.20546417041960505</v>
      </c>
      <c r="AW158" s="21">
        <f>EXP(-LN(2)/2)*AW157+(1-EXP(-LN(2)/2))/(LN(2)/2)*AQ158*AT158*VLOOKUP('Données projet'!$B$10,Paramètres!$A$1:$I$89,3,0)*0.475*44/12</f>
        <v>1.7654057201639899E-18</v>
      </c>
      <c r="AX158" s="21">
        <f t="shared" si="166"/>
        <v>0.31325374927499827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1.8717948717948687</v>
      </c>
      <c r="BD158" s="12">
        <f>IF('Données projet'!$A$88&gt;35,BD157+BC158-BL157,IF(A158&lt;'Données projet'!$A$88,$BA$205^A158,IF(A158='Données projet'!$A$88,'Données projet'!$B$88,BD157+BC158-BL157)))</f>
        <v>128.68589743589686</v>
      </c>
      <c r="BE158" s="13">
        <f>BD158*VLOOKUP('Données projet'!$B$11,Paramètres!$A$1:$I$89,3,0)*VLOOKUP('Données projet'!$B$11,Paramètres!$A$1:$I$89,5,0)</f>
        <v>128.47999999999945</v>
      </c>
      <c r="BF158" s="13">
        <f t="shared" si="167"/>
        <v>33.644891906697445</v>
      </c>
      <c r="BG158" s="20">
        <f t="shared" si="168"/>
        <v>282.36752007083038</v>
      </c>
      <c r="BH158" s="59">
        <f t="shared" si="116"/>
        <v>575.70085340416369</v>
      </c>
      <c r="BI158" s="59">
        <f ca="1">AVERAGE(OFFSET($BH$3,0,0,'Données projet'!$E$11+1,1))-AVERAGE(OFFSET($H$3,0,0,'Données projet'!$E$11+1,1))</f>
        <v>245.06609107649069</v>
      </c>
      <c r="BJ158" s="59">
        <f t="shared" si="146"/>
        <v>156.24531945456499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2.2694806843293986</v>
      </c>
      <c r="BQ158" s="21">
        <f>EXP(-LN(2)/25)*BQ157+(1-EXP(-LN(2)/25))/(LN(2)/25)*Calculateur!BL158*Calculateur!BN158*VLOOKUP('Données projet'!$B$11,Paramètres!$A$1:$I$89,3,0)*0.475*44/12</f>
        <v>0.71984118954129805</v>
      </c>
      <c r="BR158" s="21">
        <f>EXP(-LN(2)/2)*BR157+(1-EXP(-LN(2)/2))/(LN(2)/2)*BL158*BO158*VLOOKUP('Données projet'!$B$11,Paramètres!$A$1:$I$89,3,0)*0.475*44/12</f>
        <v>2.7221101204009622E-15</v>
      </c>
      <c r="BS158" s="22">
        <f t="shared" si="169"/>
        <v>2.9893218738706993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-2.5579538487363607E-13</v>
      </c>
      <c r="BZ158" s="13">
        <f>BY158*VLOOKUP('Données projet'!$B$12,Paramètres!$A$1:$I$89,3,0)*VLOOKUP('Données projet'!$B$12,Paramètres!$A$1:$I$89,5,0)</f>
        <v>-2.7932856028201057E-13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173.63857221119594</v>
      </c>
      <c r="CE158" s="59">
        <f t="shared" si="148"/>
        <v>52.373745617370105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0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-6.7984728957526396E-14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175.34314856709307</v>
      </c>
      <c r="T159" s="59">
        <f t="shared" si="142"/>
        <v>296.28950942251339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1.2185885976655082</v>
      </c>
      <c r="AA159" s="21">
        <f>EXP(-LN(2)/25)*AA158+(1-EXP(-LN(2)/25))/(LN(2)/25)*Calculateur!V159*Calculateur!X159*VLOOKUP('Données projet'!$B$9,Paramètres!$A$1:$I$89,3,0)*0.475*44/12</f>
        <v>0.57035822468055675</v>
      </c>
      <c r="AB159" s="21">
        <f>EXP(-LN(2)/2)*AB158+(1-EXP(-LN(2)/2))/(LN(2)/2)*V159*Y159*VLOOKUP('Données projet'!$B$9,Paramètres!$A$1:$I$89,3,0)*0.475*44/12</f>
        <v>2.7770260076631066E-19</v>
      </c>
      <c r="AC159" s="22">
        <f t="shared" si="163"/>
        <v>1.7889468223460649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275.00000000000057</v>
      </c>
      <c r="AJ159" s="13">
        <f>AI159*VLOOKUP('Données projet'!$B$10,Paramètres!$A$1:$I$89,3,0)*VLOOKUP('Données projet'!$B$10,Paramètres!$A$1:$I$89,5,0)</f>
        <v>231.66000000000051</v>
      </c>
      <c r="AK159" s="13">
        <f t="shared" si="164"/>
        <v>56.641461975682923</v>
      </c>
      <c r="AL159" s="20">
        <f t="shared" si="165"/>
        <v>502.12504627431525</v>
      </c>
      <c r="AM159" s="59">
        <f t="shared" si="113"/>
        <v>795.45837960764857</v>
      </c>
      <c r="AN159" s="59">
        <f ca="1">AVERAGE(OFFSET($AM$3,0,0,'Données projet'!$E$10+1,1))-AVERAGE(OFFSET($H$3,0,0,'Données projet'!$E$10+1,1))</f>
        <v>247.67539667223065</v>
      </c>
      <c r="AO159" s="59">
        <f t="shared" si="144"/>
        <v>174.54442616983778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0.10567589095919025</v>
      </c>
      <c r="AV159" s="21">
        <f>EXP(-LN(2)/25)*AV158+(1-EXP(-LN(2)/25))/(LN(2)/25)*Calculateur!AQ159*Calculateur!AS159*VLOOKUP('Données projet'!$B$10,Paramètres!$A$1:$I$89,3,0)*0.475*44/12</f>
        <v>0.19984574187458981</v>
      </c>
      <c r="AW159" s="21">
        <f>EXP(-LN(2)/2)*AW158+(1-EXP(-LN(2)/2))/(LN(2)/2)*AQ159*AT159*VLOOKUP('Données projet'!$B$10,Paramètres!$A$1:$I$89,3,0)*0.475*44/12</f>
        <v>1.2483303562734778E-18</v>
      </c>
      <c r="AX159" s="21">
        <f t="shared" si="166"/>
        <v>0.30552163283378009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1.8717948717948687</v>
      </c>
      <c r="BD159" s="12">
        <f>IF('Données projet'!$A$88&gt;35,BD158+BC159-BL158,IF(A159&lt;'Données projet'!$A$88,$BA$205^A159,IF(A159='Données projet'!$A$88,'Données projet'!$B$88,BD158+BC159-BL158)))</f>
        <v>130.55769230769172</v>
      </c>
      <c r="BE159" s="13">
        <f>BD159*VLOOKUP('Données projet'!$B$11,Paramètres!$A$1:$I$89,3,0)*VLOOKUP('Données projet'!$B$11,Paramètres!$A$1:$I$89,5,0)</f>
        <v>130.34879999999941</v>
      </c>
      <c r="BF159" s="13">
        <f t="shared" si="167"/>
        <v>34.076944198178857</v>
      </c>
      <c r="BG159" s="20">
        <f t="shared" si="168"/>
        <v>286.37483781182715</v>
      </c>
      <c r="BH159" s="59">
        <f t="shared" si="116"/>
        <v>579.70817114516046</v>
      </c>
      <c r="BI159" s="59">
        <f ca="1">AVERAGE(OFFSET($BH$3,0,0,'Données projet'!$E$11+1,1))-AVERAGE(OFFSET($H$3,0,0,'Données projet'!$E$11+1,1))</f>
        <v>245.06609107649069</v>
      </c>
      <c r="BJ159" s="59">
        <f t="shared" si="146"/>
        <v>156.24531945456499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2.2249775523562336</v>
      </c>
      <c r="BQ159" s="21">
        <f>EXP(-LN(2)/25)*BQ158+(1-EXP(-LN(2)/25))/(LN(2)/25)*Calculateur!BL159*Calculateur!BN159*VLOOKUP('Données projet'!$B$11,Paramètres!$A$1:$I$89,3,0)*0.475*44/12</f>
        <v>0.70015709435848827</v>
      </c>
      <c r="BR159" s="21">
        <f>EXP(-LN(2)/2)*BR158+(1-EXP(-LN(2)/2))/(LN(2)/2)*BL159*BO159*VLOOKUP('Données projet'!$B$11,Paramètres!$A$1:$I$89,3,0)*0.475*44/12</f>
        <v>1.9248225252720497E-15</v>
      </c>
      <c r="BS159" s="22">
        <f t="shared" si="169"/>
        <v>2.9251346467147235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-2.5579538487363607E-13</v>
      </c>
      <c r="BZ159" s="13">
        <f>BY159*VLOOKUP('Données projet'!$B$12,Paramètres!$A$1:$I$89,3,0)*VLOOKUP('Données projet'!$B$12,Paramètres!$A$1:$I$89,5,0)</f>
        <v>-2.7932856028201057E-13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173.63857221119594</v>
      </c>
      <c r="CE159" s="59">
        <f t="shared" si="148"/>
        <v>52.373745617370105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0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-6.7984728957526396E-14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175.34314856709307</v>
      </c>
      <c r="T160" s="59">
        <f t="shared" si="142"/>
        <v>296.28950942251339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1.1946928185309407</v>
      </c>
      <c r="AA160" s="21">
        <f>EXP(-LN(2)/25)*AA159+(1-EXP(-LN(2)/25))/(LN(2)/25)*Calculateur!V160*Calculateur!X160*VLOOKUP('Données projet'!$B$9,Paramètres!$A$1:$I$89,3,0)*0.475*44/12</f>
        <v>0.55476174903283149</v>
      </c>
      <c r="AB160" s="21">
        <f>EXP(-LN(2)/2)*AB159+(1-EXP(-LN(2)/2))/(LN(2)/2)*V160*Y160*VLOOKUP('Données projet'!$B$9,Paramètres!$A$1:$I$89,3,0)*0.475*44/12</f>
        <v>1.963653921549988E-19</v>
      </c>
      <c r="AC160" s="22">
        <f t="shared" si="163"/>
        <v>1.749454567563772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275.00000000000057</v>
      </c>
      <c r="AJ160" s="13">
        <f>AI160*VLOOKUP('Données projet'!$B$10,Paramètres!$A$1:$I$89,3,0)*VLOOKUP('Données projet'!$B$10,Paramètres!$A$1:$I$89,5,0)</f>
        <v>231.66000000000051</v>
      </c>
      <c r="AK160" s="13">
        <f t="shared" si="164"/>
        <v>56.641461975682923</v>
      </c>
      <c r="AL160" s="20">
        <f t="shared" si="165"/>
        <v>502.12504627431525</v>
      </c>
      <c r="AM160" s="59">
        <f t="shared" si="113"/>
        <v>795.45837960764857</v>
      </c>
      <c r="AN160" s="59">
        <f ca="1">AVERAGE(OFFSET($AM$3,0,0,'Données projet'!$E$10+1,1))-AVERAGE(OFFSET($H$3,0,0,'Données projet'!$E$10+1,1))</f>
        <v>247.67539667223065</v>
      </c>
      <c r="AO160" s="59">
        <f t="shared" si="144"/>
        <v>174.54442616983778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0.10360365119340952</v>
      </c>
      <c r="AV160" s="21">
        <f>EXP(-LN(2)/25)*AV159+(1-EXP(-LN(2)/25))/(LN(2)/25)*Calculateur!AQ160*Calculateur!AS160*VLOOKUP('Données projet'!$B$10,Paramètres!$A$1:$I$89,3,0)*0.475*44/12</f>
        <v>0.19438094955359833</v>
      </c>
      <c r="AW160" s="21">
        <f>EXP(-LN(2)/2)*AW159+(1-EXP(-LN(2)/2))/(LN(2)/2)*AQ160*AT160*VLOOKUP('Données projet'!$B$10,Paramètres!$A$1:$I$89,3,0)*0.475*44/12</f>
        <v>8.8270286008199497E-19</v>
      </c>
      <c r="AX160" s="21">
        <f t="shared" si="166"/>
        <v>0.29798460074700783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>
        <f>VLOOKUP(A160,'Données projet'!$A$87:$I$107,2,0)</f>
        <v>132.42948717948718</v>
      </c>
      <c r="BB160" s="12">
        <f>VLOOKUP(A160,'Données projet'!$A$87:$I$107,9,0)</f>
        <v>1.8717948717948687</v>
      </c>
      <c r="BC160" s="12">
        <f t="array" ref="BC160">INDEX(BB:BB,MIN(IF(ISNUMBER(BB160:BB356),ROW(BB160:BB356),"")))</f>
        <v>1.8717948717948687</v>
      </c>
      <c r="BD160" s="12">
        <f>IF('Données projet'!$A$88&gt;35,BD159+BC160-BL159,IF(A160&lt;'Données projet'!$A$88,$BA$205^A160,IF(A160='Données projet'!$A$88,'Données projet'!$B$88,BD159+BC160-BL159)))</f>
        <v>132.42948717948659</v>
      </c>
      <c r="BE160" s="13">
        <f>BD160*VLOOKUP('Données projet'!$B$11,Paramètres!$A$1:$I$89,3,0)*VLOOKUP('Données projet'!$B$11,Paramètres!$A$1:$I$89,5,0)</f>
        <v>132.21759999999941</v>
      </c>
      <c r="BF160" s="13">
        <f t="shared" si="167"/>
        <v>34.508276048554009</v>
      </c>
      <c r="BG160" s="20">
        <f t="shared" si="168"/>
        <v>290.38090078456383</v>
      </c>
      <c r="BH160" s="59">
        <f t="shared" si="116"/>
        <v>583.71423411789715</v>
      </c>
      <c r="BI160" s="59">
        <f ca="1">AVERAGE(OFFSET($BH$3,0,0,'Données projet'!$E$11+1,1))-AVERAGE(OFFSET($H$3,0,0,'Données projet'!$E$11+1,1))</f>
        <v>245.06609107649069</v>
      </c>
      <c r="BJ160" s="59">
        <f t="shared" si="146"/>
        <v>156.24531945456499</v>
      </c>
      <c r="BK160" s="15">
        <f>IF(ISNA(VLOOKUP(A160,'Données projet'!$A$87:$I$107,3,0)),0,VLOOKUP(A160,'Données projet'!$A$87:$I$107,3,0))</f>
        <v>14</v>
      </c>
      <c r="BL160" s="15">
        <f>IF(ISNA(VLOOKUP(A160,'Données projet'!$A$87:$I$107,4,0)),0,VLOOKUP(A160,'Données projet'!$A$87:$I$107,4,0))</f>
        <v>45.71153846153846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2.1813470996568323</v>
      </c>
      <c r="BQ160" s="21">
        <f>EXP(-LN(2)/25)*BQ159+(1-EXP(-LN(2)/25))/(LN(2)/25)*Calculateur!BL160*Calculateur!BN160*VLOOKUP('Données projet'!$B$11,Paramètres!$A$1:$I$89,3,0)*0.475*44/12</f>
        <v>0.68101126179359406</v>
      </c>
      <c r="BR160" s="21">
        <f>EXP(-LN(2)/2)*BR159+(1-EXP(-LN(2)/2))/(LN(2)/2)*BL160*BO160*VLOOKUP('Données projet'!$B$11,Paramètres!$A$1:$I$89,3,0)*0.475*44/12</f>
        <v>1.3610550602004811E-15</v>
      </c>
      <c r="BS160" s="22">
        <f t="shared" si="169"/>
        <v>2.8623583614504278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-2.5579538487363607E-13</v>
      </c>
      <c r="BZ160" s="13">
        <f>BY160*VLOOKUP('Données projet'!$B$12,Paramètres!$A$1:$I$89,3,0)*VLOOKUP('Données projet'!$B$12,Paramètres!$A$1:$I$89,5,0)</f>
        <v>-2.7932856028201057E-13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173.63857221119594</v>
      </c>
      <c r="CE160" s="59">
        <f t="shared" si="148"/>
        <v>52.373745617370105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0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-6.7984728957526396E-14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175.34314856709307</v>
      </c>
      <c r="T161" s="59">
        <f t="shared" si="142"/>
        <v>296.28950942251339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1.1712656210502159</v>
      </c>
      <c r="AA161" s="21">
        <f>EXP(-LN(2)/25)*AA160+(1-EXP(-LN(2)/25))/(LN(2)/25)*Calculateur!V161*Calculateur!X161*VLOOKUP('Données projet'!$B$9,Paramètres!$A$1:$I$89,3,0)*0.475*44/12</f>
        <v>0.53959175983187624</v>
      </c>
      <c r="AB161" s="21">
        <f>EXP(-LN(2)/2)*AB160+(1-EXP(-LN(2)/2))/(LN(2)/2)*V161*Y161*VLOOKUP('Données projet'!$B$9,Paramètres!$A$1:$I$89,3,0)*0.475*44/12</f>
        <v>1.3885130038315533E-19</v>
      </c>
      <c r="AC161" s="22">
        <f t="shared" si="163"/>
        <v>1.7108573808820922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275.00000000000057</v>
      </c>
      <c r="AJ161" s="13">
        <f>AI161*VLOOKUP('Données projet'!$B$10,Paramètres!$A$1:$I$89,3,0)*VLOOKUP('Données projet'!$B$10,Paramètres!$A$1:$I$89,5,0)</f>
        <v>231.66000000000051</v>
      </c>
      <c r="AK161" s="13">
        <f t="shared" si="164"/>
        <v>56.641461975682923</v>
      </c>
      <c r="AL161" s="20">
        <f t="shared" si="165"/>
        <v>502.12504627431525</v>
      </c>
      <c r="AM161" s="59">
        <f t="shared" si="113"/>
        <v>795.45837960764857</v>
      </c>
      <c r="AN161" s="59">
        <f ca="1">AVERAGE(OFFSET($AM$3,0,0,'Données projet'!$E$10+1,1))-AVERAGE(OFFSET($H$3,0,0,'Données projet'!$E$10+1,1))</f>
        <v>247.67539667223065</v>
      </c>
      <c r="AO161" s="59">
        <f t="shared" si="144"/>
        <v>174.54442616983778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0.10157204678549429</v>
      </c>
      <c r="AV161" s="21">
        <f>EXP(-LN(2)/25)*AV160+(1-EXP(-LN(2)/25))/(LN(2)/25)*Calculateur!AQ161*Calculateur!AS161*VLOOKUP('Données projet'!$B$10,Paramètres!$A$1:$I$89,3,0)*0.475*44/12</f>
        <v>0.18906559226600531</v>
      </c>
      <c r="AW161" s="21">
        <f>EXP(-LN(2)/2)*AW160+(1-EXP(-LN(2)/2))/(LN(2)/2)*AQ161*AT161*VLOOKUP('Données projet'!$B$10,Paramètres!$A$1:$I$89,3,0)*0.475*44/12</f>
        <v>6.2416517813673891E-19</v>
      </c>
      <c r="AX161" s="21">
        <f t="shared" si="166"/>
        <v>0.29063763905149959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1.1618589743589709</v>
      </c>
      <c r="BD161" s="12">
        <f>IF('Données projet'!$A$88&gt;35,BD160+BC161-BL160,IF(A161&lt;'Données projet'!$A$88,$BA$205^A161,IF(A161='Données projet'!$A$88,'Données projet'!$B$88,BD160+BC161-BL160)))</f>
        <v>87.879807692307111</v>
      </c>
      <c r="BE161" s="13">
        <f>BD161*VLOOKUP('Données projet'!$B$11,Paramètres!$A$1:$I$89,3,0)*VLOOKUP('Données projet'!$B$11,Paramètres!$A$1:$I$89,5,0)</f>
        <v>87.739199999999428</v>
      </c>
      <c r="BF161" s="13">
        <f t="shared" si="167"/>
        <v>24.019169773975587</v>
      </c>
      <c r="BG161" s="20">
        <f t="shared" si="168"/>
        <v>194.64582735633982</v>
      </c>
      <c r="BH161" s="59">
        <f t="shared" si="116"/>
        <v>487.97916068967311</v>
      </c>
      <c r="BI161" s="59">
        <f ca="1">AVERAGE(OFFSET($BH$3,0,0,'Données projet'!$E$11+1,1))-AVERAGE(OFFSET($H$3,0,0,'Données projet'!$E$11+1,1))</f>
        <v>245.06609107649069</v>
      </c>
      <c r="BJ161" s="59">
        <f t="shared" si="146"/>
        <v>156.24531945456499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2.1385722135229175</v>
      </c>
      <c r="BQ161" s="21">
        <f>EXP(-LN(2)/25)*BQ160+(1-EXP(-LN(2)/25))/(LN(2)/25)*Calculateur!BL161*Calculateur!BN161*VLOOKUP('Données projet'!$B$11,Paramètres!$A$1:$I$89,3,0)*0.475*44/12</f>
        <v>0.66238897302702249</v>
      </c>
      <c r="BR161" s="21">
        <f>EXP(-LN(2)/2)*BR160+(1-EXP(-LN(2)/2))/(LN(2)/2)*BL161*BO161*VLOOKUP('Données projet'!$B$11,Paramètres!$A$1:$I$89,3,0)*0.475*44/12</f>
        <v>9.6241126263602483E-16</v>
      </c>
      <c r="BS161" s="22">
        <f t="shared" si="169"/>
        <v>2.8009611865499409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-2.5579538487363607E-13</v>
      </c>
      <c r="BZ161" s="13">
        <f>BY161*VLOOKUP('Données projet'!$B$12,Paramètres!$A$1:$I$89,3,0)*VLOOKUP('Données projet'!$B$12,Paramètres!$A$1:$I$89,5,0)</f>
        <v>-2.7932856028201057E-13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173.63857221119594</v>
      </c>
      <c r="CE161" s="59">
        <f t="shared" si="148"/>
        <v>52.373745617370105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0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-6.7984728957526396E-14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175.34314856709307</v>
      </c>
      <c r="T162" s="59">
        <f t="shared" si="142"/>
        <v>296.28950942251339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1.1482978166229088</v>
      </c>
      <c r="AA162" s="21">
        <f>EXP(-LN(2)/25)*AA161+(1-EXP(-LN(2)/25))/(LN(2)/25)*Calculateur!V162*Calculateur!X162*VLOOKUP('Données projet'!$B$9,Paramètres!$A$1:$I$89,3,0)*0.475*44/12</f>
        <v>0.52483659478337619</v>
      </c>
      <c r="AB162" s="21">
        <f>EXP(-LN(2)/2)*AB161+(1-EXP(-LN(2)/2))/(LN(2)/2)*V162*Y162*VLOOKUP('Données projet'!$B$9,Paramètres!$A$1:$I$89,3,0)*0.475*44/12</f>
        <v>9.8182696077499399E-20</v>
      </c>
      <c r="AC162" s="22">
        <f t="shared" si="163"/>
        <v>1.6731344114062849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275.00000000000057</v>
      </c>
      <c r="AJ162" s="13">
        <f>AI162*VLOOKUP('Données projet'!$B$10,Paramètres!$A$1:$I$89,3,0)*VLOOKUP('Données projet'!$B$10,Paramètres!$A$1:$I$89,5,0)</f>
        <v>231.66000000000051</v>
      </c>
      <c r="AK162" s="13">
        <f t="shared" si="164"/>
        <v>56.641461975682923</v>
      </c>
      <c r="AL162" s="20">
        <f t="shared" si="165"/>
        <v>502.12504627431525</v>
      </c>
      <c r="AM162" s="59">
        <f t="shared" si="113"/>
        <v>795.45837960764857</v>
      </c>
      <c r="AN162" s="59">
        <f ca="1">AVERAGE(OFFSET($AM$3,0,0,'Données projet'!$E$10+1,1))-AVERAGE(OFFSET($H$3,0,0,'Données projet'!$E$10+1,1))</f>
        <v>247.67539667223065</v>
      </c>
      <c r="AO162" s="59">
        <f t="shared" si="144"/>
        <v>174.54442616983778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9.9580280900861962E-2</v>
      </c>
      <c r="AV162" s="21">
        <f>EXP(-LN(2)/25)*AV161+(1-EXP(-LN(2)/25))/(LN(2)/25)*Calculateur!AQ162*Calculateur!AS162*VLOOKUP('Données projet'!$B$10,Paramètres!$A$1:$I$89,3,0)*0.475*44/12</f>
        <v>0.18389558370296402</v>
      </c>
      <c r="AW162" s="21">
        <f>EXP(-LN(2)/2)*AW161+(1-EXP(-LN(2)/2))/(LN(2)/2)*AQ162*AT162*VLOOKUP('Données projet'!$B$10,Paramètres!$A$1:$I$89,3,0)*0.475*44/12</f>
        <v>4.4135143004099749E-19</v>
      </c>
      <c r="AX162" s="21">
        <f t="shared" si="166"/>
        <v>0.28347586460382601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1.1618589743589709</v>
      </c>
      <c r="BD162" s="12">
        <f>IF('Données projet'!$A$88&gt;35,BD161+BC162-BL161,IF(A162&lt;'Données projet'!$A$88,$BA$205^A162,IF(A162='Données projet'!$A$88,'Données projet'!$B$88,BD161+BC162-BL161)))</f>
        <v>89.041666666666089</v>
      </c>
      <c r="BE162" s="13">
        <f>BD162*VLOOKUP('Données projet'!$B$11,Paramètres!$A$1:$I$89,3,0)*VLOOKUP('Données projet'!$B$11,Paramètres!$A$1:$I$89,5,0)</f>
        <v>88.899199999999425</v>
      </c>
      <c r="BF162" s="13">
        <f t="shared" si="167"/>
        <v>24.299548688606205</v>
      </c>
      <c r="BG162" s="20">
        <f t="shared" si="168"/>
        <v>197.15448729932146</v>
      </c>
      <c r="BH162" s="59">
        <f t="shared" si="116"/>
        <v>490.4878206326548</v>
      </c>
      <c r="BI162" s="59">
        <f ca="1">AVERAGE(OFFSET($BH$3,0,0,'Données projet'!$E$11+1,1))-AVERAGE(OFFSET($H$3,0,0,'Données projet'!$E$11+1,1))</f>
        <v>245.06609107649069</v>
      </c>
      <c r="BJ162" s="59">
        <f t="shared" si="146"/>
        <v>156.24531945456499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2.0966361168159846</v>
      </c>
      <c r="BQ162" s="21">
        <f>EXP(-LN(2)/25)*BQ161+(1-EXP(-LN(2)/25))/(LN(2)/25)*Calculateur!BL162*Calculateur!BN162*VLOOKUP('Données projet'!$B$11,Paramètres!$A$1:$I$89,3,0)*0.475*44/12</f>
        <v>0.64427591172607634</v>
      </c>
      <c r="BR162" s="21">
        <f>EXP(-LN(2)/2)*BR161+(1-EXP(-LN(2)/2))/(LN(2)/2)*BL162*BO162*VLOOKUP('Données projet'!$B$11,Paramètres!$A$1:$I$89,3,0)*0.475*44/12</f>
        <v>6.8052753010024054E-16</v>
      </c>
      <c r="BS162" s="22">
        <f t="shared" si="169"/>
        <v>2.7409120285420618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-2.5579538487363607E-13</v>
      </c>
      <c r="BZ162" s="13">
        <f>BY162*VLOOKUP('Données projet'!$B$12,Paramètres!$A$1:$I$89,3,0)*VLOOKUP('Données projet'!$B$12,Paramètres!$A$1:$I$89,5,0)</f>
        <v>-2.7932856028201057E-13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173.63857221119594</v>
      </c>
      <c r="CE162" s="59">
        <f t="shared" si="148"/>
        <v>52.373745617370105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0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-6.7984728957526396E-14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175.34314856709307</v>
      </c>
      <c r="T163" s="59">
        <f t="shared" si="142"/>
        <v>296.28950942251339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1.1257803968314437</v>
      </c>
      <c r="AA163" s="21">
        <f>EXP(-LN(2)/25)*AA162+(1-EXP(-LN(2)/25))/(LN(2)/25)*Calculateur!V163*Calculateur!X163*VLOOKUP('Données projet'!$B$9,Paramètres!$A$1:$I$89,3,0)*0.475*44/12</f>
        <v>0.51048491049906775</v>
      </c>
      <c r="AB163" s="21">
        <f>EXP(-LN(2)/2)*AB162+(1-EXP(-LN(2)/2))/(LN(2)/2)*V163*Y163*VLOOKUP('Données projet'!$B$9,Paramètres!$A$1:$I$89,3,0)*0.475*44/12</f>
        <v>6.9425650191577665E-20</v>
      </c>
      <c r="AC163" s="22">
        <f t="shared" si="163"/>
        <v>1.6362653073305116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275.00000000000057</v>
      </c>
      <c r="AJ163" s="13">
        <f>AI163*VLOOKUP('Données projet'!$B$10,Paramètres!$A$1:$I$89,3,0)*VLOOKUP('Données projet'!$B$10,Paramètres!$A$1:$I$89,5,0)</f>
        <v>231.66000000000051</v>
      </c>
      <c r="AK163" s="13">
        <f t="shared" si="164"/>
        <v>56.641461975682923</v>
      </c>
      <c r="AL163" s="20">
        <f t="shared" si="165"/>
        <v>502.12504627431525</v>
      </c>
      <c r="AM163" s="59">
        <f t="shared" si="113"/>
        <v>795.45837960764857</v>
      </c>
      <c r="AN163" s="59">
        <f ca="1">AVERAGE(OFFSET($AM$3,0,0,'Données projet'!$E$10+1,1))-AVERAGE(OFFSET($H$3,0,0,'Données projet'!$E$10+1,1))</f>
        <v>247.67539667223065</v>
      </c>
      <c r="AO163" s="59">
        <f t="shared" si="144"/>
        <v>174.54442616983778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9.7627572330370033E-2</v>
      </c>
      <c r="AV163" s="21">
        <f>EXP(-LN(2)/25)*AV162+(1-EXP(-LN(2)/25))/(LN(2)/25)*Calculateur!AQ163*Calculateur!AS163*VLOOKUP('Données projet'!$B$10,Paramètres!$A$1:$I$89,3,0)*0.475*44/12</f>
        <v>0.17886694929595803</v>
      </c>
      <c r="AW163" s="21">
        <f>EXP(-LN(2)/2)*AW162+(1-EXP(-LN(2)/2))/(LN(2)/2)*AQ163*AT163*VLOOKUP('Données projet'!$B$10,Paramètres!$A$1:$I$89,3,0)*0.475*44/12</f>
        <v>3.1208258906836945E-19</v>
      </c>
      <c r="AX163" s="21">
        <f t="shared" si="166"/>
        <v>0.27649452162632804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1.1618589743589709</v>
      </c>
      <c r="BD163" s="12">
        <f>IF('Données projet'!$A$88&gt;35,BD162+BC163-BL162,IF(A163&lt;'Données projet'!$A$88,$BA$205^A163,IF(A163='Données projet'!$A$88,'Données projet'!$B$88,BD162+BC163-BL162)))</f>
        <v>90.203525641025067</v>
      </c>
      <c r="BE163" s="13">
        <f>BD163*VLOOKUP('Données projet'!$B$11,Paramètres!$A$1:$I$89,3,0)*VLOOKUP('Données projet'!$B$11,Paramètres!$A$1:$I$89,5,0)</f>
        <v>90.059199999999436</v>
      </c>
      <c r="BF163" s="13">
        <f t="shared" si="167"/>
        <v>24.579502061924938</v>
      </c>
      <c r="BG163" s="20">
        <f t="shared" si="168"/>
        <v>199.66240609118495</v>
      </c>
      <c r="BH163" s="59">
        <f t="shared" si="116"/>
        <v>492.99573942451826</v>
      </c>
      <c r="BI163" s="59">
        <f ca="1">AVERAGE(OFFSET($BH$3,0,0,'Données projet'!$E$11+1,1))-AVERAGE(OFFSET($H$3,0,0,'Données projet'!$E$11+1,1))</f>
        <v>245.06609107649069</v>
      </c>
      <c r="BJ163" s="59">
        <f t="shared" si="146"/>
        <v>156.24531945456499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2.0555223613869811</v>
      </c>
      <c r="BQ163" s="21">
        <f>EXP(-LN(2)/25)*BQ162+(1-EXP(-LN(2)/25))/(LN(2)/25)*Calculateur!BL163*Calculateur!BN163*VLOOKUP('Données projet'!$B$11,Paramètres!$A$1:$I$89,3,0)*0.475*44/12</f>
        <v>0.62665815303892913</v>
      </c>
      <c r="BR163" s="21">
        <f>EXP(-LN(2)/2)*BR162+(1-EXP(-LN(2)/2))/(LN(2)/2)*BL163*BO163*VLOOKUP('Données projet'!$B$11,Paramètres!$A$1:$I$89,3,0)*0.475*44/12</f>
        <v>4.8120563131801241E-16</v>
      </c>
      <c r="BS163" s="22">
        <f t="shared" si="169"/>
        <v>2.6821805144259105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-2.5579538487363607E-13</v>
      </c>
      <c r="BZ163" s="13">
        <f>BY163*VLOOKUP('Données projet'!$B$12,Paramètres!$A$1:$I$89,3,0)*VLOOKUP('Données projet'!$B$12,Paramètres!$A$1:$I$89,5,0)</f>
        <v>-2.7932856028201057E-13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173.63857221119594</v>
      </c>
      <c r="CE163" s="59">
        <f t="shared" si="148"/>
        <v>52.373745617370105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0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-6.7984728957526396E-14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175.34314856709307</v>
      </c>
      <c r="T164" s="59">
        <f t="shared" si="142"/>
        <v>296.28950942251339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1.1037045299078192</v>
      </c>
      <c r="AA164" s="21">
        <f>EXP(-LN(2)/25)*AA163+(1-EXP(-LN(2)/25))/(LN(2)/25)*Calculateur!V164*Calculateur!X164*VLOOKUP('Données projet'!$B$9,Paramètres!$A$1:$I$89,3,0)*0.475*44/12</f>
        <v>0.49652567377623602</v>
      </c>
      <c r="AB164" s="21">
        <f>EXP(-LN(2)/2)*AB163+(1-EXP(-LN(2)/2))/(LN(2)/2)*V164*Y164*VLOOKUP('Données projet'!$B$9,Paramètres!$A$1:$I$89,3,0)*0.475*44/12</f>
        <v>4.90913480387497E-20</v>
      </c>
      <c r="AC164" s="22">
        <f t="shared" si="163"/>
        <v>1.6002302036840552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275.00000000000057</v>
      </c>
      <c r="AJ164" s="13">
        <f>AI164*VLOOKUP('Données projet'!$B$10,Paramètres!$A$1:$I$89,3,0)*VLOOKUP('Données projet'!$B$10,Paramètres!$A$1:$I$89,5,0)</f>
        <v>231.66000000000051</v>
      </c>
      <c r="AK164" s="13">
        <f t="shared" si="164"/>
        <v>56.641461975682923</v>
      </c>
      <c r="AL164" s="20">
        <f t="shared" si="165"/>
        <v>502.12504627431525</v>
      </c>
      <c r="AM164" s="59">
        <f t="shared" si="113"/>
        <v>795.45837960764857</v>
      </c>
      <c r="AN164" s="59">
        <f ca="1">AVERAGE(OFFSET($AM$3,0,0,'Données projet'!$E$10+1,1))-AVERAGE(OFFSET($H$3,0,0,'Données projet'!$E$10+1,1))</f>
        <v>247.67539667223065</v>
      </c>
      <c r="AO164" s="59">
        <f t="shared" si="144"/>
        <v>174.54442616983778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9.5713155183910825E-2</v>
      </c>
      <c r="AV164" s="21">
        <f>EXP(-LN(2)/25)*AV163+(1-EXP(-LN(2)/25))/(LN(2)/25)*Calculateur!AQ164*Calculateur!AS164*VLOOKUP('Données projet'!$B$10,Paramètres!$A$1:$I$89,3,0)*0.475*44/12</f>
        <v>0.17397582316125601</v>
      </c>
      <c r="AW164" s="21">
        <f>EXP(-LN(2)/2)*AW163+(1-EXP(-LN(2)/2))/(LN(2)/2)*AQ164*AT164*VLOOKUP('Données projet'!$B$10,Paramètres!$A$1:$I$89,3,0)*0.475*44/12</f>
        <v>2.2067571502049874E-19</v>
      </c>
      <c r="AX164" s="21">
        <f t="shared" si="166"/>
        <v>0.26968897834516681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>
        <f>VLOOKUP(A164,'Données projet'!$A$87:$I$107,2,0)</f>
        <v>91.365384615384613</v>
      </c>
      <c r="BB164" s="12">
        <f>VLOOKUP(A164,'Données projet'!$A$87:$I$107,9,0)</f>
        <v>1.1618589743589709</v>
      </c>
      <c r="BC164" s="12">
        <f t="array" ref="BC164">INDEX(BB:BB,MIN(IF(ISNUMBER(BB164:BB360),ROW(BB164:BB360),"")))</f>
        <v>1.1618589743589709</v>
      </c>
      <c r="BD164" s="12">
        <f>IF('Données projet'!$A$88&gt;35,BD163+BC164-BL163,IF(A164&lt;'Données projet'!$A$88,$BA$205^A164,IF(A164='Données projet'!$A$88,'Données projet'!$B$88,BD163+BC164-BL163)))</f>
        <v>91.365384615384045</v>
      </c>
      <c r="BE164" s="13">
        <f>BD164*VLOOKUP('Données projet'!$B$11,Paramètres!$A$1:$I$89,3,0)*VLOOKUP('Données projet'!$B$11,Paramètres!$A$1:$I$89,5,0)</f>
        <v>91.219199999999432</v>
      </c>
      <c r="BF164" s="13">
        <f t="shared" si="167"/>
        <v>24.859036008842132</v>
      </c>
      <c r="BG164" s="20">
        <f t="shared" si="168"/>
        <v>202.16959438206572</v>
      </c>
      <c r="BH164" s="59">
        <f t="shared" si="116"/>
        <v>495.50292771539904</v>
      </c>
      <c r="BI164" s="59">
        <f ca="1">AVERAGE(OFFSET($BH$3,0,0,'Données projet'!$E$11+1,1))-AVERAGE(OFFSET($H$3,0,0,'Données projet'!$E$11+1,1))</f>
        <v>245.06609107649069</v>
      </c>
      <c r="BJ164" s="59">
        <f t="shared" si="146"/>
        <v>156.24531945456499</v>
      </c>
      <c r="BK164" s="15">
        <f>IF(ISNA(VLOOKUP(A164,'Données projet'!$A$87:$I$107,3,0)),0,VLOOKUP(A164,'Données projet'!$A$87:$I$107,3,0))</f>
        <v>15</v>
      </c>
      <c r="BL164" s="15">
        <f>IF(ISNA(VLOOKUP(A164,'Données projet'!$A$87:$I$107,4,0)),0,VLOOKUP(A164,'Données projet'!$A$87:$I$107,4,0))</f>
        <v>91.365384615384613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2.0152148216250256</v>
      </c>
      <c r="BQ164" s="21">
        <f>EXP(-LN(2)/25)*BQ163+(1-EXP(-LN(2)/25))/(LN(2)/25)*Calculateur!BL164*Calculateur!BN164*VLOOKUP('Données projet'!$B$11,Paramètres!$A$1:$I$89,3,0)*0.475*44/12</f>
        <v>0.60952215288955958</v>
      </c>
      <c r="BR164" s="21">
        <f>EXP(-LN(2)/2)*BR163+(1-EXP(-LN(2)/2))/(LN(2)/2)*BL164*BO164*VLOOKUP('Données projet'!$B$11,Paramètres!$A$1:$I$89,3,0)*0.475*44/12</f>
        <v>3.4026376505012027E-16</v>
      </c>
      <c r="BS164" s="22">
        <f t="shared" si="169"/>
        <v>2.6247369745145854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-2.5579538487363607E-13</v>
      </c>
      <c r="BZ164" s="13">
        <f>BY164*VLOOKUP('Données projet'!$B$12,Paramètres!$A$1:$I$89,3,0)*VLOOKUP('Données projet'!$B$12,Paramètres!$A$1:$I$89,5,0)</f>
        <v>-2.7932856028201057E-13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173.63857221119594</v>
      </c>
      <c r="CE164" s="59">
        <f t="shared" si="148"/>
        <v>52.373745617370105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0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-6.7984728957526396E-14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175.34314856709307</v>
      </c>
      <c r="T165" s="59">
        <f t="shared" si="142"/>
        <v>296.28950942251339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1.0820615572696177</v>
      </c>
      <c r="AA165" s="21">
        <f>EXP(-LN(2)/25)*AA164+(1-EXP(-LN(2)/25))/(LN(2)/25)*Calculateur!V165*Calculateur!X165*VLOOKUP('Données projet'!$B$9,Paramètres!$A$1:$I$89,3,0)*0.475*44/12</f>
        <v>0.48294815311567446</v>
      </c>
      <c r="AB165" s="21">
        <f>EXP(-LN(2)/2)*AB164+(1-EXP(-LN(2)/2))/(LN(2)/2)*V165*Y165*VLOOKUP('Données projet'!$B$9,Paramètres!$A$1:$I$89,3,0)*0.475*44/12</f>
        <v>3.4712825095788832E-20</v>
      </c>
      <c r="AC165" s="22">
        <f t="shared" si="163"/>
        <v>1.5650097103852922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275.00000000000057</v>
      </c>
      <c r="AJ165" s="13">
        <f>AI165*VLOOKUP('Données projet'!$B$10,Paramètres!$A$1:$I$89,3,0)*VLOOKUP('Données projet'!$B$10,Paramètres!$A$1:$I$89,5,0)</f>
        <v>231.66000000000051</v>
      </c>
      <c r="AK165" s="13">
        <f t="shared" si="164"/>
        <v>56.641461975682923</v>
      </c>
      <c r="AL165" s="20">
        <f t="shared" si="165"/>
        <v>502.12504627431525</v>
      </c>
      <c r="AM165" s="59">
        <f t="shared" si="113"/>
        <v>795.45837960764857</v>
      </c>
      <c r="AN165" s="59">
        <f ca="1">AVERAGE(OFFSET($AM$3,0,0,'Données projet'!$E$10+1,1))-AVERAGE(OFFSET($H$3,0,0,'Données projet'!$E$10+1,1))</f>
        <v>247.67539667223065</v>
      </c>
      <c r="AO165" s="59">
        <f t="shared" si="144"/>
        <v>174.54442616983778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9.3836278590014519E-2</v>
      </c>
      <c r="AV165" s="21">
        <f>EXP(-LN(2)/25)*AV164+(1-EXP(-LN(2)/25))/(LN(2)/25)*Calculateur!AQ165*Calculateur!AS165*VLOOKUP('Données projet'!$B$10,Paramètres!$A$1:$I$89,3,0)*0.475*44/12</f>
        <v>0.16921844512792056</v>
      </c>
      <c r="AW165" s="21">
        <f>EXP(-LN(2)/2)*AW164+(1-EXP(-LN(2)/2))/(LN(2)/2)*AQ165*AT165*VLOOKUP('Données projet'!$B$10,Paramètres!$A$1:$I$89,3,0)*0.475*44/12</f>
        <v>1.5604129453418473E-19</v>
      </c>
      <c r="AX165" s="21">
        <f t="shared" si="166"/>
        <v>0.26305472371793509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-5.6843418860808015E-13</v>
      </c>
      <c r="BE165" s="13">
        <f>BD165*VLOOKUP('Données projet'!$B$11,Paramètres!$A$1:$I$89,3,0)*VLOOKUP('Données projet'!$B$11,Paramètres!$A$1:$I$89,5,0)</f>
        <v>-5.6752469390630732E-13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245.06609107649069</v>
      </c>
      <c r="BJ165" s="59">
        <f t="shared" si="146"/>
        <v>156.24531945456499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1.9756976881326307</v>
      </c>
      <c r="BQ165" s="21">
        <f>EXP(-LN(2)/25)*BQ164+(1-EXP(-LN(2)/25))/(LN(2)/25)*Calculateur!BL165*Calculateur!BN165*VLOOKUP('Données projet'!$B$11,Paramètres!$A$1:$I$89,3,0)*0.475*44/12</f>
        <v>0.59285473756541762</v>
      </c>
      <c r="BR165" s="21">
        <f>EXP(-LN(2)/2)*BR164+(1-EXP(-LN(2)/2))/(LN(2)/2)*BL165*BO165*VLOOKUP('Données projet'!$B$11,Paramètres!$A$1:$I$89,3,0)*0.475*44/12</f>
        <v>2.4060281565900621E-16</v>
      </c>
      <c r="BS165" s="22">
        <f t="shared" si="169"/>
        <v>2.5685524256980488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-2.5579538487363607E-13</v>
      </c>
      <c r="BZ165" s="13">
        <f>BY165*VLOOKUP('Données projet'!$B$12,Paramètres!$A$1:$I$89,3,0)*VLOOKUP('Données projet'!$B$12,Paramètres!$A$1:$I$89,5,0)</f>
        <v>-2.7932856028201057E-13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173.63857221119594</v>
      </c>
      <c r="CE165" s="59">
        <f t="shared" si="148"/>
        <v>52.373745617370105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0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-6.7984728957526396E-14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175.34314856709307</v>
      </c>
      <c r="T166" s="59">
        <f t="shared" si="142"/>
        <v>296.28950942251339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1.0608429901239416</v>
      </c>
      <c r="AA166" s="21">
        <f>EXP(-LN(2)/25)*AA165+(1-EXP(-LN(2)/25))/(LN(2)/25)*Calculateur!V166*Calculateur!X166*VLOOKUP('Données projet'!$B$9,Paramètres!$A$1:$I$89,3,0)*0.475*44/12</f>
        <v>0.46974191047158675</v>
      </c>
      <c r="AB166" s="21">
        <f>EXP(-LN(2)/2)*AB165+(1-EXP(-LN(2)/2))/(LN(2)/2)*V166*Y166*VLOOKUP('Données projet'!$B$9,Paramètres!$A$1:$I$89,3,0)*0.475*44/12</f>
        <v>2.454567401937485E-20</v>
      </c>
      <c r="AC166" s="22">
        <f t="shared" si="163"/>
        <v>1.5305849005955283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275.00000000000057</v>
      </c>
      <c r="AJ166" s="13">
        <f>AI166*VLOOKUP('Données projet'!$B$10,Paramètres!$A$1:$I$89,3,0)*VLOOKUP('Données projet'!$B$10,Paramètres!$A$1:$I$89,5,0)</f>
        <v>231.66000000000051</v>
      </c>
      <c r="AK166" s="13">
        <f t="shared" si="164"/>
        <v>56.641461975682923</v>
      </c>
      <c r="AL166" s="20">
        <f t="shared" si="165"/>
        <v>502.12504627431525</v>
      </c>
      <c r="AM166" s="59">
        <f t="shared" si="113"/>
        <v>795.45837960764857</v>
      </c>
      <c r="AN166" s="59">
        <f ca="1">AVERAGE(OFFSET($AM$3,0,0,'Données projet'!$E$10+1,1))-AVERAGE(OFFSET($H$3,0,0,'Données projet'!$E$10+1,1))</f>
        <v>247.67539667223065</v>
      </c>
      <c r="AO166" s="59">
        <f t="shared" si="144"/>
        <v>174.54442616983778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9.1996206401342845E-2</v>
      </c>
      <c r="AV166" s="21">
        <f>EXP(-LN(2)/25)*AV165+(1-EXP(-LN(2)/25))/(LN(2)/25)*Calculateur!AQ166*Calculateur!AS166*VLOOKUP('Données projet'!$B$10,Paramètres!$A$1:$I$89,3,0)*0.475*44/12</f>
        <v>0.16459115784708631</v>
      </c>
      <c r="AW166" s="21">
        <f>EXP(-LN(2)/2)*AW165+(1-EXP(-LN(2)/2))/(LN(2)/2)*AQ166*AT166*VLOOKUP('Données projet'!$B$10,Paramètres!$A$1:$I$89,3,0)*0.475*44/12</f>
        <v>1.1033785751024937E-19</v>
      </c>
      <c r="AX166" s="21">
        <f t="shared" si="166"/>
        <v>0.25658736424842915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-5.6843418860808015E-13</v>
      </c>
      <c r="BE166" s="13">
        <f>BD166*VLOOKUP('Données projet'!$B$11,Paramètres!$A$1:$I$89,3,0)*VLOOKUP('Données projet'!$B$11,Paramètres!$A$1:$I$89,5,0)</f>
        <v>-5.6752469390630732E-13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245.06609107649069</v>
      </c>
      <c r="BJ166" s="59">
        <f t="shared" si="146"/>
        <v>156.24531945456499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1.93695546152495</v>
      </c>
      <c r="BQ166" s="21">
        <f>EXP(-LN(2)/25)*BQ165+(1-EXP(-LN(2)/25))/(LN(2)/25)*Calculateur!BL166*Calculateur!BN166*VLOOKUP('Données projet'!$B$11,Paramètres!$A$1:$I$89,3,0)*0.475*44/12</f>
        <v>0.57664309358981558</v>
      </c>
      <c r="BR166" s="21">
        <f>EXP(-LN(2)/2)*BR165+(1-EXP(-LN(2)/2))/(LN(2)/2)*BL166*BO166*VLOOKUP('Données projet'!$B$11,Paramètres!$A$1:$I$89,3,0)*0.475*44/12</f>
        <v>1.7013188252506014E-16</v>
      </c>
      <c r="BS166" s="22">
        <f t="shared" si="169"/>
        <v>2.5135985551147657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-2.5579538487363607E-13</v>
      </c>
      <c r="BZ166" s="13">
        <f>BY166*VLOOKUP('Données projet'!$B$12,Paramètres!$A$1:$I$89,3,0)*VLOOKUP('Données projet'!$B$12,Paramètres!$A$1:$I$89,5,0)</f>
        <v>-2.7932856028201057E-13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173.63857221119594</v>
      </c>
      <c r="CE166" s="59">
        <f t="shared" si="148"/>
        <v>52.373745617370105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0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-6.7984728957526396E-14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175.34314856709307</v>
      </c>
      <c r="T167" s="59">
        <f t="shared" si="142"/>
        <v>296.28950942251339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1.0400405061379441</v>
      </c>
      <c r="AA167" s="21">
        <f>EXP(-LN(2)/25)*AA166+(1-EXP(-LN(2)/25))/(LN(2)/25)*Calculateur!V167*Calculateur!X167*VLOOKUP('Données projet'!$B$9,Paramètres!$A$1:$I$89,3,0)*0.475*44/12</f>
        <v>0.45689679322708776</v>
      </c>
      <c r="AB167" s="21">
        <f>EXP(-LN(2)/2)*AB166+(1-EXP(-LN(2)/2))/(LN(2)/2)*V167*Y167*VLOOKUP('Données projet'!$B$9,Paramètres!$A$1:$I$89,3,0)*0.475*44/12</f>
        <v>1.7356412547894416E-20</v>
      </c>
      <c r="AC167" s="22">
        <f t="shared" si="163"/>
        <v>1.4969372993650318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275.00000000000057</v>
      </c>
      <c r="AJ167" s="13">
        <f>AI167*VLOOKUP('Données projet'!$B$10,Paramètres!$A$1:$I$89,3,0)*VLOOKUP('Données projet'!$B$10,Paramètres!$A$1:$I$89,5,0)</f>
        <v>231.66000000000051</v>
      </c>
      <c r="AK167" s="13">
        <f t="shared" si="164"/>
        <v>56.641461975682923</v>
      </c>
      <c r="AL167" s="20">
        <f t="shared" si="165"/>
        <v>502.12504627431525</v>
      </c>
      <c r="AM167" s="59">
        <f t="shared" si="113"/>
        <v>795.45837960764857</v>
      </c>
      <c r="AN167" s="59">
        <f ca="1">AVERAGE(OFFSET($AM$3,0,0,'Données projet'!$E$10+1,1))-AVERAGE(OFFSET($H$3,0,0,'Données projet'!$E$10+1,1))</f>
        <v>247.67539667223065</v>
      </c>
      <c r="AO167" s="59">
        <f t="shared" si="144"/>
        <v>174.54442616983778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9.01922169059578E-2</v>
      </c>
      <c r="AV167" s="21">
        <f>EXP(-LN(2)/25)*AV166+(1-EXP(-LN(2)/25))/(LN(2)/25)*Calculateur!AQ167*Calculateur!AS167*VLOOKUP('Données projet'!$B$10,Paramètres!$A$1:$I$89,3,0)*0.475*44/12</f>
        <v>0.16009040398028493</v>
      </c>
      <c r="AW167" s="21">
        <f>EXP(-LN(2)/2)*AW166+(1-EXP(-LN(2)/2))/(LN(2)/2)*AQ167*AT167*VLOOKUP('Données projet'!$B$10,Paramètres!$A$1:$I$89,3,0)*0.475*44/12</f>
        <v>7.8020647267092363E-20</v>
      </c>
      <c r="AX167" s="21">
        <f t="shared" si="166"/>
        <v>0.25028262088624276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-5.6843418860808015E-13</v>
      </c>
      <c r="BE167" s="13">
        <f>BD167*VLOOKUP('Données projet'!$B$11,Paramètres!$A$1:$I$89,3,0)*VLOOKUP('Données projet'!$B$11,Paramètres!$A$1:$I$89,5,0)</f>
        <v>-5.6752469390630732E-13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245.06609107649069</v>
      </c>
      <c r="BJ167" s="59">
        <f t="shared" si="146"/>
        <v>156.24531945456499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1.8989729463506211</v>
      </c>
      <c r="BQ167" s="21">
        <f>EXP(-LN(2)/25)*BQ166+(1-EXP(-LN(2)/25))/(LN(2)/25)*Calculateur!BL167*Calculateur!BN167*VLOOKUP('Données projet'!$B$11,Paramètres!$A$1:$I$89,3,0)*0.475*44/12</f>
        <v>0.56087475787125973</v>
      </c>
      <c r="BR167" s="21">
        <f>EXP(-LN(2)/2)*BR166+(1-EXP(-LN(2)/2))/(LN(2)/2)*BL167*BO167*VLOOKUP('Données projet'!$B$11,Paramètres!$A$1:$I$89,3,0)*0.475*44/12</f>
        <v>1.203014078295031E-16</v>
      </c>
      <c r="BS167" s="22">
        <f t="shared" si="169"/>
        <v>2.4598477042218807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-2.5579538487363607E-13</v>
      </c>
      <c r="BZ167" s="13">
        <f>BY167*VLOOKUP('Données projet'!$B$12,Paramètres!$A$1:$I$89,3,0)*VLOOKUP('Données projet'!$B$12,Paramètres!$A$1:$I$89,5,0)</f>
        <v>-2.7932856028201057E-13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173.63857221119594</v>
      </c>
      <c r="CE167" s="59">
        <f t="shared" si="148"/>
        <v>52.373745617370105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0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-6.7984728957526396E-14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175.34314856709307</v>
      </c>
      <c r="T168" s="59">
        <f t="shared" si="142"/>
        <v>296.28950942251339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1.0196459461746497</v>
      </c>
      <c r="AA168" s="21">
        <f>EXP(-LN(2)/25)*AA167+(1-EXP(-LN(2)/25))/(LN(2)/25)*Calculateur!V168*Calculateur!X168*VLOOKUP('Données projet'!$B$9,Paramètres!$A$1:$I$89,3,0)*0.475*44/12</f>
        <v>0.44440292638913492</v>
      </c>
      <c r="AB168" s="21">
        <f>EXP(-LN(2)/2)*AB167+(1-EXP(-LN(2)/2))/(LN(2)/2)*V168*Y168*VLOOKUP('Données projet'!$B$9,Paramètres!$A$1:$I$89,3,0)*0.475*44/12</f>
        <v>1.2272837009687425E-20</v>
      </c>
      <c r="AC168" s="22">
        <f t="shared" si="163"/>
        <v>1.4640488725637846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275.00000000000057</v>
      </c>
      <c r="AJ168" s="13">
        <f>AI168*VLOOKUP('Données projet'!$B$10,Paramètres!$A$1:$I$89,3,0)*VLOOKUP('Données projet'!$B$10,Paramètres!$A$1:$I$89,5,0)</f>
        <v>231.66000000000051</v>
      </c>
      <c r="AK168" s="13">
        <f t="shared" si="164"/>
        <v>56.641461975682923</v>
      </c>
      <c r="AL168" s="20">
        <f t="shared" si="165"/>
        <v>502.12504627431525</v>
      </c>
      <c r="AM168" s="59">
        <f t="shared" si="113"/>
        <v>795.45837960764857</v>
      </c>
      <c r="AN168" s="59">
        <f ca="1">AVERAGE(OFFSET($AM$3,0,0,'Données projet'!$E$10+1,1))-AVERAGE(OFFSET($H$3,0,0,'Données projet'!$E$10+1,1))</f>
        <v>247.67539667223065</v>
      </c>
      <c r="AO168" s="59">
        <f t="shared" si="144"/>
        <v>174.54442616983778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8.8423602544252314E-2</v>
      </c>
      <c r="AV168" s="21">
        <f>EXP(-LN(2)/25)*AV167+(1-EXP(-LN(2)/25))/(LN(2)/25)*Calculateur!AQ168*Calculateur!AS168*VLOOKUP('Données projet'!$B$10,Paramètres!$A$1:$I$89,3,0)*0.475*44/12</f>
        <v>0.15571272346465559</v>
      </c>
      <c r="AW168" s="21">
        <f>EXP(-LN(2)/2)*AW167+(1-EXP(-LN(2)/2))/(LN(2)/2)*AQ168*AT168*VLOOKUP('Données projet'!$B$10,Paramètres!$A$1:$I$89,3,0)*0.475*44/12</f>
        <v>5.5168928755124686E-20</v>
      </c>
      <c r="AX168" s="21">
        <f t="shared" si="166"/>
        <v>0.24413632600890789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-5.6843418860808015E-13</v>
      </c>
      <c r="BE168" s="13">
        <f>BD168*VLOOKUP('Données projet'!$B$11,Paramètres!$A$1:$I$89,3,0)*VLOOKUP('Données projet'!$B$11,Paramètres!$A$1:$I$89,5,0)</f>
        <v>-5.6752469390630732E-13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245.06609107649069</v>
      </c>
      <c r="BJ168" s="59">
        <f t="shared" si="146"/>
        <v>156.24531945456499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1.8617352451318141</v>
      </c>
      <c r="BQ168" s="21">
        <f>EXP(-LN(2)/25)*BQ167+(1-EXP(-LN(2)/25))/(LN(2)/25)*Calculateur!BL168*Calculateur!BN168*VLOOKUP('Données projet'!$B$11,Paramètres!$A$1:$I$89,3,0)*0.475*44/12</f>
        <v>0.54553760812214847</v>
      </c>
      <c r="BR168" s="21">
        <f>EXP(-LN(2)/2)*BR167+(1-EXP(-LN(2)/2))/(LN(2)/2)*BL168*BO168*VLOOKUP('Données projet'!$B$11,Paramètres!$A$1:$I$89,3,0)*0.475*44/12</f>
        <v>8.5065941262530068E-17</v>
      </c>
      <c r="BS168" s="22">
        <f t="shared" si="169"/>
        <v>2.4072728532539625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-2.5579538487363607E-13</v>
      </c>
      <c r="BZ168" s="13">
        <f>BY168*VLOOKUP('Données projet'!$B$12,Paramètres!$A$1:$I$89,3,0)*VLOOKUP('Données projet'!$B$12,Paramètres!$A$1:$I$89,5,0)</f>
        <v>-2.7932856028201057E-13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173.63857221119594</v>
      </c>
      <c r="CE168" s="59">
        <f t="shared" si="148"/>
        <v>52.373745617370105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0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-6.7984728957526396E-14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175.34314856709307</v>
      </c>
      <c r="T169" s="59">
        <f t="shared" si="142"/>
        <v>296.28950942251339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0.99965131109278216</v>
      </c>
      <c r="AA169" s="21">
        <f>EXP(-LN(2)/25)*AA168+(1-EXP(-LN(2)/25))/(LN(2)/25)*Calculateur!V169*Calculateur!X169*VLOOKUP('Données projet'!$B$9,Paramètres!$A$1:$I$89,3,0)*0.475*44/12</f>
        <v>0.43225070499688983</v>
      </c>
      <c r="AB169" s="21">
        <f>EXP(-LN(2)/2)*AB168+(1-EXP(-LN(2)/2))/(LN(2)/2)*V169*Y169*VLOOKUP('Données projet'!$B$9,Paramètres!$A$1:$I$89,3,0)*0.475*44/12</f>
        <v>8.6782062739472081E-21</v>
      </c>
      <c r="AC169" s="22">
        <f t="shared" si="163"/>
        <v>1.431902016089672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275.00000000000057</v>
      </c>
      <c r="AJ169" s="13">
        <f>AI169*VLOOKUP('Données projet'!$B$10,Paramètres!$A$1:$I$89,3,0)*VLOOKUP('Données projet'!$B$10,Paramètres!$A$1:$I$89,5,0)</f>
        <v>231.66000000000051</v>
      </c>
      <c r="AK169" s="13">
        <f t="shared" si="164"/>
        <v>56.641461975682923</v>
      </c>
      <c r="AL169" s="20">
        <f t="shared" si="165"/>
        <v>502.12504627431525</v>
      </c>
      <c r="AM169" s="59">
        <f t="shared" si="113"/>
        <v>795.45837960764857</v>
      </c>
      <c r="AN169" s="59">
        <f ca="1">AVERAGE(OFFSET($AM$3,0,0,'Données projet'!$E$10+1,1))-AVERAGE(OFFSET($H$3,0,0,'Données projet'!$E$10+1,1))</f>
        <v>247.67539667223065</v>
      </c>
      <c r="AO169" s="59">
        <f t="shared" si="144"/>
        <v>174.54442616983778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8.6689669631431626E-2</v>
      </c>
      <c r="AV169" s="21">
        <f>EXP(-LN(2)/25)*AV168+(1-EXP(-LN(2)/25))/(LN(2)/25)*Calculateur!AQ169*Calculateur!AS169*VLOOKUP('Données projet'!$B$10,Paramètres!$A$1:$I$89,3,0)*0.475*44/12</f>
        <v>0.15145475085293833</v>
      </c>
      <c r="AW169" s="21">
        <f>EXP(-LN(2)/2)*AW168+(1-EXP(-LN(2)/2))/(LN(2)/2)*AQ169*AT169*VLOOKUP('Données projet'!$B$10,Paramètres!$A$1:$I$89,3,0)*0.475*44/12</f>
        <v>3.9010323633546182E-20</v>
      </c>
      <c r="AX169" s="21">
        <f t="shared" si="166"/>
        <v>0.23814442048436996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-5.6843418860808015E-13</v>
      </c>
      <c r="BE169" s="13">
        <f>BD169*VLOOKUP('Données projet'!$B$11,Paramètres!$A$1:$I$89,3,0)*VLOOKUP('Données projet'!$B$11,Paramètres!$A$1:$I$89,5,0)</f>
        <v>-5.6752469390630732E-13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245.06609107649069</v>
      </c>
      <c r="BJ169" s="59">
        <f t="shared" si="146"/>
        <v>156.24531945456499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1.8252277525211529</v>
      </c>
      <c r="BQ169" s="21">
        <f>EXP(-LN(2)/25)*BQ168+(1-EXP(-LN(2)/25))/(LN(2)/25)*Calculateur!BL169*Calculateur!BN169*VLOOKUP('Données projet'!$B$11,Paramètres!$A$1:$I$89,3,0)*0.475*44/12</f>
        <v>0.53061985353947239</v>
      </c>
      <c r="BR169" s="21">
        <f>EXP(-LN(2)/2)*BR168+(1-EXP(-LN(2)/2))/(LN(2)/2)*BL169*BO169*VLOOKUP('Données projet'!$B$11,Paramètres!$A$1:$I$89,3,0)*0.475*44/12</f>
        <v>6.0150703914751552E-17</v>
      </c>
      <c r="BS169" s="22">
        <f t="shared" si="169"/>
        <v>2.3558476060606255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-2.5579538487363607E-13</v>
      </c>
      <c r="BZ169" s="13">
        <f>BY169*VLOOKUP('Données projet'!$B$12,Paramètres!$A$1:$I$89,3,0)*VLOOKUP('Données projet'!$B$12,Paramètres!$A$1:$I$89,5,0)</f>
        <v>-2.7932856028201057E-13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173.63857221119594</v>
      </c>
      <c r="CE169" s="59">
        <f t="shared" si="148"/>
        <v>52.373745617370105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0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-6.7984728957526396E-14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175.34314856709307</v>
      </c>
      <c r="T170" s="59">
        <f t="shared" si="142"/>
        <v>296.28950942251339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0.98004875860934693</v>
      </c>
      <c r="AA170" s="21">
        <f>EXP(-LN(2)/25)*AA169+(1-EXP(-LN(2)/25))/(LN(2)/25)*Calculateur!V170*Calculateur!X170*VLOOKUP('Données projet'!$B$9,Paramètres!$A$1:$I$89,3,0)*0.475*44/12</f>
        <v>0.4204307867376732</v>
      </c>
      <c r="AB170" s="21">
        <f>EXP(-LN(2)/2)*AB169+(1-EXP(-LN(2)/2))/(LN(2)/2)*V170*Y170*VLOOKUP('Données projet'!$B$9,Paramètres!$A$1:$I$89,3,0)*0.475*44/12</f>
        <v>6.1364185048437125E-21</v>
      </c>
      <c r="AC170" s="22">
        <f t="shared" si="163"/>
        <v>1.4004795453470202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275.00000000000057</v>
      </c>
      <c r="AJ170" s="13">
        <f>AI170*VLOOKUP('Données projet'!$B$10,Paramètres!$A$1:$I$89,3,0)*VLOOKUP('Données projet'!$B$10,Paramètres!$A$1:$I$89,5,0)</f>
        <v>231.66000000000051</v>
      </c>
      <c r="AK170" s="13">
        <f t="shared" si="164"/>
        <v>56.641461975682923</v>
      </c>
      <c r="AL170" s="20">
        <f t="shared" si="165"/>
        <v>502.12504627431525</v>
      </c>
      <c r="AM170" s="59">
        <f t="shared" si="113"/>
        <v>795.45837960764857</v>
      </c>
      <c r="AN170" s="59">
        <f ca="1">AVERAGE(OFFSET($AM$3,0,0,'Données projet'!$E$10+1,1))-AVERAGE(OFFSET($H$3,0,0,'Données projet'!$E$10+1,1))</f>
        <v>247.67539667223065</v>
      </c>
      <c r="AO170" s="59">
        <f t="shared" si="144"/>
        <v>174.54442616983778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8.4989738085436708E-2</v>
      </c>
      <c r="AV170" s="21">
        <f>EXP(-LN(2)/25)*AV169+(1-EXP(-LN(2)/25))/(LN(2)/25)*Calculateur!AQ170*Calculateur!AS170*VLOOKUP('Données projet'!$B$10,Paramètres!$A$1:$I$89,3,0)*0.475*44/12</f>
        <v>0.14731321272620554</v>
      </c>
      <c r="AW170" s="21">
        <f>EXP(-LN(2)/2)*AW169+(1-EXP(-LN(2)/2))/(LN(2)/2)*AQ170*AT170*VLOOKUP('Données projet'!$B$10,Paramètres!$A$1:$I$89,3,0)*0.475*44/12</f>
        <v>2.7584464377562343E-20</v>
      </c>
      <c r="AX170" s="21">
        <f t="shared" si="166"/>
        <v>0.23230295081164226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-5.6843418860808015E-13</v>
      </c>
      <c r="BE170" s="13">
        <f>BD170*VLOOKUP('Données projet'!$B$11,Paramètres!$A$1:$I$89,3,0)*VLOOKUP('Données projet'!$B$11,Paramètres!$A$1:$I$89,5,0)</f>
        <v>-5.6752469390630732E-13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245.06609107649069</v>
      </c>
      <c r="BJ170" s="59">
        <f t="shared" si="146"/>
        <v>156.24531945456499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1.789436149573215</v>
      </c>
      <c r="BQ170" s="21">
        <f>EXP(-LN(2)/25)*BQ169+(1-EXP(-LN(2)/25))/(LN(2)/25)*Calculateur!BL170*Calculateur!BN170*VLOOKUP('Données projet'!$B$11,Paramètres!$A$1:$I$89,3,0)*0.475*44/12</f>
        <v>0.51611002574035014</v>
      </c>
      <c r="BR170" s="21">
        <f>EXP(-LN(2)/2)*BR169+(1-EXP(-LN(2)/2))/(LN(2)/2)*BL170*BO170*VLOOKUP('Données projet'!$B$11,Paramètres!$A$1:$I$89,3,0)*0.475*44/12</f>
        <v>4.2532970631265034E-17</v>
      </c>
      <c r="BS170" s="22">
        <f t="shared" si="169"/>
        <v>2.3055461753135651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-2.5579538487363607E-13</v>
      </c>
      <c r="BZ170" s="13">
        <f>BY170*VLOOKUP('Données projet'!$B$12,Paramètres!$A$1:$I$89,3,0)*VLOOKUP('Données projet'!$B$12,Paramètres!$A$1:$I$89,5,0)</f>
        <v>-2.7932856028201057E-13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173.63857221119594</v>
      </c>
      <c r="CE170" s="59">
        <f t="shared" si="148"/>
        <v>52.373745617370105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0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-6.7984728957526396E-14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175.34314856709307</v>
      </c>
      <c r="T171" s="59">
        <f t="shared" si="142"/>
        <v>296.28950942251339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0.96083060022373545</v>
      </c>
      <c r="AA171" s="21">
        <f>EXP(-LN(2)/25)*AA170+(1-EXP(-LN(2)/25))/(LN(2)/25)*Calculateur!V171*Calculateur!X171*VLOOKUP('Données projet'!$B$9,Paramètres!$A$1:$I$89,3,0)*0.475*44/12</f>
        <v>0.40893408476483734</v>
      </c>
      <c r="AB171" s="21">
        <f>EXP(-LN(2)/2)*AB170+(1-EXP(-LN(2)/2))/(LN(2)/2)*V171*Y171*VLOOKUP('Données projet'!$B$9,Paramètres!$A$1:$I$89,3,0)*0.475*44/12</f>
        <v>4.339103136973604E-21</v>
      </c>
      <c r="AC171" s="22">
        <f t="shared" si="163"/>
        <v>1.3697646849885727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275.00000000000057</v>
      </c>
      <c r="AJ171" s="13">
        <f>AI171*VLOOKUP('Données projet'!$B$10,Paramètres!$A$1:$I$89,3,0)*VLOOKUP('Données projet'!$B$10,Paramètres!$A$1:$I$89,5,0)</f>
        <v>231.66000000000051</v>
      </c>
      <c r="AK171" s="13">
        <f t="shared" si="164"/>
        <v>56.641461975682923</v>
      </c>
      <c r="AL171" s="20">
        <f t="shared" si="165"/>
        <v>502.12504627431525</v>
      </c>
      <c r="AM171" s="59">
        <f t="shared" si="113"/>
        <v>795.45837960764857</v>
      </c>
      <c r="AN171" s="59">
        <f ca="1">AVERAGE(OFFSET($AM$3,0,0,'Données projet'!$E$10+1,1))-AVERAGE(OFFSET($H$3,0,0,'Données projet'!$E$10+1,1))</f>
        <v>247.67539667223065</v>
      </c>
      <c r="AO171" s="59">
        <f t="shared" si="144"/>
        <v>174.54442616983778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8.3323141160202882E-2</v>
      </c>
      <c r="AV171" s="21">
        <f>EXP(-LN(2)/25)*AV170+(1-EXP(-LN(2)/25))/(LN(2)/25)*Calculateur!AQ171*Calculateur!AS171*VLOOKUP('Données projet'!$B$10,Paramètres!$A$1:$I$89,3,0)*0.475*44/12</f>
        <v>0.14328492517734229</v>
      </c>
      <c r="AW171" s="21">
        <f>EXP(-LN(2)/2)*AW170+(1-EXP(-LN(2)/2))/(LN(2)/2)*AQ171*AT171*VLOOKUP('Données projet'!$B$10,Paramètres!$A$1:$I$89,3,0)*0.475*44/12</f>
        <v>1.9505161816773091E-20</v>
      </c>
      <c r="AX171" s="21">
        <f t="shared" si="166"/>
        <v>0.22660806633754516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-5.6843418860808015E-13</v>
      </c>
      <c r="BE171" s="13">
        <f>BD171*VLOOKUP('Données projet'!$B$11,Paramètres!$A$1:$I$89,3,0)*VLOOKUP('Données projet'!$B$11,Paramètres!$A$1:$I$89,5,0)</f>
        <v>-5.6752469390630732E-13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245.06609107649069</v>
      </c>
      <c r="BJ171" s="59">
        <f t="shared" si="146"/>
        <v>156.24531945456499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1.7543463981283638</v>
      </c>
      <c r="BQ171" s="21">
        <f>EXP(-LN(2)/25)*BQ170+(1-EXP(-LN(2)/25))/(LN(2)/25)*Calculateur!BL171*Calculateur!BN171*VLOOKUP('Données projet'!$B$11,Paramètres!$A$1:$I$89,3,0)*0.475*44/12</f>
        <v>0.50199696994543364</v>
      </c>
      <c r="BR171" s="21">
        <f>EXP(-LN(2)/2)*BR170+(1-EXP(-LN(2)/2))/(LN(2)/2)*BL171*BO171*VLOOKUP('Données projet'!$B$11,Paramètres!$A$1:$I$89,3,0)*0.475*44/12</f>
        <v>3.0075351957375776E-17</v>
      </c>
      <c r="BS171" s="22">
        <f t="shared" si="169"/>
        <v>2.2563433680737974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-2.5579538487363607E-13</v>
      </c>
      <c r="BZ171" s="13">
        <f>BY171*VLOOKUP('Données projet'!$B$12,Paramètres!$A$1:$I$89,3,0)*VLOOKUP('Données projet'!$B$12,Paramètres!$A$1:$I$89,5,0)</f>
        <v>-2.7932856028201057E-13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173.63857221119594</v>
      </c>
      <c r="CE171" s="59">
        <f t="shared" si="148"/>
        <v>52.373745617370105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0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-6.7984728957526396E-14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175.34314856709307</v>
      </c>
      <c r="T172" s="59">
        <f t="shared" si="142"/>
        <v>296.28950942251339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0.94198929820214661</v>
      </c>
      <c r="AA172" s="21">
        <f>EXP(-LN(2)/25)*AA171+(1-EXP(-LN(2)/25))/(LN(2)/25)*Calculateur!V172*Calculateur!X172*VLOOKUP('Données projet'!$B$9,Paramètres!$A$1:$I$89,3,0)*0.475*44/12</f>
        <v>0.397751760712034</v>
      </c>
      <c r="AB172" s="21">
        <f>EXP(-LN(2)/2)*AB171+(1-EXP(-LN(2)/2))/(LN(2)/2)*V172*Y172*VLOOKUP('Données projet'!$B$9,Paramètres!$A$1:$I$89,3,0)*0.475*44/12</f>
        <v>3.0682092524218562E-21</v>
      </c>
      <c r="AC172" s="22">
        <f t="shared" si="163"/>
        <v>1.3397410589141807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275.00000000000057</v>
      </c>
      <c r="AJ172" s="13">
        <f>AI172*VLOOKUP('Données projet'!$B$10,Paramètres!$A$1:$I$89,3,0)*VLOOKUP('Données projet'!$B$10,Paramètres!$A$1:$I$89,5,0)</f>
        <v>231.66000000000051</v>
      </c>
      <c r="AK172" s="13">
        <f t="shared" si="164"/>
        <v>56.641461975682923</v>
      </c>
      <c r="AL172" s="20">
        <f t="shared" si="165"/>
        <v>502.12504627431525</v>
      </c>
      <c r="AM172" s="59">
        <f t="shared" si="113"/>
        <v>795.45837960764857</v>
      </c>
      <c r="AN172" s="59">
        <f ca="1">AVERAGE(OFFSET($AM$3,0,0,'Données projet'!$E$10+1,1))-AVERAGE(OFFSET($H$3,0,0,'Données projet'!$E$10+1,1))</f>
        <v>247.67539667223065</v>
      </c>
      <c r="AO172" s="59">
        <f t="shared" si="144"/>
        <v>174.54442616983778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8.1689225184149145E-2</v>
      </c>
      <c r="AV172" s="21">
        <f>EXP(-LN(2)/25)*AV171+(1-EXP(-LN(2)/25))/(LN(2)/25)*Calculateur!AQ172*Calculateur!AS172*VLOOKUP('Données projet'!$B$10,Paramètres!$A$1:$I$89,3,0)*0.475*44/12</f>
        <v>0.13936679136334112</v>
      </c>
      <c r="AW172" s="21">
        <f>EXP(-LN(2)/2)*AW171+(1-EXP(-LN(2)/2))/(LN(2)/2)*AQ172*AT172*VLOOKUP('Données projet'!$B$10,Paramètres!$A$1:$I$89,3,0)*0.475*44/12</f>
        <v>1.3792232188781171E-20</v>
      </c>
      <c r="AX172" s="21">
        <f t="shared" si="166"/>
        <v>0.22105601654749027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-5.6843418860808015E-13</v>
      </c>
      <c r="BE172" s="13">
        <f>BD172*VLOOKUP('Données projet'!$B$11,Paramètres!$A$1:$I$89,3,0)*VLOOKUP('Données projet'!$B$11,Paramètres!$A$1:$I$89,5,0)</f>
        <v>-5.6752469390630732E-13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245.06609107649069</v>
      </c>
      <c r="BJ172" s="59">
        <f t="shared" si="146"/>
        <v>156.24531945456499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1.7199447353067112</v>
      </c>
      <c r="BQ172" s="21">
        <f>EXP(-LN(2)/25)*BQ171+(1-EXP(-LN(2)/25))/(LN(2)/25)*Calculateur!BL172*Calculateur!BN172*VLOOKUP('Données projet'!$B$11,Paramètres!$A$1:$I$89,3,0)*0.475*44/12</f>
        <v>0.48826983640340244</v>
      </c>
      <c r="BR172" s="21">
        <f>EXP(-LN(2)/2)*BR171+(1-EXP(-LN(2)/2))/(LN(2)/2)*BL172*BO172*VLOOKUP('Données projet'!$B$11,Paramètres!$A$1:$I$89,3,0)*0.475*44/12</f>
        <v>2.1266485315632517E-17</v>
      </c>
      <c r="BS172" s="22">
        <f t="shared" si="169"/>
        <v>2.2082145717101138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-2.5579538487363607E-13</v>
      </c>
      <c r="BZ172" s="13">
        <f>BY172*VLOOKUP('Données projet'!$B$12,Paramètres!$A$1:$I$89,3,0)*VLOOKUP('Données projet'!$B$12,Paramètres!$A$1:$I$89,5,0)</f>
        <v>-2.7932856028201057E-13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173.63857221119594</v>
      </c>
      <c r="CE172" s="59">
        <f t="shared" si="148"/>
        <v>52.373745617370105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0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-6.7984728957526396E-14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175.34314856709307</v>
      </c>
      <c r="T173" s="59">
        <f t="shared" si="142"/>
        <v>296.28950942251339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0.92351746262114165</v>
      </c>
      <c r="AA173" s="21">
        <f>EXP(-LN(2)/25)*AA172+(1-EXP(-LN(2)/25))/(LN(2)/25)*Calculateur!V173*Calculateur!X173*VLOOKUP('Données projet'!$B$9,Paramètres!$A$1:$I$89,3,0)*0.475*44/12</f>
        <v>0.38687521789850743</v>
      </c>
      <c r="AB173" s="21">
        <f>EXP(-LN(2)/2)*AB172+(1-EXP(-LN(2)/2))/(LN(2)/2)*V173*Y173*VLOOKUP('Données projet'!$B$9,Paramètres!$A$1:$I$89,3,0)*0.475*44/12</f>
        <v>2.169551568486802E-21</v>
      </c>
      <c r="AC173" s="22">
        <f t="shared" si="163"/>
        <v>1.3103926805196491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275.00000000000057</v>
      </c>
      <c r="AJ173" s="13">
        <f>AI173*VLOOKUP('Données projet'!$B$10,Paramètres!$A$1:$I$89,3,0)*VLOOKUP('Données projet'!$B$10,Paramètres!$A$1:$I$89,5,0)</f>
        <v>231.66000000000051</v>
      </c>
      <c r="AK173" s="13">
        <f t="shared" si="164"/>
        <v>56.641461975682923</v>
      </c>
      <c r="AL173" s="20">
        <f t="shared" si="165"/>
        <v>502.12504627431525</v>
      </c>
      <c r="AM173" s="59">
        <f t="shared" si="113"/>
        <v>795.45837960764857</v>
      </c>
      <c r="AN173" s="59">
        <f ca="1">AVERAGE(OFFSET($AM$3,0,0,'Données projet'!$E$10+1,1))-AVERAGE(OFFSET($H$3,0,0,'Données projet'!$E$10+1,1))</f>
        <v>247.67539667223065</v>
      </c>
      <c r="AO173" s="59">
        <f t="shared" si="144"/>
        <v>174.54442616983778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8.0087349303795477E-2</v>
      </c>
      <c r="AV173" s="21">
        <f>EXP(-LN(2)/25)*AV172+(1-EXP(-LN(2)/25))/(LN(2)/25)*Calculateur!AQ173*Calculateur!AS173*VLOOKUP('Données projet'!$B$10,Paramètres!$A$1:$I$89,3,0)*0.475*44/12</f>
        <v>0.13555579912452953</v>
      </c>
      <c r="AW173" s="21">
        <f>EXP(-LN(2)/2)*AW172+(1-EXP(-LN(2)/2))/(LN(2)/2)*AQ173*AT173*VLOOKUP('Données projet'!$B$10,Paramètres!$A$1:$I$89,3,0)*0.475*44/12</f>
        <v>9.7525809083865454E-21</v>
      </c>
      <c r="AX173" s="21">
        <f t="shared" si="166"/>
        <v>0.21564314842832499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-5.6843418860808015E-13</v>
      </c>
      <c r="BE173" s="13">
        <f>BD173*VLOOKUP('Données projet'!$B$11,Paramètres!$A$1:$I$89,3,0)*VLOOKUP('Données projet'!$B$11,Paramètres!$A$1:$I$89,5,0)</f>
        <v>-5.6752469390630732E-13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245.06609107649069</v>
      </c>
      <c r="BJ173" s="59">
        <f t="shared" si="146"/>
        <v>156.24531945456499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1.6862176681100489</v>
      </c>
      <c r="BQ173" s="21">
        <f>EXP(-LN(2)/25)*BQ172+(1-EXP(-LN(2)/25))/(LN(2)/25)*Calculateur!BL173*Calculateur!BN173*VLOOKUP('Données projet'!$B$11,Paramètres!$A$1:$I$89,3,0)*0.475*44/12</f>
        <v>0.47491807204995667</v>
      </c>
      <c r="BR173" s="21">
        <f>EXP(-LN(2)/2)*BR172+(1-EXP(-LN(2)/2))/(LN(2)/2)*BL173*BO173*VLOOKUP('Données projet'!$B$11,Paramètres!$A$1:$I$89,3,0)*0.475*44/12</f>
        <v>1.5037675978687888E-17</v>
      </c>
      <c r="BS173" s="22">
        <f t="shared" si="169"/>
        <v>2.1611357401600055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-2.5579538487363607E-13</v>
      </c>
      <c r="BZ173" s="13">
        <f>BY173*VLOOKUP('Données projet'!$B$12,Paramètres!$A$1:$I$89,3,0)*VLOOKUP('Données projet'!$B$12,Paramètres!$A$1:$I$89,5,0)</f>
        <v>-2.7932856028201057E-13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173.63857221119594</v>
      </c>
      <c r="CE173" s="59">
        <f t="shared" si="148"/>
        <v>52.373745617370105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0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-6.7984728957526396E-14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175.34314856709307</v>
      </c>
      <c r="T174" s="59">
        <f t="shared" si="142"/>
        <v>296.28950942251339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0.90540784846917299</v>
      </c>
      <c r="AA174" s="21">
        <f>EXP(-LN(2)/25)*AA173+(1-EXP(-LN(2)/25))/(LN(2)/25)*Calculateur!V174*Calculateur!X174*VLOOKUP('Données projet'!$B$9,Paramètres!$A$1:$I$89,3,0)*0.475*44/12</f>
        <v>0.37629609472018927</v>
      </c>
      <c r="AB174" s="21">
        <f>EXP(-LN(2)/2)*AB173+(1-EXP(-LN(2)/2))/(LN(2)/2)*V174*Y174*VLOOKUP('Données projet'!$B$9,Paramètres!$A$1:$I$89,3,0)*0.475*44/12</f>
        <v>1.5341046262109281E-21</v>
      </c>
      <c r="AC174" s="22">
        <f t="shared" si="163"/>
        <v>1.2817039431893622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275.00000000000057</v>
      </c>
      <c r="AJ174" s="13">
        <f>AI174*VLOOKUP('Données projet'!$B$10,Paramètres!$A$1:$I$89,3,0)*VLOOKUP('Données projet'!$B$10,Paramètres!$A$1:$I$89,5,0)</f>
        <v>231.66000000000051</v>
      </c>
      <c r="AK174" s="13">
        <f t="shared" si="164"/>
        <v>56.641461975682923</v>
      </c>
      <c r="AL174" s="20">
        <f t="shared" si="165"/>
        <v>502.12504627431525</v>
      </c>
      <c r="AM174" s="59">
        <f t="shared" si="113"/>
        <v>795.45837960764857</v>
      </c>
      <c r="AN174" s="59">
        <f ca="1">AVERAGE(OFFSET($AM$3,0,0,'Données projet'!$E$10+1,1))-AVERAGE(OFFSET($H$3,0,0,'Données projet'!$E$10+1,1))</f>
        <v>247.67539667223065</v>
      </c>
      <c r="AO174" s="59">
        <f t="shared" si="144"/>
        <v>174.54442616983778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7.851688523240774E-2</v>
      </c>
      <c r="AV174" s="21">
        <f>EXP(-LN(2)/25)*AV173+(1-EXP(-LN(2)/25))/(LN(2)/25)*Calculateur!AQ174*Calculateur!AS174*VLOOKUP('Données projet'!$B$10,Paramètres!$A$1:$I$89,3,0)*0.475*44/12</f>
        <v>0.13184901866889961</v>
      </c>
      <c r="AW174" s="21">
        <f>EXP(-LN(2)/2)*AW173+(1-EXP(-LN(2)/2))/(LN(2)/2)*AQ174*AT174*VLOOKUP('Données projet'!$B$10,Paramètres!$A$1:$I$89,3,0)*0.475*44/12</f>
        <v>6.8961160943905857E-21</v>
      </c>
      <c r="AX174" s="21">
        <f t="shared" si="166"/>
        <v>0.21036590390130736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-5.6843418860808015E-13</v>
      </c>
      <c r="BE174" s="13">
        <f>BD174*VLOOKUP('Données projet'!$B$11,Paramètres!$A$1:$I$89,3,0)*VLOOKUP('Données projet'!$B$11,Paramètres!$A$1:$I$89,5,0)</f>
        <v>-5.6752469390630732E-13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245.06609107649069</v>
      </c>
      <c r="BJ174" s="59">
        <f t="shared" si="146"/>
        <v>156.24531945456499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1.6531519681296334</v>
      </c>
      <c r="BQ174" s="21">
        <f>EXP(-LN(2)/25)*BQ173+(1-EXP(-LN(2)/25))/(LN(2)/25)*Calculateur!BL174*Calculateur!BN174*VLOOKUP('Données projet'!$B$11,Paramètres!$A$1:$I$89,3,0)*0.475*44/12</f>
        <v>0.46193141239489466</v>
      </c>
      <c r="BR174" s="21">
        <f>EXP(-LN(2)/2)*BR173+(1-EXP(-LN(2)/2))/(LN(2)/2)*BL174*BO174*VLOOKUP('Données projet'!$B$11,Paramètres!$A$1:$I$89,3,0)*0.475*44/12</f>
        <v>1.0633242657816258E-17</v>
      </c>
      <c r="BS174" s="22">
        <f t="shared" si="169"/>
        <v>2.1150833805245282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-2.5579538487363607E-13</v>
      </c>
      <c r="BZ174" s="13">
        <f>BY174*VLOOKUP('Données projet'!$B$12,Paramètres!$A$1:$I$89,3,0)*VLOOKUP('Données projet'!$B$12,Paramètres!$A$1:$I$89,5,0)</f>
        <v>-2.7932856028201057E-13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173.63857221119594</v>
      </c>
      <c r="CE174" s="59">
        <f t="shared" si="148"/>
        <v>52.373745617370105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0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-6.7984728957526396E-14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175.34314856709307</v>
      </c>
      <c r="T175" s="59">
        <f t="shared" si="142"/>
        <v>296.28950942251339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0.8876533528049505</v>
      </c>
      <c r="AA175" s="21">
        <f>EXP(-LN(2)/25)*AA174+(1-EXP(-LN(2)/25))/(LN(2)/25)*Calculateur!V175*Calculateur!X175*VLOOKUP('Données projet'!$B$9,Paramètres!$A$1:$I$89,3,0)*0.475*44/12</f>
        <v>0.36600625822151411</v>
      </c>
      <c r="AB175" s="21">
        <f>EXP(-LN(2)/2)*AB174+(1-EXP(-LN(2)/2))/(LN(2)/2)*V175*Y175*VLOOKUP('Données projet'!$B$9,Paramètres!$A$1:$I$89,3,0)*0.475*44/12</f>
        <v>1.084775784243401E-21</v>
      </c>
      <c r="AC175" s="22">
        <f t="shared" si="163"/>
        <v>1.2536596110264646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275.00000000000057</v>
      </c>
      <c r="AJ175" s="13">
        <f>AI175*VLOOKUP('Données projet'!$B$10,Paramètres!$A$1:$I$89,3,0)*VLOOKUP('Données projet'!$B$10,Paramètres!$A$1:$I$89,5,0)</f>
        <v>231.66000000000051</v>
      </c>
      <c r="AK175" s="13">
        <f t="shared" si="164"/>
        <v>56.641461975682923</v>
      </c>
      <c r="AL175" s="20">
        <f t="shared" si="165"/>
        <v>502.12504627431525</v>
      </c>
      <c r="AM175" s="59">
        <f t="shared" si="113"/>
        <v>795.45837960764857</v>
      </c>
      <c r="AN175" s="59">
        <f ca="1">AVERAGE(OFFSET($AM$3,0,0,'Données projet'!$E$10+1,1))-AVERAGE(OFFSET($H$3,0,0,'Données projet'!$E$10+1,1))</f>
        <v>247.67539667223065</v>
      </c>
      <c r="AO175" s="59">
        <f t="shared" si="144"/>
        <v>174.54442616983778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7.6977217003571421E-2</v>
      </c>
      <c r="AV175" s="21">
        <f>EXP(-LN(2)/25)*AV174+(1-EXP(-LN(2)/25))/(LN(2)/25)*Calculateur!AQ175*Calculateur!AS175*VLOOKUP('Données projet'!$B$10,Paramètres!$A$1:$I$89,3,0)*0.475*44/12</f>
        <v>0.12824360031976001</v>
      </c>
      <c r="AW175" s="21">
        <f>EXP(-LN(2)/2)*AW174+(1-EXP(-LN(2)/2))/(LN(2)/2)*AQ175*AT175*VLOOKUP('Données projet'!$B$10,Paramètres!$A$1:$I$89,3,0)*0.475*44/12</f>
        <v>4.8762904541932727E-21</v>
      </c>
      <c r="AX175" s="21">
        <f t="shared" si="166"/>
        <v>0.20522081732333142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-5.6843418860808015E-13</v>
      </c>
      <c r="BE175" s="13">
        <f>BD175*VLOOKUP('Données projet'!$B$11,Paramètres!$A$1:$I$89,3,0)*VLOOKUP('Données projet'!$B$11,Paramètres!$A$1:$I$89,5,0)</f>
        <v>-5.6752469390630732E-13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245.06609107649069</v>
      </c>
      <c r="BJ175" s="59">
        <f t="shared" si="146"/>
        <v>156.24531945456499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1.6207346663577482</v>
      </c>
      <c r="BQ175" s="21">
        <f>EXP(-LN(2)/25)*BQ174+(1-EXP(-LN(2)/25))/(LN(2)/25)*Calculateur!BL175*Calculateur!BN175*VLOOKUP('Données projet'!$B$11,Paramètres!$A$1:$I$89,3,0)*0.475*44/12</f>
        <v>0.44929987363103907</v>
      </c>
      <c r="BR175" s="21">
        <f>EXP(-LN(2)/2)*BR174+(1-EXP(-LN(2)/2))/(LN(2)/2)*BL175*BO175*VLOOKUP('Données projet'!$B$11,Paramètres!$A$1:$I$89,3,0)*0.475*44/12</f>
        <v>7.518837989343944E-18</v>
      </c>
      <c r="BS175" s="22">
        <f t="shared" si="169"/>
        <v>2.0700345399887872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-2.5579538487363607E-13</v>
      </c>
      <c r="BZ175" s="13">
        <f>BY175*VLOOKUP('Données projet'!$B$12,Paramètres!$A$1:$I$89,3,0)*VLOOKUP('Données projet'!$B$12,Paramètres!$A$1:$I$89,5,0)</f>
        <v>-2.7932856028201057E-13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173.63857221119594</v>
      </c>
      <c r="CE175" s="59">
        <f t="shared" si="148"/>
        <v>52.373745617370105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0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-6.7984728957526396E-14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175.34314856709307</v>
      </c>
      <c r="T176" s="59">
        <f t="shared" si="142"/>
        <v>296.28950942251339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0.87024701197153032</v>
      </c>
      <c r="AA176" s="21">
        <f>EXP(-LN(2)/25)*AA175+(1-EXP(-LN(2)/25))/(LN(2)/25)*Calculateur!V176*Calculateur!X176*VLOOKUP('Données projet'!$B$9,Paramètres!$A$1:$I$89,3,0)*0.475*44/12</f>
        <v>0.35599779784301422</v>
      </c>
      <c r="AB176" s="21">
        <f>EXP(-LN(2)/2)*AB175+(1-EXP(-LN(2)/2))/(LN(2)/2)*V176*Y176*VLOOKUP('Données projet'!$B$9,Paramètres!$A$1:$I$89,3,0)*0.475*44/12</f>
        <v>7.6705231310546406E-22</v>
      </c>
      <c r="AC176" s="22">
        <f t="shared" si="163"/>
        <v>1.2262448098145446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275.00000000000057</v>
      </c>
      <c r="AJ176" s="13">
        <f>AI176*VLOOKUP('Données projet'!$B$10,Paramètres!$A$1:$I$89,3,0)*VLOOKUP('Données projet'!$B$10,Paramètres!$A$1:$I$89,5,0)</f>
        <v>231.66000000000051</v>
      </c>
      <c r="AK176" s="13">
        <f t="shared" si="164"/>
        <v>56.641461975682923</v>
      </c>
      <c r="AL176" s="20">
        <f t="shared" si="165"/>
        <v>502.12504627431525</v>
      </c>
      <c r="AM176" s="59">
        <f t="shared" si="113"/>
        <v>795.45837960764857</v>
      </c>
      <c r="AN176" s="59">
        <f ca="1">AVERAGE(OFFSET($AM$3,0,0,'Données projet'!$E$10+1,1))-AVERAGE(OFFSET($H$3,0,0,'Données projet'!$E$10+1,1))</f>
        <v>247.67539667223065</v>
      </c>
      <c r="AO176" s="59">
        <f t="shared" si="144"/>
        <v>174.54442616983778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7.5467740729597679E-2</v>
      </c>
      <c r="AV176" s="21">
        <f>EXP(-LN(2)/25)*AV175+(1-EXP(-LN(2)/25))/(LN(2)/25)*Calculateur!AQ176*Calculateur!AS176*VLOOKUP('Données projet'!$B$10,Paramètres!$A$1:$I$89,3,0)*0.475*44/12</f>
        <v>0.12473677232497833</v>
      </c>
      <c r="AW176" s="21">
        <f>EXP(-LN(2)/2)*AW175+(1-EXP(-LN(2)/2))/(LN(2)/2)*AQ176*AT176*VLOOKUP('Données projet'!$B$10,Paramètres!$A$1:$I$89,3,0)*0.475*44/12</f>
        <v>3.4480580471952929E-21</v>
      </c>
      <c r="AX176" s="21">
        <f t="shared" si="166"/>
        <v>0.20020451305457601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-5.6843418860808015E-13</v>
      </c>
      <c r="BE176" s="13">
        <f>BD176*VLOOKUP('Données projet'!$B$11,Paramètres!$A$1:$I$89,3,0)*VLOOKUP('Données projet'!$B$11,Paramètres!$A$1:$I$89,5,0)</f>
        <v>-5.6752469390630732E-13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245.06609107649069</v>
      </c>
      <c r="BJ176" s="59">
        <f t="shared" si="146"/>
        <v>156.24531945456499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1.5889530481010079</v>
      </c>
      <c r="BQ176" s="21">
        <f>EXP(-LN(2)/25)*BQ175+(1-EXP(-LN(2)/25))/(LN(2)/25)*Calculateur!BL176*Calculateur!BN176*VLOOKUP('Données projet'!$B$11,Paramètres!$A$1:$I$89,3,0)*0.475*44/12</f>
        <v>0.43701374495894485</v>
      </c>
      <c r="BR176" s="21">
        <f>EXP(-LN(2)/2)*BR175+(1-EXP(-LN(2)/2))/(LN(2)/2)*BL176*BO176*VLOOKUP('Données projet'!$B$11,Paramètres!$A$1:$I$89,3,0)*0.475*44/12</f>
        <v>5.3166213289081292E-18</v>
      </c>
      <c r="BS176" s="22">
        <f t="shared" si="169"/>
        <v>2.0259667930599528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-2.5579538487363607E-13</v>
      </c>
      <c r="BZ176" s="13">
        <f>BY176*VLOOKUP('Données projet'!$B$12,Paramètres!$A$1:$I$89,3,0)*VLOOKUP('Données projet'!$B$12,Paramètres!$A$1:$I$89,5,0)</f>
        <v>-2.7932856028201057E-13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173.63857221119594</v>
      </c>
      <c r="CE176" s="59">
        <f t="shared" si="148"/>
        <v>52.373745617370105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0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-6.7984728957526396E-14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175.34314856709307</v>
      </c>
      <c r="T177" s="59">
        <f t="shared" si="142"/>
        <v>296.28950942251339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0.85318199886503399</v>
      </c>
      <c r="AA177" s="21">
        <f>EXP(-LN(2)/25)*AA176+(1-EXP(-LN(2)/25))/(LN(2)/25)*Calculateur!V177*Calculateur!X177*VLOOKUP('Données projet'!$B$9,Paramètres!$A$1:$I$89,3,0)*0.475*44/12</f>
        <v>0.34626301933988646</v>
      </c>
      <c r="AB177" s="21">
        <f>EXP(-LN(2)/2)*AB176+(1-EXP(-LN(2)/2))/(LN(2)/2)*V177*Y177*VLOOKUP('Données projet'!$B$9,Paramètres!$A$1:$I$89,3,0)*0.475*44/12</f>
        <v>5.4238789212170051E-22</v>
      </c>
      <c r="AC177" s="22">
        <f t="shared" si="163"/>
        <v>1.1994450182049206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275.00000000000057</v>
      </c>
      <c r="AJ177" s="13">
        <f>AI177*VLOOKUP('Données projet'!$B$10,Paramètres!$A$1:$I$89,3,0)*VLOOKUP('Données projet'!$B$10,Paramètres!$A$1:$I$89,5,0)</f>
        <v>231.66000000000051</v>
      </c>
      <c r="AK177" s="13">
        <f t="shared" si="164"/>
        <v>56.641461975682923</v>
      </c>
      <c r="AL177" s="20">
        <f t="shared" si="165"/>
        <v>502.12504627431525</v>
      </c>
      <c r="AM177" s="59">
        <f t="shared" si="113"/>
        <v>795.45837960764857</v>
      </c>
      <c r="AN177" s="59">
        <f ca="1">AVERAGE(OFFSET($AM$3,0,0,'Données projet'!$E$10+1,1))-AVERAGE(OFFSET($H$3,0,0,'Données projet'!$E$10+1,1))</f>
        <v>247.67539667223065</v>
      </c>
      <c r="AO177" s="59">
        <f t="shared" si="144"/>
        <v>174.54442616983778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7.398786436466695E-2</v>
      </c>
      <c r="AV177" s="21">
        <f>EXP(-LN(2)/25)*AV176+(1-EXP(-LN(2)/25))/(LN(2)/25)*Calculateur!AQ177*Calculateur!AS177*VLOOKUP('Données projet'!$B$10,Paramètres!$A$1:$I$89,3,0)*0.475*44/12</f>
        <v>0.12132583872613004</v>
      </c>
      <c r="AW177" s="21">
        <f>EXP(-LN(2)/2)*AW176+(1-EXP(-LN(2)/2))/(LN(2)/2)*AQ177*AT177*VLOOKUP('Données projet'!$B$10,Paramètres!$A$1:$I$89,3,0)*0.475*44/12</f>
        <v>2.4381452270966364E-21</v>
      </c>
      <c r="AX177" s="21">
        <f t="shared" si="166"/>
        <v>0.19531370309079699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-5.6843418860808015E-13</v>
      </c>
      <c r="BE177" s="13">
        <f>BD177*VLOOKUP('Données projet'!$B$11,Paramètres!$A$1:$I$89,3,0)*VLOOKUP('Données projet'!$B$11,Paramètres!$A$1:$I$89,5,0)</f>
        <v>-5.6752469390630732E-13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245.06609107649069</v>
      </c>
      <c r="BJ177" s="59">
        <f t="shared" si="146"/>
        <v>156.24531945456499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1.5577946479934093</v>
      </c>
      <c r="BQ177" s="21">
        <f>EXP(-LN(2)/25)*BQ176+(1-EXP(-LN(2)/25))/(LN(2)/25)*Calculateur!BL177*Calculateur!BN177*VLOOKUP('Données projet'!$B$11,Paramètres!$A$1:$I$89,3,0)*0.475*44/12</f>
        <v>0.42506358112148845</v>
      </c>
      <c r="BR177" s="21">
        <f>EXP(-LN(2)/2)*BR176+(1-EXP(-LN(2)/2))/(LN(2)/2)*BL177*BO177*VLOOKUP('Données projet'!$B$11,Paramètres!$A$1:$I$89,3,0)*0.475*44/12</f>
        <v>3.759418994671972E-18</v>
      </c>
      <c r="BS177" s="22">
        <f t="shared" si="169"/>
        <v>1.9828582291148977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-2.5579538487363607E-13</v>
      </c>
      <c r="BZ177" s="13">
        <f>BY177*VLOOKUP('Données projet'!$B$12,Paramètres!$A$1:$I$89,3,0)*VLOOKUP('Données projet'!$B$12,Paramètres!$A$1:$I$89,5,0)</f>
        <v>-2.7932856028201057E-13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173.63857221119594</v>
      </c>
      <c r="CE177" s="59">
        <f t="shared" si="148"/>
        <v>52.373745617370105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0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-6.7984728957526396E-14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175.34314856709307</v>
      </c>
      <c r="T178" s="59">
        <f t="shared" si="142"/>
        <v>296.28950942251339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0.83645162025692577</v>
      </c>
      <c r="AA178" s="21">
        <f>EXP(-LN(2)/25)*AA177+(1-EXP(-LN(2)/25))/(LN(2)/25)*Calculateur!V178*Calculateur!X178*VLOOKUP('Données projet'!$B$9,Paramètres!$A$1:$I$89,3,0)*0.475*44/12</f>
        <v>0.33679443886685645</v>
      </c>
      <c r="AB178" s="21">
        <f>EXP(-LN(2)/2)*AB177+(1-EXP(-LN(2)/2))/(LN(2)/2)*V178*Y178*VLOOKUP('Données projet'!$B$9,Paramètres!$A$1:$I$89,3,0)*0.475*44/12</f>
        <v>3.8352615655273203E-22</v>
      </c>
      <c r="AC178" s="22">
        <f t="shared" si="163"/>
        <v>1.1732460591237821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275.00000000000057</v>
      </c>
      <c r="AJ178" s="13">
        <f>AI178*VLOOKUP('Données projet'!$B$10,Paramètres!$A$1:$I$89,3,0)*VLOOKUP('Données projet'!$B$10,Paramètres!$A$1:$I$89,5,0)</f>
        <v>231.66000000000051</v>
      </c>
      <c r="AK178" s="13">
        <f t="shared" si="164"/>
        <v>56.641461975682923</v>
      </c>
      <c r="AL178" s="20">
        <f t="shared" si="165"/>
        <v>502.12504627431525</v>
      </c>
      <c r="AM178" s="59">
        <f t="shared" si="113"/>
        <v>795.45837960764857</v>
      </c>
      <c r="AN178" s="59">
        <f ca="1">AVERAGE(OFFSET($AM$3,0,0,'Données projet'!$E$10+1,1))-AVERAGE(OFFSET($H$3,0,0,'Données projet'!$E$10+1,1))</f>
        <v>247.67539667223065</v>
      </c>
      <c r="AO178" s="59">
        <f t="shared" si="144"/>
        <v>174.54442616983778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7.2537007472617057E-2</v>
      </c>
      <c r="AV178" s="21">
        <f>EXP(-LN(2)/25)*AV177+(1-EXP(-LN(2)/25))/(LN(2)/25)*Calculateur!AQ178*Calculateur!AS178*VLOOKUP('Données projet'!$B$10,Paramètres!$A$1:$I$89,3,0)*0.475*44/12</f>
        <v>0.11800817728591545</v>
      </c>
      <c r="AW178" s="21">
        <f>EXP(-LN(2)/2)*AW177+(1-EXP(-LN(2)/2))/(LN(2)/2)*AQ178*AT178*VLOOKUP('Données projet'!$B$10,Paramètres!$A$1:$I$89,3,0)*0.475*44/12</f>
        <v>1.7240290235976464E-21</v>
      </c>
      <c r="AX178" s="21">
        <f t="shared" si="166"/>
        <v>0.19054518475853249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-5.6843418860808015E-13</v>
      </c>
      <c r="BE178" s="13">
        <f>BD178*VLOOKUP('Données projet'!$B$11,Paramètres!$A$1:$I$89,3,0)*VLOOKUP('Données projet'!$B$11,Paramètres!$A$1:$I$89,5,0)</f>
        <v>-5.6752469390630732E-13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245.06609107649069</v>
      </c>
      <c r="BJ178" s="59">
        <f t="shared" si="146"/>
        <v>156.24531945456499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1.5272472451071732</v>
      </c>
      <c r="BQ178" s="21">
        <f>EXP(-LN(2)/25)*BQ177+(1-EXP(-LN(2)/25))/(LN(2)/25)*Calculateur!BL178*Calculateur!BN178*VLOOKUP('Données projet'!$B$11,Paramètres!$A$1:$I$89,3,0)*0.475*44/12</f>
        <v>0.41344019514259911</v>
      </c>
      <c r="BR178" s="21">
        <f>EXP(-LN(2)/2)*BR177+(1-EXP(-LN(2)/2))/(LN(2)/2)*BL178*BO178*VLOOKUP('Données projet'!$B$11,Paramètres!$A$1:$I$89,3,0)*0.475*44/12</f>
        <v>2.6583106644540646E-18</v>
      </c>
      <c r="BS178" s="22">
        <f t="shared" si="169"/>
        <v>1.9406874402497722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-2.5579538487363607E-13</v>
      </c>
      <c r="BZ178" s="13">
        <f>BY178*VLOOKUP('Données projet'!$B$12,Paramètres!$A$1:$I$89,3,0)*VLOOKUP('Données projet'!$B$12,Paramètres!$A$1:$I$89,5,0)</f>
        <v>-2.7932856028201057E-13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173.63857221119594</v>
      </c>
      <c r="CE178" s="59">
        <f t="shared" si="148"/>
        <v>52.373745617370105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0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-6.7984728957526396E-14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175.34314856709307</v>
      </c>
      <c r="T179" s="59">
        <f t="shared" si="142"/>
        <v>296.28950942251339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0.82004931416879923</v>
      </c>
      <c r="AA179" s="21">
        <f>EXP(-LN(2)/25)*AA178+(1-EXP(-LN(2)/25))/(LN(2)/25)*Calculateur!V179*Calculateur!X179*VLOOKUP('Données projet'!$B$9,Paramètres!$A$1:$I$89,3,0)*0.475*44/12</f>
        <v>0.32758477722479246</v>
      </c>
      <c r="AB179" s="21">
        <f>EXP(-LN(2)/2)*AB178+(1-EXP(-LN(2)/2))/(LN(2)/2)*V179*Y179*VLOOKUP('Données projet'!$B$9,Paramètres!$A$1:$I$89,3,0)*0.475*44/12</f>
        <v>2.7119394606085025E-22</v>
      </c>
      <c r="AC179" s="22">
        <f t="shared" si="163"/>
        <v>1.1476340913935916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275.00000000000057</v>
      </c>
      <c r="AJ179" s="13">
        <f>AI179*VLOOKUP('Données projet'!$B$10,Paramètres!$A$1:$I$89,3,0)*VLOOKUP('Données projet'!$B$10,Paramètres!$A$1:$I$89,5,0)</f>
        <v>231.66000000000051</v>
      </c>
      <c r="AK179" s="13">
        <f t="shared" si="164"/>
        <v>56.641461975682923</v>
      </c>
      <c r="AL179" s="20">
        <f t="shared" si="165"/>
        <v>502.12504627431525</v>
      </c>
      <c r="AM179" s="59">
        <f t="shared" si="113"/>
        <v>795.45837960764857</v>
      </c>
      <c r="AN179" s="59">
        <f ca="1">AVERAGE(OFFSET($AM$3,0,0,'Données projet'!$E$10+1,1))-AVERAGE(OFFSET($H$3,0,0,'Données projet'!$E$10+1,1))</f>
        <v>247.67539667223065</v>
      </c>
      <c r="AO179" s="59">
        <f t="shared" si="144"/>
        <v>174.54442616983778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7.1114600999284946E-2</v>
      </c>
      <c r="AV179" s="21">
        <f>EXP(-LN(2)/25)*AV178+(1-EXP(-LN(2)/25))/(LN(2)/25)*Calculateur!AQ179*Calculateur!AS179*VLOOKUP('Données projet'!$B$10,Paramètres!$A$1:$I$89,3,0)*0.475*44/12</f>
        <v>0.11478123747225176</v>
      </c>
      <c r="AW179" s="21">
        <f>EXP(-LN(2)/2)*AW178+(1-EXP(-LN(2)/2))/(LN(2)/2)*AQ179*AT179*VLOOKUP('Données projet'!$B$10,Paramètres!$A$1:$I$89,3,0)*0.475*44/12</f>
        <v>1.2190726135483182E-21</v>
      </c>
      <c r="AX179" s="21">
        <f t="shared" si="166"/>
        <v>0.18589583847153671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-5.6843418860808015E-13</v>
      </c>
      <c r="BE179" s="13">
        <f>BD179*VLOOKUP('Données projet'!$B$11,Paramètres!$A$1:$I$89,3,0)*VLOOKUP('Données projet'!$B$11,Paramètres!$A$1:$I$89,5,0)</f>
        <v>-5.6752469390630732E-13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245.06609107649069</v>
      </c>
      <c r="BJ179" s="59">
        <f t="shared" si="146"/>
        <v>156.24531945456499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1.4972988581594602</v>
      </c>
      <c r="BQ179" s="21">
        <f>EXP(-LN(2)/25)*BQ178+(1-EXP(-LN(2)/25))/(LN(2)/25)*Calculateur!BL179*Calculateur!BN179*VLOOKUP('Données projet'!$B$11,Paramètres!$A$1:$I$89,3,0)*0.475*44/12</f>
        <v>0.40213465126454978</v>
      </c>
      <c r="BR179" s="21">
        <f>EXP(-LN(2)/2)*BR178+(1-EXP(-LN(2)/2))/(LN(2)/2)*BL179*BO179*VLOOKUP('Données projet'!$B$11,Paramètres!$A$1:$I$89,3,0)*0.475*44/12</f>
        <v>1.879709497335986E-18</v>
      </c>
      <c r="BS179" s="22">
        <f t="shared" si="169"/>
        <v>1.89943350942401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-2.5579538487363607E-13</v>
      </c>
      <c r="BZ179" s="13">
        <f>BY179*VLOOKUP('Données projet'!$B$12,Paramètres!$A$1:$I$89,3,0)*VLOOKUP('Données projet'!$B$12,Paramètres!$A$1:$I$89,5,0)</f>
        <v>-2.7932856028201057E-13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173.63857221119594</v>
      </c>
      <c r="CE179" s="59">
        <f t="shared" si="148"/>
        <v>52.373745617370105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0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-6.7984728957526396E-14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175.34314856709307</v>
      </c>
      <c r="T180" s="59">
        <f t="shared" si="142"/>
        <v>296.28950942251339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0.80396864729864193</v>
      </c>
      <c r="AA180" s="21">
        <f>EXP(-LN(2)/25)*AA179+(1-EXP(-LN(2)/25))/(LN(2)/25)*Calculateur!V180*Calculateur!X180*VLOOKUP('Données projet'!$B$9,Paramètres!$A$1:$I$89,3,0)*0.475*44/12</f>
        <v>0.31862695426464577</v>
      </c>
      <c r="AB180" s="21">
        <f>EXP(-LN(2)/2)*AB179+(1-EXP(-LN(2)/2))/(LN(2)/2)*V180*Y180*VLOOKUP('Données projet'!$B$9,Paramètres!$A$1:$I$89,3,0)*0.475*44/12</f>
        <v>1.9176307827636601E-22</v>
      </c>
      <c r="AC180" s="22">
        <f t="shared" si="163"/>
        <v>1.1225956015632876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275.00000000000057</v>
      </c>
      <c r="AJ180" s="13">
        <f>AI180*VLOOKUP('Données projet'!$B$10,Paramètres!$A$1:$I$89,3,0)*VLOOKUP('Données projet'!$B$10,Paramètres!$A$1:$I$89,5,0)</f>
        <v>231.66000000000051</v>
      </c>
      <c r="AK180" s="13">
        <f t="shared" si="164"/>
        <v>56.641461975682923</v>
      </c>
      <c r="AL180" s="20">
        <f t="shared" si="165"/>
        <v>502.12504627431525</v>
      </c>
      <c r="AM180" s="59">
        <f t="shared" si="113"/>
        <v>795.45837960764857</v>
      </c>
      <c r="AN180" s="59">
        <f ca="1">AVERAGE(OFFSET($AM$3,0,0,'Données projet'!$E$10+1,1))-AVERAGE(OFFSET($H$3,0,0,'Données projet'!$E$10+1,1))</f>
        <v>247.67539667223065</v>
      </c>
      <c r="AO180" s="59">
        <f t="shared" si="144"/>
        <v>174.54442616983778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6.9720087049312596E-2</v>
      </c>
      <c r="AV180" s="21">
        <f>EXP(-LN(2)/25)*AV179+(1-EXP(-LN(2)/25))/(LN(2)/25)*Calculateur!AQ180*Calculateur!AS180*VLOOKUP('Données projet'!$B$10,Paramètres!$A$1:$I$89,3,0)*0.475*44/12</f>
        <v>0.11164253849749009</v>
      </c>
      <c r="AW180" s="21">
        <f>EXP(-LN(2)/2)*AW179+(1-EXP(-LN(2)/2))/(LN(2)/2)*AQ180*AT180*VLOOKUP('Données projet'!$B$10,Paramètres!$A$1:$I$89,3,0)*0.475*44/12</f>
        <v>8.6201451179882322E-22</v>
      </c>
      <c r="AX180" s="21">
        <f t="shared" si="166"/>
        <v>0.18136262554680269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-5.6843418860808015E-13</v>
      </c>
      <c r="BE180" s="13">
        <f>BD180*VLOOKUP('Données projet'!$B$11,Paramètres!$A$1:$I$89,3,0)*VLOOKUP('Données projet'!$B$11,Paramètres!$A$1:$I$89,5,0)</f>
        <v>-5.6752469390630732E-13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245.06609107649069</v>
      </c>
      <c r="BJ180" s="59">
        <f t="shared" si="146"/>
        <v>156.24531945456499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1.4679377408130796</v>
      </c>
      <c r="BQ180" s="21">
        <f>EXP(-LN(2)/25)*BQ179+(1-EXP(-LN(2)/25))/(LN(2)/25)*Calculateur!BL180*Calculateur!BN180*VLOOKUP('Données projet'!$B$11,Paramètres!$A$1:$I$89,3,0)*0.475*44/12</f>
        <v>0.39113825807837843</v>
      </c>
      <c r="BR180" s="21">
        <f>EXP(-LN(2)/2)*BR179+(1-EXP(-LN(2)/2))/(LN(2)/2)*BL180*BO180*VLOOKUP('Données projet'!$B$11,Paramètres!$A$1:$I$89,3,0)*0.475*44/12</f>
        <v>1.3291553322270323E-18</v>
      </c>
      <c r="BS180" s="22">
        <f t="shared" si="169"/>
        <v>1.859075998891458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-2.5579538487363607E-13</v>
      </c>
      <c r="BZ180" s="13">
        <f>BY180*VLOOKUP('Données projet'!$B$12,Paramètres!$A$1:$I$89,3,0)*VLOOKUP('Données projet'!$B$12,Paramètres!$A$1:$I$89,5,0)</f>
        <v>-2.7932856028201057E-13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173.63857221119594</v>
      </c>
      <c r="CE180" s="59">
        <f t="shared" si="148"/>
        <v>52.373745617370105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0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-6.7984728957526396E-14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175.34314856709307</v>
      </c>
      <c r="T181" s="59">
        <f t="shared" si="142"/>
        <v>296.28950942251339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0.78820331249757014</v>
      </c>
      <c r="AA181" s="21">
        <f>EXP(-LN(2)/25)*AA180+(1-EXP(-LN(2)/25))/(LN(2)/25)*Calculateur!V181*Calculateur!X181*VLOOKUP('Données projet'!$B$9,Paramètres!$A$1:$I$89,3,0)*0.475*44/12</f>
        <v>0.30991408344441573</v>
      </c>
      <c r="AB181" s="21">
        <f>EXP(-LN(2)/2)*AB180+(1-EXP(-LN(2)/2))/(LN(2)/2)*V181*Y181*VLOOKUP('Données projet'!$B$9,Paramètres!$A$1:$I$89,3,0)*0.475*44/12</f>
        <v>1.3559697303042513E-22</v>
      </c>
      <c r="AC181" s="22">
        <f t="shared" si="163"/>
        <v>1.0981173959419859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275.00000000000057</v>
      </c>
      <c r="AJ181" s="13">
        <f>AI181*VLOOKUP('Données projet'!$B$10,Paramètres!$A$1:$I$89,3,0)*VLOOKUP('Données projet'!$B$10,Paramètres!$A$1:$I$89,5,0)</f>
        <v>231.66000000000051</v>
      </c>
      <c r="AK181" s="13">
        <f t="shared" si="164"/>
        <v>56.641461975682923</v>
      </c>
      <c r="AL181" s="20">
        <f t="shared" si="165"/>
        <v>502.12504627431525</v>
      </c>
      <c r="AM181" s="59">
        <f t="shared" si="113"/>
        <v>795.45837960764857</v>
      </c>
      <c r="AN181" s="59">
        <f ca="1">AVERAGE(OFFSET($AM$3,0,0,'Données projet'!$E$10+1,1))-AVERAGE(OFFSET($H$3,0,0,'Données projet'!$E$10+1,1))</f>
        <v>247.67539667223065</v>
      </c>
      <c r="AO181" s="59">
        <f t="shared" si="144"/>
        <v>174.54442616983778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6.8352918667329676E-2</v>
      </c>
      <c r="AV181" s="21">
        <f>EXP(-LN(2)/25)*AV180+(1-EXP(-LN(2)/25))/(LN(2)/25)*Calculateur!AQ181*Calculateur!AS181*VLOOKUP('Données projet'!$B$10,Paramètres!$A$1:$I$89,3,0)*0.475*44/12</f>
        <v>0.10858966741125028</v>
      </c>
      <c r="AW181" s="21">
        <f>EXP(-LN(2)/2)*AW180+(1-EXP(-LN(2)/2))/(LN(2)/2)*AQ181*AT181*VLOOKUP('Données projet'!$B$10,Paramètres!$A$1:$I$89,3,0)*0.475*44/12</f>
        <v>6.0953630677415909E-22</v>
      </c>
      <c r="AX181" s="21">
        <f t="shared" si="166"/>
        <v>0.17694258607857996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-5.6843418860808015E-13</v>
      </c>
      <c r="BE181" s="13">
        <f>BD181*VLOOKUP('Données projet'!$B$11,Paramètres!$A$1:$I$89,3,0)*VLOOKUP('Données projet'!$B$11,Paramètres!$A$1:$I$89,5,0)</f>
        <v>-5.6752469390630732E-13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245.06609107649069</v>
      </c>
      <c r="BJ181" s="59">
        <f t="shared" si="146"/>
        <v>156.24531945456499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1.4391523770693482</v>
      </c>
      <c r="BQ181" s="21">
        <f>EXP(-LN(2)/25)*BQ180+(1-EXP(-LN(2)/25))/(LN(2)/25)*Calculateur!BL181*Calculateur!BN181*VLOOKUP('Données projet'!$B$11,Paramètres!$A$1:$I$89,3,0)*0.475*44/12</f>
        <v>0.38044256184215813</v>
      </c>
      <c r="BR181" s="21">
        <f>EXP(-LN(2)/2)*BR180+(1-EXP(-LN(2)/2))/(LN(2)/2)*BL181*BO181*VLOOKUP('Données projet'!$B$11,Paramètres!$A$1:$I$89,3,0)*0.475*44/12</f>
        <v>9.39854748667993E-19</v>
      </c>
      <c r="BS181" s="22">
        <f t="shared" si="169"/>
        <v>1.8195949389115063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-2.5579538487363607E-13</v>
      </c>
      <c r="BZ181" s="13">
        <f>BY181*VLOOKUP('Données projet'!$B$12,Paramètres!$A$1:$I$89,3,0)*VLOOKUP('Données projet'!$B$12,Paramètres!$A$1:$I$89,5,0)</f>
        <v>-2.7932856028201057E-13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173.63857221119594</v>
      </c>
      <c r="CE181" s="59">
        <f t="shared" si="148"/>
        <v>52.373745617370105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0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-6.7984728957526396E-14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175.34314856709307</v>
      </c>
      <c r="T182" s="59">
        <f t="shared" si="142"/>
        <v>296.28950942251339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0.7727471262960427</v>
      </c>
      <c r="AA182" s="21">
        <f>EXP(-LN(2)/25)*AA181+(1-EXP(-LN(2)/25))/(LN(2)/25)*Calculateur!V182*Calculateur!X182*VLOOKUP('Données projet'!$B$9,Paramètres!$A$1:$I$89,3,0)*0.475*44/12</f>
        <v>0.30143946653495485</v>
      </c>
      <c r="AB182" s="21">
        <f>EXP(-LN(2)/2)*AB181+(1-EXP(-LN(2)/2))/(LN(2)/2)*V182*Y182*VLOOKUP('Données projet'!$B$9,Paramètres!$A$1:$I$89,3,0)*0.475*44/12</f>
        <v>9.5881539138183007E-23</v>
      </c>
      <c r="AC182" s="22">
        <f t="shared" si="163"/>
        <v>1.0741865928309975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275.00000000000057</v>
      </c>
      <c r="AJ182" s="13">
        <f>AI182*VLOOKUP('Données projet'!$B$10,Paramètres!$A$1:$I$89,3,0)*VLOOKUP('Données projet'!$B$10,Paramètres!$A$1:$I$89,5,0)</f>
        <v>231.66000000000051</v>
      </c>
      <c r="AK182" s="13">
        <f t="shared" si="164"/>
        <v>56.641461975682923</v>
      </c>
      <c r="AL182" s="20">
        <f t="shared" si="165"/>
        <v>502.12504627431525</v>
      </c>
      <c r="AM182" s="59">
        <f t="shared" si="113"/>
        <v>795.45837960764857</v>
      </c>
      <c r="AN182" s="59">
        <f ca="1">AVERAGE(OFFSET($AM$3,0,0,'Données projet'!$E$10+1,1))-AVERAGE(OFFSET($H$3,0,0,'Données projet'!$E$10+1,1))</f>
        <v>247.67539667223065</v>
      </c>
      <c r="AO182" s="59">
        <f t="shared" si="144"/>
        <v>174.54442616983778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6.7012559623427073E-2</v>
      </c>
      <c r="AV182" s="21">
        <f>EXP(-LN(2)/25)*AV181+(1-EXP(-LN(2)/25))/(LN(2)/25)*Calculateur!AQ182*Calculateur!AS182*VLOOKUP('Données projet'!$B$10,Paramètres!$A$1:$I$89,3,0)*0.475*44/12</f>
        <v>0.10562027724540722</v>
      </c>
      <c r="AW182" s="21">
        <f>EXP(-LN(2)/2)*AW181+(1-EXP(-LN(2)/2))/(LN(2)/2)*AQ182*AT182*VLOOKUP('Données projet'!$B$10,Paramètres!$A$1:$I$89,3,0)*0.475*44/12</f>
        <v>4.3100725589941161E-22</v>
      </c>
      <c r="AX182" s="21">
        <f t="shared" si="166"/>
        <v>0.17263283686883429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-5.6843418860808015E-13</v>
      </c>
      <c r="BE182" s="13">
        <f>BD182*VLOOKUP('Données projet'!$B$11,Paramètres!$A$1:$I$89,3,0)*VLOOKUP('Données projet'!$B$11,Paramètres!$A$1:$I$89,5,0)</f>
        <v>-5.6752469390630732E-13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245.06609107649069</v>
      </c>
      <c r="BJ182" s="59">
        <f t="shared" si="146"/>
        <v>156.24531945456499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1.410931476751293</v>
      </c>
      <c r="BQ182" s="21">
        <f>EXP(-LN(2)/25)*BQ181+(1-EXP(-LN(2)/25))/(LN(2)/25)*Calculateur!BL182*Calculateur!BN182*VLOOKUP('Données projet'!$B$11,Paramètres!$A$1:$I$89,3,0)*0.475*44/12</f>
        <v>0.37003933998197952</v>
      </c>
      <c r="BR182" s="21">
        <f>EXP(-LN(2)/2)*BR181+(1-EXP(-LN(2)/2))/(LN(2)/2)*BL182*BO182*VLOOKUP('Données projet'!$B$11,Paramètres!$A$1:$I$89,3,0)*0.475*44/12</f>
        <v>6.6457766611351615E-19</v>
      </c>
      <c r="BS182" s="22">
        <f t="shared" si="169"/>
        <v>1.7809708167332725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-2.5579538487363607E-13</v>
      </c>
      <c r="BZ182" s="13">
        <f>BY182*VLOOKUP('Données projet'!$B$12,Paramètres!$A$1:$I$89,3,0)*VLOOKUP('Données projet'!$B$12,Paramètres!$A$1:$I$89,5,0)</f>
        <v>-2.7932856028201057E-13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173.63857221119594</v>
      </c>
      <c r="CE182" s="59">
        <f t="shared" si="148"/>
        <v>52.373745617370105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0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-6.7984728957526396E-14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175.34314856709307</v>
      </c>
      <c r="T183" s="59">
        <f t="shared" si="142"/>
        <v>296.28950942251339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0.75759402647858443</v>
      </c>
      <c r="AA183" s="21">
        <f>EXP(-LN(2)/25)*AA182+(1-EXP(-LN(2)/25))/(LN(2)/25)*Calculateur!V183*Calculateur!X183*VLOOKUP('Données projet'!$B$9,Paramètres!$A$1:$I$89,3,0)*0.475*44/12</f>
        <v>0.29319658847054392</v>
      </c>
      <c r="AB183" s="21">
        <f>EXP(-LN(2)/2)*AB182+(1-EXP(-LN(2)/2))/(LN(2)/2)*V183*Y183*VLOOKUP('Données projet'!$B$9,Paramètres!$A$1:$I$89,3,0)*0.475*44/12</f>
        <v>6.7798486515212563E-23</v>
      </c>
      <c r="AC183" s="22">
        <f t="shared" si="163"/>
        <v>1.0507906149491284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275.00000000000057</v>
      </c>
      <c r="AJ183" s="13">
        <f>AI183*VLOOKUP('Données projet'!$B$10,Paramètres!$A$1:$I$89,3,0)*VLOOKUP('Données projet'!$B$10,Paramètres!$A$1:$I$89,5,0)</f>
        <v>231.66000000000051</v>
      </c>
      <c r="AK183" s="13">
        <f t="shared" si="164"/>
        <v>56.641461975682923</v>
      </c>
      <c r="AL183" s="20">
        <f t="shared" si="165"/>
        <v>502.12504627431525</v>
      </c>
      <c r="AM183" s="59">
        <f t="shared" si="113"/>
        <v>795.45837960764857</v>
      </c>
      <c r="AN183" s="59">
        <f ca="1">AVERAGE(OFFSET($AM$3,0,0,'Données projet'!$E$10+1,1))-AVERAGE(OFFSET($H$3,0,0,'Données projet'!$E$10+1,1))</f>
        <v>247.67539667223065</v>
      </c>
      <c r="AO183" s="59">
        <f t="shared" si="144"/>
        <v>174.54442616983778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6.569848420283711E-2</v>
      </c>
      <c r="AV183" s="21">
        <f>EXP(-LN(2)/25)*AV182+(1-EXP(-LN(2)/25))/(LN(2)/25)*Calculateur!AQ183*Calculateur!AS183*VLOOKUP('Données projet'!$B$10,Paramètres!$A$1:$I$89,3,0)*0.475*44/12</f>
        <v>0.10273208520980258</v>
      </c>
      <c r="AW183" s="21">
        <f>EXP(-LN(2)/2)*AW182+(1-EXP(-LN(2)/2))/(LN(2)/2)*AQ183*AT183*VLOOKUP('Données projet'!$B$10,Paramètres!$A$1:$I$89,3,0)*0.475*44/12</f>
        <v>3.0476815338707954E-22</v>
      </c>
      <c r="AX183" s="21">
        <f t="shared" si="166"/>
        <v>0.16843056941263967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-5.6843418860808015E-13</v>
      </c>
      <c r="BE183" s="13">
        <f>BD183*VLOOKUP('Données projet'!$B$11,Paramètres!$A$1:$I$89,3,0)*VLOOKUP('Données projet'!$B$11,Paramètres!$A$1:$I$89,5,0)</f>
        <v>-5.6752469390630732E-13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245.06609107649069</v>
      </c>
      <c r="BJ183" s="59">
        <f t="shared" si="146"/>
        <v>156.24531945456499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1.3832639710754255</v>
      </c>
      <c r="BQ183" s="21">
        <f>EXP(-LN(2)/25)*BQ182+(1-EXP(-LN(2)/25))/(LN(2)/25)*Calculateur!BL183*Calculateur!BN183*VLOOKUP('Données projet'!$B$11,Paramètres!$A$1:$I$89,3,0)*0.475*44/12</f>
        <v>0.35992059477064914</v>
      </c>
      <c r="BR183" s="21">
        <f>EXP(-LN(2)/2)*BR182+(1-EXP(-LN(2)/2))/(LN(2)/2)*BL183*BO183*VLOOKUP('Données projet'!$B$11,Paramètres!$A$1:$I$89,3,0)*0.475*44/12</f>
        <v>4.699273743339965E-19</v>
      </c>
      <c r="BS183" s="22">
        <f t="shared" si="169"/>
        <v>1.7431845658460747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-2.5579538487363607E-13</v>
      </c>
      <c r="BZ183" s="13">
        <f>BY183*VLOOKUP('Données projet'!$B$12,Paramètres!$A$1:$I$89,3,0)*VLOOKUP('Données projet'!$B$12,Paramètres!$A$1:$I$89,5,0)</f>
        <v>-2.7932856028201057E-13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173.63857221119594</v>
      </c>
      <c r="CE183" s="59">
        <f t="shared" si="148"/>
        <v>52.373745617370105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0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-6.7984728957526396E-14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175.34314856709307</v>
      </c>
      <c r="T184" s="59">
        <f t="shared" si="142"/>
        <v>296.28950942251339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0.74273806970606826</v>
      </c>
      <c r="AA184" s="21">
        <f>EXP(-LN(2)/25)*AA183+(1-EXP(-LN(2)/25))/(LN(2)/25)*Calculateur!V184*Calculateur!X184*VLOOKUP('Données projet'!$B$9,Paramètres!$A$1:$I$89,3,0)*0.475*44/12</f>
        <v>0.28517911234027843</v>
      </c>
      <c r="AB184" s="21">
        <f>EXP(-LN(2)/2)*AB183+(1-EXP(-LN(2)/2))/(LN(2)/2)*V184*Y184*VLOOKUP('Données projet'!$B$9,Paramètres!$A$1:$I$89,3,0)*0.475*44/12</f>
        <v>4.7940769569091504E-23</v>
      </c>
      <c r="AC184" s="22">
        <f t="shared" si="163"/>
        <v>1.0279171820463466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275.00000000000057</v>
      </c>
      <c r="AJ184" s="13">
        <f>AI184*VLOOKUP('Données projet'!$B$10,Paramètres!$A$1:$I$89,3,0)*VLOOKUP('Données projet'!$B$10,Paramètres!$A$1:$I$89,5,0)</f>
        <v>231.66000000000051</v>
      </c>
      <c r="AK184" s="13">
        <f t="shared" si="164"/>
        <v>56.641461975682923</v>
      </c>
      <c r="AL184" s="20">
        <f t="shared" si="165"/>
        <v>502.12504627431525</v>
      </c>
      <c r="AM184" s="59">
        <f t="shared" si="113"/>
        <v>795.45837960764857</v>
      </c>
      <c r="AN184" s="59">
        <f ca="1">AVERAGE(OFFSET($AM$3,0,0,'Données projet'!$E$10+1,1))-AVERAGE(OFFSET($H$3,0,0,'Données projet'!$E$10+1,1))</f>
        <v>247.67539667223065</v>
      </c>
      <c r="AO184" s="59">
        <f t="shared" si="144"/>
        <v>174.54442616983778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6.4410176999738042E-2</v>
      </c>
      <c r="AV184" s="21">
        <f>EXP(-LN(2)/25)*AV183+(1-EXP(-LN(2)/25))/(LN(2)/25)*Calculateur!AQ184*Calculateur!AS184*VLOOKUP('Données projet'!$B$10,Paramètres!$A$1:$I$89,3,0)*0.475*44/12</f>
        <v>9.9922870937294961E-2</v>
      </c>
      <c r="AW184" s="21">
        <f>EXP(-LN(2)/2)*AW183+(1-EXP(-LN(2)/2))/(LN(2)/2)*AQ184*AT184*VLOOKUP('Données projet'!$B$10,Paramètres!$A$1:$I$89,3,0)*0.475*44/12</f>
        <v>2.155036279497058E-22</v>
      </c>
      <c r="AX184" s="21">
        <f t="shared" si="166"/>
        <v>0.16433304793703302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-5.6843418860808015E-13</v>
      </c>
      <c r="BE184" s="13">
        <f>BD184*VLOOKUP('Données projet'!$B$11,Paramètres!$A$1:$I$89,3,0)*VLOOKUP('Données projet'!$B$11,Paramètres!$A$1:$I$89,5,0)</f>
        <v>-5.6752469390630732E-13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245.06609107649069</v>
      </c>
      <c r="BJ184" s="59">
        <f t="shared" si="146"/>
        <v>156.24531945456499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1.3561390083103495</v>
      </c>
      <c r="BQ184" s="21">
        <f>EXP(-LN(2)/25)*BQ183+(1-EXP(-LN(2)/25))/(LN(2)/25)*Calculateur!BL184*Calculateur!BN184*VLOOKUP('Données projet'!$B$11,Paramètres!$A$1:$I$89,3,0)*0.475*44/12</f>
        <v>0.35007854717924425</v>
      </c>
      <c r="BR184" s="21">
        <f>EXP(-LN(2)/2)*BR183+(1-EXP(-LN(2)/2))/(LN(2)/2)*BL184*BO184*VLOOKUP('Données projet'!$B$11,Paramètres!$A$1:$I$89,3,0)*0.475*44/12</f>
        <v>3.3228883305675808E-19</v>
      </c>
      <c r="BS184" s="22">
        <f t="shared" si="169"/>
        <v>1.7062175554895938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-2.5579538487363607E-13</v>
      </c>
      <c r="BZ184" s="13">
        <f>BY184*VLOOKUP('Données projet'!$B$12,Paramètres!$A$1:$I$89,3,0)*VLOOKUP('Données projet'!$B$12,Paramètres!$A$1:$I$89,5,0)</f>
        <v>-2.7932856028201057E-13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173.63857221119594</v>
      </c>
      <c r="CE184" s="59">
        <f t="shared" si="148"/>
        <v>52.373745617370105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0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-6.7984728957526396E-14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175.34314856709307</v>
      </c>
      <c r="T185" s="59">
        <f t="shared" si="142"/>
        <v>296.28950942251339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0.72817342918462225</v>
      </c>
      <c r="AA185" s="21">
        <f>EXP(-LN(2)/25)*AA184+(1-EXP(-LN(2)/25))/(LN(2)/25)*Calculateur!V185*Calculateur!X185*VLOOKUP('Données projet'!$B$9,Paramètres!$A$1:$I$89,3,0)*0.475*44/12</f>
        <v>0.2773808745164158</v>
      </c>
      <c r="AB185" s="21">
        <f>EXP(-LN(2)/2)*AB184+(1-EXP(-LN(2)/2))/(LN(2)/2)*V185*Y185*VLOOKUP('Données projet'!$B$9,Paramètres!$A$1:$I$89,3,0)*0.475*44/12</f>
        <v>3.3899243257606282E-23</v>
      </c>
      <c r="AC185" s="22">
        <f t="shared" si="163"/>
        <v>1.0055543037010382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275.00000000000057</v>
      </c>
      <c r="AJ185" s="13">
        <f>AI185*VLOOKUP('Données projet'!$B$10,Paramètres!$A$1:$I$89,3,0)*VLOOKUP('Données projet'!$B$10,Paramètres!$A$1:$I$89,5,0)</f>
        <v>231.66000000000051</v>
      </c>
      <c r="AK185" s="13">
        <f t="shared" si="164"/>
        <v>56.641461975682923</v>
      </c>
      <c r="AL185" s="20">
        <f t="shared" si="165"/>
        <v>502.12504627431525</v>
      </c>
      <c r="AM185" s="59">
        <f t="shared" si="113"/>
        <v>795.45837960764857</v>
      </c>
      <c r="AN185" s="59">
        <f ca="1">AVERAGE(OFFSET($AM$3,0,0,'Données projet'!$E$10+1,1))-AVERAGE(OFFSET($H$3,0,0,'Données projet'!$E$10+1,1))</f>
        <v>247.67539667223065</v>
      </c>
      <c r="AO185" s="59">
        <f t="shared" si="144"/>
        <v>174.54442616983778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6.3147132715101945E-2</v>
      </c>
      <c r="AV185" s="21">
        <f>EXP(-LN(2)/25)*AV184+(1-EXP(-LN(2)/25))/(LN(2)/25)*Calculateur!AQ185*Calculateur!AS185*VLOOKUP('Données projet'!$B$10,Paramètres!$A$1:$I$89,3,0)*0.475*44/12</f>
        <v>9.7190474776799221E-2</v>
      </c>
      <c r="AW185" s="21">
        <f>EXP(-LN(2)/2)*AW184+(1-EXP(-LN(2)/2))/(LN(2)/2)*AQ185*AT185*VLOOKUP('Données projet'!$B$10,Paramètres!$A$1:$I$89,3,0)*0.475*44/12</f>
        <v>1.5238407669353977E-22</v>
      </c>
      <c r="AX185" s="21">
        <f t="shared" si="166"/>
        <v>0.16033760749190118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-5.6843418860808015E-13</v>
      </c>
      <c r="BE185" s="13">
        <f>BD185*VLOOKUP('Données projet'!$B$11,Paramètres!$A$1:$I$89,3,0)*VLOOKUP('Données projet'!$B$11,Paramètres!$A$1:$I$89,5,0)</f>
        <v>-5.6752469390630732E-13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245.06609107649069</v>
      </c>
      <c r="BJ185" s="59">
        <f t="shared" si="146"/>
        <v>156.24531945456499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1.3295459495205031</v>
      </c>
      <c r="BQ185" s="21">
        <f>EXP(-LN(2)/25)*BQ184+(1-EXP(-LN(2)/25))/(LN(2)/25)*Calculateur!BL185*Calculateur!BN185*VLOOKUP('Données projet'!$B$11,Paramètres!$A$1:$I$89,3,0)*0.475*44/12</f>
        <v>0.34050563089679714</v>
      </c>
      <c r="BR185" s="21">
        <f>EXP(-LN(2)/2)*BR184+(1-EXP(-LN(2)/2))/(LN(2)/2)*BL185*BO185*VLOOKUP('Données projet'!$B$11,Paramètres!$A$1:$I$89,3,0)*0.475*44/12</f>
        <v>2.3496368716699825E-19</v>
      </c>
      <c r="BS185" s="22">
        <f t="shared" si="169"/>
        <v>1.6700515804173002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-2.5579538487363607E-13</v>
      </c>
      <c r="BZ185" s="13">
        <f>BY185*VLOOKUP('Données projet'!$B$12,Paramètres!$A$1:$I$89,3,0)*VLOOKUP('Données projet'!$B$12,Paramètres!$A$1:$I$89,5,0)</f>
        <v>-2.7932856028201057E-13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173.63857221119594</v>
      </c>
      <c r="CE185" s="59">
        <f t="shared" si="148"/>
        <v>52.373745617370105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0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-6.7984728957526396E-14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175.34314856709307</v>
      </c>
      <c r="T186" s="59">
        <f t="shared" si="142"/>
        <v>296.28950942251339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0.71389439238024821</v>
      </c>
      <c r="AA186" s="21">
        <f>EXP(-LN(2)/25)*AA185+(1-EXP(-LN(2)/25))/(LN(2)/25)*Calculateur!V186*Calculateur!X186*VLOOKUP('Données projet'!$B$9,Paramètres!$A$1:$I$89,3,0)*0.475*44/12</f>
        <v>0.26979587991593817</v>
      </c>
      <c r="AB186" s="21">
        <f>EXP(-LN(2)/2)*AB185+(1-EXP(-LN(2)/2))/(LN(2)/2)*V186*Y186*VLOOKUP('Données projet'!$B$9,Paramètres!$A$1:$I$89,3,0)*0.475*44/12</f>
        <v>2.3970384784545752E-23</v>
      </c>
      <c r="AC186" s="22">
        <f t="shared" si="163"/>
        <v>0.98369027229618644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275.00000000000057</v>
      </c>
      <c r="AJ186" s="13">
        <f>AI186*VLOOKUP('Données projet'!$B$10,Paramètres!$A$1:$I$89,3,0)*VLOOKUP('Données projet'!$B$10,Paramètres!$A$1:$I$89,5,0)</f>
        <v>231.66000000000051</v>
      </c>
      <c r="AK186" s="13">
        <f t="shared" si="164"/>
        <v>56.641461975682923</v>
      </c>
      <c r="AL186" s="20">
        <f t="shared" si="165"/>
        <v>502.12504627431525</v>
      </c>
      <c r="AM186" s="59">
        <f t="shared" si="113"/>
        <v>795.45837960764857</v>
      </c>
      <c r="AN186" s="59">
        <f ca="1">AVERAGE(OFFSET($AM$3,0,0,'Données projet'!$E$10+1,1))-AVERAGE(OFFSET($H$3,0,0,'Données projet'!$E$10+1,1))</f>
        <v>247.67539667223065</v>
      </c>
      <c r="AO186" s="59">
        <f t="shared" si="144"/>
        <v>174.54442616983778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6.190885595850662E-2</v>
      </c>
      <c r="AV186" s="21">
        <f>EXP(-LN(2)/25)*AV185+(1-EXP(-LN(2)/25))/(LN(2)/25)*Calculateur!AQ186*Calculateur!AS186*VLOOKUP('Données projet'!$B$10,Paramètres!$A$1:$I$89,3,0)*0.475*44/12</f>
        <v>9.4532796133002708E-2</v>
      </c>
      <c r="AW186" s="21">
        <f>EXP(-LN(2)/2)*AW185+(1-EXP(-LN(2)/2))/(LN(2)/2)*AQ186*AT186*VLOOKUP('Données projet'!$B$10,Paramètres!$A$1:$I$89,3,0)*0.475*44/12</f>
        <v>1.077518139748529E-22</v>
      </c>
      <c r="AX186" s="21">
        <f t="shared" si="166"/>
        <v>0.15644165209150934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-5.6843418860808015E-13</v>
      </c>
      <c r="BE186" s="13">
        <f>BD186*VLOOKUP('Données projet'!$B$11,Paramètres!$A$1:$I$89,3,0)*VLOOKUP('Données projet'!$B$11,Paramètres!$A$1:$I$89,5,0)</f>
        <v>-5.6752469390630732E-13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245.06609107649069</v>
      </c>
      <c r="BJ186" s="59">
        <f t="shared" si="146"/>
        <v>156.24531945456499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1.3034743643933613</v>
      </c>
      <c r="BQ186" s="21">
        <f>EXP(-LN(2)/25)*BQ185+(1-EXP(-LN(2)/25))/(LN(2)/25)*Calculateur!BL186*Calculateur!BN186*VLOOKUP('Données projet'!$B$11,Paramètres!$A$1:$I$89,3,0)*0.475*44/12</f>
        <v>0.33119448651351135</v>
      </c>
      <c r="BR186" s="21">
        <f>EXP(-LN(2)/2)*BR185+(1-EXP(-LN(2)/2))/(LN(2)/2)*BL186*BO186*VLOOKUP('Données projet'!$B$11,Paramètres!$A$1:$I$89,3,0)*0.475*44/12</f>
        <v>1.6614441652837904E-19</v>
      </c>
      <c r="BS186" s="22">
        <f t="shared" si="169"/>
        <v>1.6346688509068725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-2.5579538487363607E-13</v>
      </c>
      <c r="BZ186" s="13">
        <f>BY186*VLOOKUP('Données projet'!$B$12,Paramètres!$A$1:$I$89,3,0)*VLOOKUP('Données projet'!$B$12,Paramètres!$A$1:$I$89,5,0)</f>
        <v>-2.7932856028201057E-13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173.63857221119594</v>
      </c>
      <c r="CE186" s="59">
        <f t="shared" si="148"/>
        <v>52.373745617370105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0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-6.7984728957526396E-14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175.34314856709307</v>
      </c>
      <c r="T187" s="59">
        <f t="shared" si="142"/>
        <v>296.28950942251339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0.69989535877825548</v>
      </c>
      <c r="AA187" s="21">
        <f>EXP(-LN(2)/25)*AA186+(1-EXP(-LN(2)/25))/(LN(2)/25)*Calculateur!V187*Calculateur!X187*VLOOKUP('Données projet'!$B$9,Paramètres!$A$1:$I$89,3,0)*0.475*44/12</f>
        <v>0.26241829739168815</v>
      </c>
      <c r="AB187" s="21">
        <f>EXP(-LN(2)/2)*AB186+(1-EXP(-LN(2)/2))/(LN(2)/2)*V187*Y187*VLOOKUP('Données projet'!$B$9,Paramètres!$A$1:$I$89,3,0)*0.475*44/12</f>
        <v>1.6949621628803141E-23</v>
      </c>
      <c r="AC187" s="22">
        <f t="shared" si="163"/>
        <v>0.96231365616994369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275.00000000000057</v>
      </c>
      <c r="AJ187" s="13">
        <f>AI187*VLOOKUP('Données projet'!$B$10,Paramètres!$A$1:$I$89,3,0)*VLOOKUP('Données projet'!$B$10,Paramètres!$A$1:$I$89,5,0)</f>
        <v>231.66000000000051</v>
      </c>
      <c r="AK187" s="13">
        <f t="shared" si="164"/>
        <v>56.641461975682923</v>
      </c>
      <c r="AL187" s="20">
        <f t="shared" si="165"/>
        <v>502.12504627431525</v>
      </c>
      <c r="AM187" s="59">
        <f t="shared" si="113"/>
        <v>795.45837960764857</v>
      </c>
      <c r="AN187" s="59">
        <f ca="1">AVERAGE(OFFSET($AM$3,0,0,'Données projet'!$E$10+1,1))-AVERAGE(OFFSET($H$3,0,0,'Données projet'!$E$10+1,1))</f>
        <v>247.67539667223065</v>
      </c>
      <c r="AO187" s="59">
        <f t="shared" si="144"/>
        <v>174.54442616983778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6.0694861053833885E-2</v>
      </c>
      <c r="AV187" s="21">
        <f>EXP(-LN(2)/25)*AV186+(1-EXP(-LN(2)/25))/(LN(2)/25)*Calculateur!AQ187*Calculateur!AS187*VLOOKUP('Données projet'!$B$10,Paramètres!$A$1:$I$89,3,0)*0.475*44/12</f>
        <v>9.1947791851482052E-2</v>
      </c>
      <c r="AW187" s="21">
        <f>EXP(-LN(2)/2)*AW186+(1-EXP(-LN(2)/2))/(LN(2)/2)*AQ187*AT187*VLOOKUP('Données projet'!$B$10,Paramètres!$A$1:$I$89,3,0)*0.475*44/12</f>
        <v>7.6192038346769886E-23</v>
      </c>
      <c r="AX187" s="21">
        <f t="shared" si="166"/>
        <v>0.15264265290531592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-5.6843418860808015E-13</v>
      </c>
      <c r="BE187" s="13">
        <f>BD187*VLOOKUP('Données projet'!$B$11,Paramètres!$A$1:$I$89,3,0)*VLOOKUP('Données projet'!$B$11,Paramètres!$A$1:$I$89,5,0)</f>
        <v>-5.6752469390630732E-13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245.06609107649069</v>
      </c>
      <c r="BJ187" s="59">
        <f t="shared" si="146"/>
        <v>156.24531945456499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1.2779140271484659</v>
      </c>
      <c r="BQ187" s="21">
        <f>EXP(-LN(2)/25)*BQ186+(1-EXP(-LN(2)/25))/(LN(2)/25)*Calculateur!BL187*Calculateur!BN187*VLOOKUP('Données projet'!$B$11,Paramètres!$A$1:$I$89,3,0)*0.475*44/12</f>
        <v>0.32213795586303828</v>
      </c>
      <c r="BR187" s="21">
        <f>EXP(-LN(2)/2)*BR186+(1-EXP(-LN(2)/2))/(LN(2)/2)*BL187*BO187*VLOOKUP('Données projet'!$B$11,Paramètres!$A$1:$I$89,3,0)*0.475*44/12</f>
        <v>1.1748184358349912E-19</v>
      </c>
      <c r="BS187" s="22">
        <f t="shared" si="169"/>
        <v>1.6000519830115043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-2.5579538487363607E-13</v>
      </c>
      <c r="BZ187" s="13">
        <f>BY187*VLOOKUP('Données projet'!$B$12,Paramètres!$A$1:$I$89,3,0)*VLOOKUP('Données projet'!$B$12,Paramètres!$A$1:$I$89,5,0)</f>
        <v>-2.7932856028201057E-13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173.63857221119594</v>
      </c>
      <c r="CE187" s="59">
        <f t="shared" si="148"/>
        <v>52.373745617370105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0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-6.7984728957526396E-14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175.34314856709307</v>
      </c>
      <c r="T188" s="59">
        <f t="shared" si="142"/>
        <v>296.28950942251339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0.68617083768663045</v>
      </c>
      <c r="AA188" s="21">
        <f>EXP(-LN(2)/25)*AA187+(1-EXP(-LN(2)/25))/(LN(2)/25)*Calculateur!V188*Calculateur!X188*VLOOKUP('Données projet'!$B$9,Paramètres!$A$1:$I$89,3,0)*0.475*44/12</f>
        <v>0.25524245524953393</v>
      </c>
      <c r="AB188" s="21">
        <f>EXP(-LN(2)/2)*AB187+(1-EXP(-LN(2)/2))/(LN(2)/2)*V188*Y188*VLOOKUP('Données projet'!$B$9,Paramètres!$A$1:$I$89,3,0)*0.475*44/12</f>
        <v>1.1985192392272876E-23</v>
      </c>
      <c r="AC188" s="22">
        <f t="shared" si="163"/>
        <v>0.94141329293616438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275.00000000000057</v>
      </c>
      <c r="AJ188" s="13">
        <f>AI188*VLOOKUP('Données projet'!$B$10,Paramètres!$A$1:$I$89,3,0)*VLOOKUP('Données projet'!$B$10,Paramètres!$A$1:$I$89,5,0)</f>
        <v>231.66000000000051</v>
      </c>
      <c r="AK188" s="13">
        <f t="shared" si="164"/>
        <v>56.641461975682923</v>
      </c>
      <c r="AL188" s="20">
        <f t="shared" si="165"/>
        <v>502.12504627431525</v>
      </c>
      <c r="AM188" s="59">
        <f t="shared" si="113"/>
        <v>795.45837960764857</v>
      </c>
      <c r="AN188" s="59">
        <f ca="1">AVERAGE(OFFSET($AM$3,0,0,'Données projet'!$E$10+1,1))-AVERAGE(OFFSET($H$3,0,0,'Données projet'!$E$10+1,1))</f>
        <v>247.67539667223065</v>
      </c>
      <c r="AO188" s="59">
        <f t="shared" si="144"/>
        <v>174.54442616983778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5.9504671848778001E-2</v>
      </c>
      <c r="AV188" s="21">
        <f>EXP(-LN(2)/25)*AV187+(1-EXP(-LN(2)/25))/(LN(2)/25)*Calculateur!AQ188*Calculateur!AS188*VLOOKUP('Données projet'!$B$10,Paramètres!$A$1:$I$89,3,0)*0.475*44/12</f>
        <v>8.9433474647979058E-2</v>
      </c>
      <c r="AW188" s="21">
        <f>EXP(-LN(2)/2)*AW187+(1-EXP(-LN(2)/2))/(LN(2)/2)*AQ188*AT188*VLOOKUP('Données projet'!$B$10,Paramètres!$A$1:$I$89,3,0)*0.475*44/12</f>
        <v>5.3875906987426451E-23</v>
      </c>
      <c r="AX188" s="21">
        <f t="shared" si="166"/>
        <v>0.14893814649675707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-5.6843418860808015E-13</v>
      </c>
      <c r="BE188" s="13">
        <f>BD188*VLOOKUP('Données projet'!$B$11,Paramètres!$A$1:$I$89,3,0)*VLOOKUP('Données projet'!$B$11,Paramètres!$A$1:$I$89,5,0)</f>
        <v>-5.6752469390630732E-13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245.06609107649069</v>
      </c>
      <c r="BJ188" s="59">
        <f t="shared" si="146"/>
        <v>156.24531945456499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1.2528549125266768</v>
      </c>
      <c r="BQ188" s="21">
        <f>EXP(-LN(2)/25)*BQ187+(1-EXP(-LN(2)/25))/(LN(2)/25)*Calculateur!BL188*Calculateur!BN188*VLOOKUP('Données projet'!$B$11,Paramètres!$A$1:$I$89,3,0)*0.475*44/12</f>
        <v>0.31332907651946468</v>
      </c>
      <c r="BR188" s="21">
        <f>EXP(-LN(2)/2)*BR187+(1-EXP(-LN(2)/2))/(LN(2)/2)*BL188*BO188*VLOOKUP('Données projet'!$B$11,Paramètres!$A$1:$I$89,3,0)*0.475*44/12</f>
        <v>8.3072208264189519E-20</v>
      </c>
      <c r="BS188" s="22">
        <f t="shared" si="169"/>
        <v>1.5661839890461415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-2.5579538487363607E-13</v>
      </c>
      <c r="BZ188" s="13">
        <f>BY188*VLOOKUP('Données projet'!$B$12,Paramètres!$A$1:$I$89,3,0)*VLOOKUP('Données projet'!$B$12,Paramètres!$A$1:$I$89,5,0)</f>
        <v>-2.7932856028201057E-13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173.63857221119594</v>
      </c>
      <c r="CE188" s="59">
        <f t="shared" si="148"/>
        <v>52.373745617370105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0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-6.7984728957526396E-14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175.34314856709307</v>
      </c>
      <c r="T189" s="59">
        <f t="shared" si="142"/>
        <v>296.28950942251339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0.67271544608248091</v>
      </c>
      <c r="AA189" s="21">
        <f>EXP(-LN(2)/25)*AA188+(1-EXP(-LN(2)/25))/(LN(2)/25)*Calculateur!V189*Calculateur!X189*VLOOKUP('Données projet'!$B$9,Paramètres!$A$1:$I$89,3,0)*0.475*44/12</f>
        <v>0.24826283688811807</v>
      </c>
      <c r="AB189" s="21">
        <f>EXP(-LN(2)/2)*AB188+(1-EXP(-LN(2)/2))/(LN(2)/2)*V189*Y189*VLOOKUP('Données projet'!$B$9,Paramètres!$A$1:$I$89,3,0)*0.475*44/12</f>
        <v>8.4748108144015704E-24</v>
      </c>
      <c r="AC189" s="22">
        <f t="shared" si="163"/>
        <v>0.92097828297059903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275.00000000000057</v>
      </c>
      <c r="AJ189" s="13">
        <f>AI189*VLOOKUP('Données projet'!$B$10,Paramètres!$A$1:$I$89,3,0)*VLOOKUP('Données projet'!$B$10,Paramètres!$A$1:$I$89,5,0)</f>
        <v>231.66000000000051</v>
      </c>
      <c r="AK189" s="13">
        <f t="shared" si="164"/>
        <v>56.641461975682923</v>
      </c>
      <c r="AL189" s="20">
        <f t="shared" si="165"/>
        <v>502.12504627431525</v>
      </c>
      <c r="AM189" s="59">
        <f t="shared" si="113"/>
        <v>795.45837960764857</v>
      </c>
      <c r="AN189" s="59">
        <f ca="1">AVERAGE(OFFSET($AM$3,0,0,'Données projet'!$E$10+1,1))-AVERAGE(OFFSET($H$3,0,0,'Données projet'!$E$10+1,1))</f>
        <v>247.67539667223065</v>
      </c>
      <c r="AO189" s="59">
        <f t="shared" si="144"/>
        <v>174.54442616983778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5.8337821528089528E-2</v>
      </c>
      <c r="AV189" s="21">
        <f>EXP(-LN(2)/25)*AV188+(1-EXP(-LN(2)/25))/(LN(2)/25)*Calculateur!AQ189*Calculateur!AS189*VLOOKUP('Données projet'!$B$10,Paramètres!$A$1:$I$89,3,0)*0.475*44/12</f>
        <v>8.6987911580628047E-2</v>
      </c>
      <c r="AW189" s="21">
        <f>EXP(-LN(2)/2)*AW188+(1-EXP(-LN(2)/2))/(LN(2)/2)*AQ189*AT189*VLOOKUP('Données projet'!$B$10,Paramètres!$A$1:$I$89,3,0)*0.475*44/12</f>
        <v>3.8096019173384943E-23</v>
      </c>
      <c r="AX189" s="21">
        <f t="shared" si="166"/>
        <v>0.14532573310871758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-5.6843418860808015E-13</v>
      </c>
      <c r="BE189" s="13">
        <f>BD189*VLOOKUP('Données projet'!$B$11,Paramètres!$A$1:$I$89,3,0)*VLOOKUP('Données projet'!$B$11,Paramètres!$A$1:$I$89,5,0)</f>
        <v>-5.6752469390630732E-13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245.06609107649069</v>
      </c>
      <c r="BJ189" s="59">
        <f t="shared" si="146"/>
        <v>156.24531945456499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1.2282871918580702</v>
      </c>
      <c r="BQ189" s="21">
        <f>EXP(-LN(2)/25)*BQ188+(1-EXP(-LN(2)/25))/(LN(2)/25)*Calculateur!BL189*Calculateur!BN189*VLOOKUP('Données projet'!$B$11,Paramètres!$A$1:$I$89,3,0)*0.475*44/12</f>
        <v>0.3047610764447799</v>
      </c>
      <c r="BR189" s="21">
        <f>EXP(-LN(2)/2)*BR188+(1-EXP(-LN(2)/2))/(LN(2)/2)*BL189*BO189*VLOOKUP('Données projet'!$B$11,Paramètres!$A$1:$I$89,3,0)*0.475*44/12</f>
        <v>5.8740921791749562E-20</v>
      </c>
      <c r="BS189" s="22">
        <f t="shared" si="169"/>
        <v>1.5330482683028501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-2.5579538487363607E-13</v>
      </c>
      <c r="BZ189" s="13">
        <f>BY189*VLOOKUP('Données projet'!$B$12,Paramètres!$A$1:$I$89,3,0)*VLOOKUP('Données projet'!$B$12,Paramètres!$A$1:$I$89,5,0)</f>
        <v>-2.7932856028201057E-13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173.63857221119594</v>
      </c>
      <c r="CE189" s="59">
        <f t="shared" si="148"/>
        <v>52.373745617370105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0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-6.7984728957526396E-14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175.34314856709307</v>
      </c>
      <c r="T190" s="59">
        <f t="shared" si="142"/>
        <v>296.28950942251339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0.65952390650071024</v>
      </c>
      <c r="AA190" s="21">
        <f>EXP(-LN(2)/25)*AA189+(1-EXP(-LN(2)/25))/(LN(2)/25)*Calculateur!V190*Calculateur!X190*VLOOKUP('Données projet'!$B$9,Paramètres!$A$1:$I$89,3,0)*0.475*44/12</f>
        <v>0.24147407655783729</v>
      </c>
      <c r="AB190" s="21">
        <f>EXP(-LN(2)/2)*AB189+(1-EXP(-LN(2)/2))/(LN(2)/2)*V190*Y190*VLOOKUP('Données projet'!$B$9,Paramètres!$A$1:$I$89,3,0)*0.475*44/12</f>
        <v>5.992596196136438E-24</v>
      </c>
      <c r="AC190" s="22">
        <f t="shared" si="163"/>
        <v>0.9009979830585475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275.00000000000057</v>
      </c>
      <c r="AJ190" s="13">
        <f>AI190*VLOOKUP('Données projet'!$B$10,Paramètres!$A$1:$I$89,3,0)*VLOOKUP('Données projet'!$B$10,Paramètres!$A$1:$I$89,5,0)</f>
        <v>231.66000000000051</v>
      </c>
      <c r="AK190" s="13">
        <f t="shared" si="164"/>
        <v>56.641461975682923</v>
      </c>
      <c r="AL190" s="20">
        <f t="shared" si="165"/>
        <v>502.12504627431525</v>
      </c>
      <c r="AM190" s="59">
        <f t="shared" si="113"/>
        <v>795.45837960764857</v>
      </c>
      <c r="AN190" s="59">
        <f ca="1">AVERAGE(OFFSET($AM$3,0,0,'Données projet'!$E$10+1,1))-AVERAGE(OFFSET($H$3,0,0,'Données projet'!$E$10+1,1))</f>
        <v>247.67539667223065</v>
      </c>
      <c r="AO190" s="59">
        <f t="shared" si="144"/>
        <v>174.54442616983778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5.7193852430481341E-2</v>
      </c>
      <c r="AV190" s="21">
        <f>EXP(-LN(2)/25)*AV189+(1-EXP(-LN(2)/25))/(LN(2)/25)*Calculateur!AQ190*Calculateur!AS190*VLOOKUP('Données projet'!$B$10,Paramètres!$A$1:$I$89,3,0)*0.475*44/12</f>
        <v>8.4609222563960321E-2</v>
      </c>
      <c r="AW190" s="21">
        <f>EXP(-LN(2)/2)*AW189+(1-EXP(-LN(2)/2))/(LN(2)/2)*AQ190*AT190*VLOOKUP('Données projet'!$B$10,Paramètres!$A$1:$I$89,3,0)*0.475*44/12</f>
        <v>2.6937953493713226E-23</v>
      </c>
      <c r="AX190" s="21">
        <f t="shared" si="166"/>
        <v>0.14180307499444167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-5.6843418860808015E-13</v>
      </c>
      <c r="BE190" s="13">
        <f>BD190*VLOOKUP('Données projet'!$B$11,Paramètres!$A$1:$I$89,3,0)*VLOOKUP('Données projet'!$B$11,Paramètres!$A$1:$I$89,5,0)</f>
        <v>-5.6752469390630732E-13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245.06609107649069</v>
      </c>
      <c r="BJ190" s="59">
        <f t="shared" si="146"/>
        <v>156.24531945456499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1.2042012292069451</v>
      </c>
      <c r="BQ190" s="21">
        <f>EXP(-LN(2)/25)*BQ189+(1-EXP(-LN(2)/25))/(LN(2)/25)*Calculateur!BL190*Calculateur!BN190*VLOOKUP('Données projet'!$B$11,Paramètres!$A$1:$I$89,3,0)*0.475*44/12</f>
        <v>0.29642736878270892</v>
      </c>
      <c r="BR190" s="21">
        <f>EXP(-LN(2)/2)*BR189+(1-EXP(-LN(2)/2))/(LN(2)/2)*BL190*BO190*VLOOKUP('Données projet'!$B$11,Paramètres!$A$1:$I$89,3,0)*0.475*44/12</f>
        <v>4.153610413209476E-20</v>
      </c>
      <c r="BS190" s="22">
        <f t="shared" si="169"/>
        <v>1.5006285979896541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-2.5579538487363607E-13</v>
      </c>
      <c r="BZ190" s="13">
        <f>BY190*VLOOKUP('Données projet'!$B$12,Paramètres!$A$1:$I$89,3,0)*VLOOKUP('Données projet'!$B$12,Paramètres!$A$1:$I$89,5,0)</f>
        <v>-2.7932856028201057E-13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173.63857221119594</v>
      </c>
      <c r="CE190" s="59">
        <f t="shared" si="148"/>
        <v>52.373745617370105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0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-6.7984728957526396E-14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175.34314856709307</v>
      </c>
      <c r="T191" s="59">
        <f t="shared" si="142"/>
        <v>296.28950942251339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0.64659104496409348</v>
      </c>
      <c r="AA191" s="21">
        <f>EXP(-LN(2)/25)*AA190+(1-EXP(-LN(2)/25))/(LN(2)/25)*Calculateur!V191*Calculateur!X191*VLOOKUP('Données projet'!$B$9,Paramètres!$A$1:$I$89,3,0)*0.475*44/12</f>
        <v>0.23487095523579343</v>
      </c>
      <c r="AB191" s="21">
        <f>EXP(-LN(2)/2)*AB190+(1-EXP(-LN(2)/2))/(LN(2)/2)*V191*Y191*VLOOKUP('Données projet'!$B$9,Paramètres!$A$1:$I$89,3,0)*0.475*44/12</f>
        <v>4.2374054072007852E-24</v>
      </c>
      <c r="AC191" s="22">
        <f t="shared" si="163"/>
        <v>0.88146200019988696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275.00000000000057</v>
      </c>
      <c r="AJ191" s="13">
        <f>AI191*VLOOKUP('Données projet'!$B$10,Paramètres!$A$1:$I$89,3,0)*VLOOKUP('Données projet'!$B$10,Paramètres!$A$1:$I$89,5,0)</f>
        <v>231.66000000000051</v>
      </c>
      <c r="AK191" s="13">
        <f t="shared" si="164"/>
        <v>56.641461975682923</v>
      </c>
      <c r="AL191" s="20">
        <f t="shared" si="165"/>
        <v>502.12504627431525</v>
      </c>
      <c r="AM191" s="59">
        <f t="shared" si="113"/>
        <v>795.45837960764857</v>
      </c>
      <c r="AN191" s="59">
        <f ca="1">AVERAGE(OFFSET($AM$3,0,0,'Données projet'!$E$10+1,1))-AVERAGE(OFFSET($H$3,0,0,'Données projet'!$E$10+1,1))</f>
        <v>247.67539667223065</v>
      </c>
      <c r="AO191" s="59">
        <f t="shared" si="144"/>
        <v>174.54442616983778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5.6072315869124999E-2</v>
      </c>
      <c r="AV191" s="21">
        <f>EXP(-LN(2)/25)*AV190+(1-EXP(-LN(2)/25))/(LN(2)/25)*Calculateur!AQ191*Calculateur!AS191*VLOOKUP('Données projet'!$B$10,Paramètres!$A$1:$I$89,3,0)*0.475*44/12</f>
        <v>8.2295578923543194E-2</v>
      </c>
      <c r="AW191" s="21">
        <f>EXP(-LN(2)/2)*AW190+(1-EXP(-LN(2)/2))/(LN(2)/2)*AQ191*AT191*VLOOKUP('Données projet'!$B$10,Paramètres!$A$1:$I$89,3,0)*0.475*44/12</f>
        <v>1.9048009586692472E-23</v>
      </c>
      <c r="AX191" s="21">
        <f t="shared" si="166"/>
        <v>0.1383678947926682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-5.6843418860808015E-13</v>
      </c>
      <c r="BE191" s="13">
        <f>BD191*VLOOKUP('Données projet'!$B$11,Paramètres!$A$1:$I$89,3,0)*VLOOKUP('Données projet'!$B$11,Paramètres!$A$1:$I$89,5,0)</f>
        <v>-5.6752469390630732E-13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245.06609107649069</v>
      </c>
      <c r="BJ191" s="59">
        <f t="shared" si="146"/>
        <v>156.24531945456499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1.1805875775924217</v>
      </c>
      <c r="BQ191" s="21">
        <f>EXP(-LN(2)/25)*BQ190+(1-EXP(-LN(2)/25))/(LN(2)/25)*Calculateur!BL191*Calculateur!BN191*VLOOKUP('Données projet'!$B$11,Paramètres!$A$1:$I$89,3,0)*0.475*44/12</f>
        <v>0.2883215467949079</v>
      </c>
      <c r="BR191" s="21">
        <f>EXP(-LN(2)/2)*BR190+(1-EXP(-LN(2)/2))/(LN(2)/2)*BL191*BO191*VLOOKUP('Données projet'!$B$11,Paramètres!$A$1:$I$89,3,0)*0.475*44/12</f>
        <v>2.9370460895874781E-20</v>
      </c>
      <c r="BS191" s="22">
        <f t="shared" si="169"/>
        <v>1.4689091243873296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-2.5579538487363607E-13</v>
      </c>
      <c r="BZ191" s="13">
        <f>BY191*VLOOKUP('Données projet'!$B$12,Paramètres!$A$1:$I$89,3,0)*VLOOKUP('Données projet'!$B$12,Paramètres!$A$1:$I$89,5,0)</f>
        <v>-2.7932856028201057E-13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173.63857221119594</v>
      </c>
      <c r="CE191" s="59">
        <f t="shared" si="148"/>
        <v>52.373745617370105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0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-6.7984728957526396E-14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175.34314856709307</v>
      </c>
      <c r="T192" s="59">
        <f t="shared" si="142"/>
        <v>296.28950942251339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0.63391178895394307</v>
      </c>
      <c r="AA192" s="21">
        <f>EXP(-LN(2)/25)*AA191+(1-EXP(-LN(2)/25))/(LN(2)/25)*Calculateur!V192*Calculateur!X192*VLOOKUP('Données projet'!$B$9,Paramètres!$A$1:$I$89,3,0)*0.475*44/12</f>
        <v>0.22844839661354394</v>
      </c>
      <c r="AB192" s="21">
        <f>EXP(-LN(2)/2)*AB191+(1-EXP(-LN(2)/2))/(LN(2)/2)*V192*Y192*VLOOKUP('Données projet'!$B$9,Paramètres!$A$1:$I$89,3,0)*0.475*44/12</f>
        <v>2.996298098068219E-24</v>
      </c>
      <c r="AC192" s="22">
        <f t="shared" si="163"/>
        <v>0.86236018556748695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275.00000000000057</v>
      </c>
      <c r="AJ192" s="13">
        <f>AI192*VLOOKUP('Données projet'!$B$10,Paramètres!$A$1:$I$89,3,0)*VLOOKUP('Données projet'!$B$10,Paramètres!$A$1:$I$89,5,0)</f>
        <v>231.66000000000051</v>
      </c>
      <c r="AK192" s="13">
        <f t="shared" si="164"/>
        <v>56.641461975682923</v>
      </c>
      <c r="AL192" s="20">
        <f t="shared" si="165"/>
        <v>502.12504627431525</v>
      </c>
      <c r="AM192" s="59">
        <f t="shared" si="113"/>
        <v>795.45837960764857</v>
      </c>
      <c r="AN192" s="59">
        <f ca="1">AVERAGE(OFFSET($AM$3,0,0,'Données projet'!$E$10+1,1))-AVERAGE(OFFSET($H$3,0,0,'Données projet'!$E$10+1,1))</f>
        <v>247.67539667223065</v>
      </c>
      <c r="AO192" s="59">
        <f t="shared" si="144"/>
        <v>174.54442616983778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5.4972771955667098E-2</v>
      </c>
      <c r="AV192" s="21">
        <f>EXP(-LN(2)/25)*AV191+(1-EXP(-LN(2)/25))/(LN(2)/25)*Calculateur!AQ192*Calculateur!AS192*VLOOKUP('Données projet'!$B$10,Paramètres!$A$1:$I$89,3,0)*0.475*44/12</f>
        <v>8.0045201990142506E-2</v>
      </c>
      <c r="AW192" s="21">
        <f>EXP(-LN(2)/2)*AW191+(1-EXP(-LN(2)/2))/(LN(2)/2)*AQ192*AT192*VLOOKUP('Données projet'!$B$10,Paramètres!$A$1:$I$89,3,0)*0.475*44/12</f>
        <v>1.3468976746856613E-23</v>
      </c>
      <c r="AX192" s="21">
        <f t="shared" si="166"/>
        <v>0.13501797394580961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-5.6843418860808015E-13</v>
      </c>
      <c r="BE192" s="13">
        <f>BD192*VLOOKUP('Données projet'!$B$11,Paramètres!$A$1:$I$89,3,0)*VLOOKUP('Données projet'!$B$11,Paramètres!$A$1:$I$89,5,0)</f>
        <v>-5.6752469390630732E-13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245.06609107649069</v>
      </c>
      <c r="BJ192" s="59">
        <f t="shared" si="146"/>
        <v>156.24531945456499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1.1574369752831539</v>
      </c>
      <c r="BQ192" s="21">
        <f>EXP(-LN(2)/25)*BQ191+(1-EXP(-LN(2)/25))/(LN(2)/25)*Calculateur!BL192*Calculateur!BN192*VLOOKUP('Données projet'!$B$11,Paramètres!$A$1:$I$89,3,0)*0.475*44/12</f>
        <v>0.28043737893562998</v>
      </c>
      <c r="BR192" s="21">
        <f>EXP(-LN(2)/2)*BR191+(1-EXP(-LN(2)/2))/(LN(2)/2)*BL192*BO192*VLOOKUP('Données projet'!$B$11,Paramètres!$A$1:$I$89,3,0)*0.475*44/12</f>
        <v>2.076805206604738E-20</v>
      </c>
      <c r="BS192" s="22">
        <f t="shared" si="169"/>
        <v>1.437874354218784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-2.5579538487363607E-13</v>
      </c>
      <c r="BZ192" s="13">
        <f>BY192*VLOOKUP('Données projet'!$B$12,Paramètres!$A$1:$I$89,3,0)*VLOOKUP('Données projet'!$B$12,Paramètres!$A$1:$I$89,5,0)</f>
        <v>-2.7932856028201057E-13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173.63857221119594</v>
      </c>
      <c r="CE192" s="59">
        <f t="shared" si="148"/>
        <v>52.373745617370105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0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-6.7984728957526396E-14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175.34314856709307</v>
      </c>
      <c r="T193" s="59">
        <f t="shared" si="142"/>
        <v>296.28950942251339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0.62148116542056919</v>
      </c>
      <c r="AA193" s="21">
        <f>EXP(-LN(2)/25)*AA192+(1-EXP(-LN(2)/25))/(LN(2)/25)*Calculateur!V193*Calculateur!X193*VLOOKUP('Données projet'!$B$9,Paramètres!$A$1:$I$89,3,0)*0.475*44/12</f>
        <v>0.22220146319456752</v>
      </c>
      <c r="AB193" s="21">
        <f>EXP(-LN(2)/2)*AB192+(1-EXP(-LN(2)/2))/(LN(2)/2)*V193*Y193*VLOOKUP('Données projet'!$B$9,Paramètres!$A$1:$I$89,3,0)*0.475*44/12</f>
        <v>2.1187027036003926E-24</v>
      </c>
      <c r="AC193" s="22">
        <f t="shared" si="163"/>
        <v>0.84368262861513665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275.00000000000057</v>
      </c>
      <c r="AJ193" s="13">
        <f>AI193*VLOOKUP('Données projet'!$B$10,Paramètres!$A$1:$I$89,3,0)*VLOOKUP('Données projet'!$B$10,Paramètres!$A$1:$I$89,5,0)</f>
        <v>231.66000000000051</v>
      </c>
      <c r="AK193" s="13">
        <f t="shared" si="164"/>
        <v>56.641461975682923</v>
      </c>
      <c r="AL193" s="20">
        <f t="shared" si="165"/>
        <v>502.12504627431525</v>
      </c>
      <c r="AM193" s="59">
        <f t="shared" si="113"/>
        <v>795.45837960764857</v>
      </c>
      <c r="AN193" s="59">
        <f ca="1">AVERAGE(OFFSET($AM$3,0,0,'Données projet'!$E$10+1,1))-AVERAGE(OFFSET($H$3,0,0,'Données projet'!$E$10+1,1))</f>
        <v>247.67539667223065</v>
      </c>
      <c r="AO193" s="59">
        <f t="shared" si="144"/>
        <v>174.54442616983778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5.3894789427696536E-2</v>
      </c>
      <c r="AV193" s="21">
        <f>EXP(-LN(2)/25)*AV192+(1-EXP(-LN(2)/25))/(LN(2)/25)*Calculateur!AQ193*Calculateur!AS193*VLOOKUP('Données projet'!$B$10,Paramètres!$A$1:$I$89,3,0)*0.475*44/12</f>
        <v>7.7856361732327836E-2</v>
      </c>
      <c r="AW193" s="21">
        <f>EXP(-LN(2)/2)*AW192+(1-EXP(-LN(2)/2))/(LN(2)/2)*AQ193*AT193*VLOOKUP('Données projet'!$B$10,Paramètres!$A$1:$I$89,3,0)*0.475*44/12</f>
        <v>9.5240047933462358E-24</v>
      </c>
      <c r="AX193" s="21">
        <f t="shared" si="166"/>
        <v>0.13175115116002437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-5.6843418860808015E-13</v>
      </c>
      <c r="BE193" s="13">
        <f>BD193*VLOOKUP('Données projet'!$B$11,Paramètres!$A$1:$I$89,3,0)*VLOOKUP('Données projet'!$B$11,Paramètres!$A$1:$I$89,5,0)</f>
        <v>-5.6752469390630732E-13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245.06609107649069</v>
      </c>
      <c r="BJ193" s="59">
        <f t="shared" si="146"/>
        <v>156.24531945456499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1.1347403421646978</v>
      </c>
      <c r="BQ193" s="21">
        <f>EXP(-LN(2)/25)*BQ192+(1-EXP(-LN(2)/25))/(LN(2)/25)*Calculateur!BL193*Calculateur!BN193*VLOOKUP('Données projet'!$B$11,Paramètres!$A$1:$I$89,3,0)*0.475*44/12</f>
        <v>0.27276880406107434</v>
      </c>
      <c r="BR193" s="21">
        <f>EXP(-LN(2)/2)*BR192+(1-EXP(-LN(2)/2))/(LN(2)/2)*BL193*BO193*VLOOKUP('Données projet'!$B$11,Paramètres!$A$1:$I$89,3,0)*0.475*44/12</f>
        <v>1.4685230447937391E-20</v>
      </c>
      <c r="BS193" s="22">
        <f t="shared" si="169"/>
        <v>1.4075091462257721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-2.5579538487363607E-13</v>
      </c>
      <c r="BZ193" s="13">
        <f>BY193*VLOOKUP('Données projet'!$B$12,Paramètres!$A$1:$I$89,3,0)*VLOOKUP('Données projet'!$B$12,Paramètres!$A$1:$I$89,5,0)</f>
        <v>-2.7932856028201057E-13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173.63857221119594</v>
      </c>
      <c r="CE193" s="59">
        <f t="shared" si="148"/>
        <v>52.373745617370105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0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-6.7984728957526396E-14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175.34314856709307</v>
      </c>
      <c r="T194" s="59">
        <f t="shared" si="142"/>
        <v>296.28950942251339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0.6092942988327531</v>
      </c>
      <c r="AA194" s="21">
        <f>EXP(-LN(2)/25)*AA193+(1-EXP(-LN(2)/25))/(LN(2)/25)*Calculateur!V194*Calculateur!X194*VLOOKUP('Données projet'!$B$9,Paramètres!$A$1:$I$89,3,0)*0.475*44/12</f>
        <v>0.21612535249844497</v>
      </c>
      <c r="AB194" s="21">
        <f>EXP(-LN(2)/2)*AB193+(1-EXP(-LN(2)/2))/(LN(2)/2)*V194*Y194*VLOOKUP('Données projet'!$B$9,Paramètres!$A$1:$I$89,3,0)*0.475*44/12</f>
        <v>1.4981490490341095E-24</v>
      </c>
      <c r="AC194" s="22">
        <f t="shared" si="163"/>
        <v>0.8254196513311981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275.00000000000057</v>
      </c>
      <c r="AJ194" s="13">
        <f>AI194*VLOOKUP('Données projet'!$B$10,Paramètres!$A$1:$I$89,3,0)*VLOOKUP('Données projet'!$B$10,Paramètres!$A$1:$I$89,5,0)</f>
        <v>231.66000000000051</v>
      </c>
      <c r="AK194" s="13">
        <f t="shared" si="164"/>
        <v>56.641461975682923</v>
      </c>
      <c r="AL194" s="20">
        <f t="shared" si="165"/>
        <v>502.12504627431525</v>
      </c>
      <c r="AM194" s="59">
        <f t="shared" si="113"/>
        <v>795.45837960764857</v>
      </c>
      <c r="AN194" s="59">
        <f ca="1">AVERAGE(OFFSET($AM$3,0,0,'Données projet'!$E$10+1,1))-AVERAGE(OFFSET($H$3,0,0,'Données projet'!$E$10+1,1))</f>
        <v>247.67539667223065</v>
      </c>
      <c r="AO194" s="59">
        <f t="shared" si="144"/>
        <v>174.54442616983778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5.2837945479595062E-2</v>
      </c>
      <c r="AV194" s="21">
        <f>EXP(-LN(2)/25)*AV193+(1-EXP(-LN(2)/25))/(LN(2)/25)*Calculateur!AQ194*Calculateur!AS194*VLOOKUP('Données projet'!$B$10,Paramètres!$A$1:$I$89,3,0)*0.475*44/12</f>
        <v>7.5727375426469207E-2</v>
      </c>
      <c r="AW194" s="21">
        <f>EXP(-LN(2)/2)*AW193+(1-EXP(-LN(2)/2))/(LN(2)/2)*AQ194*AT194*VLOOKUP('Données projet'!$B$10,Paramètres!$A$1:$I$89,3,0)*0.475*44/12</f>
        <v>6.7344883734283064E-24</v>
      </c>
      <c r="AX194" s="21">
        <f t="shared" si="166"/>
        <v>0.12856532090606426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-5.6843418860808015E-13</v>
      </c>
      <c r="BE194" s="13">
        <f>BD194*VLOOKUP('Données projet'!$B$11,Paramètres!$A$1:$I$89,3,0)*VLOOKUP('Données projet'!$B$11,Paramètres!$A$1:$I$89,5,0)</f>
        <v>-5.6752469390630732E-13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245.06609107649069</v>
      </c>
      <c r="BJ194" s="59">
        <f t="shared" si="146"/>
        <v>156.24531945456499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1.1124887761781153</v>
      </c>
      <c r="BQ194" s="21">
        <f>EXP(-LN(2)/25)*BQ193+(1-EXP(-LN(2)/25))/(LN(2)/25)*Calculateur!BL194*Calculateur!BN194*VLOOKUP('Données projet'!$B$11,Paramètres!$A$1:$I$89,3,0)*0.475*44/12</f>
        <v>0.2653099267697363</v>
      </c>
      <c r="BR194" s="21">
        <f>EXP(-LN(2)/2)*BR193+(1-EXP(-LN(2)/2))/(LN(2)/2)*BL194*BO194*VLOOKUP('Données projet'!$B$11,Paramètres!$A$1:$I$89,3,0)*0.475*44/12</f>
        <v>1.038402603302369E-20</v>
      </c>
      <c r="BS194" s="22">
        <f t="shared" si="169"/>
        <v>1.3777987029478516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-2.5579538487363607E-13</v>
      </c>
      <c r="BZ194" s="13">
        <f>BY194*VLOOKUP('Données projet'!$B$12,Paramètres!$A$1:$I$89,3,0)*VLOOKUP('Données projet'!$B$12,Paramètres!$A$1:$I$89,5,0)</f>
        <v>-2.7932856028201057E-13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173.63857221119594</v>
      </c>
      <c r="CE194" s="59">
        <f t="shared" si="148"/>
        <v>52.373745617370105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0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-6.7984728957526396E-14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175.34314856709307</v>
      </c>
      <c r="T195" s="59">
        <f t="shared" si="142"/>
        <v>296.28950942251339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0.59734640926546945</v>
      </c>
      <c r="AA195" s="21">
        <f>EXP(-LN(2)/25)*AA194+(1-EXP(-LN(2)/25))/(LN(2)/25)*Calculateur!V195*Calculateur!X195*VLOOKUP('Données projet'!$B$9,Paramètres!$A$1:$I$89,3,0)*0.475*44/12</f>
        <v>0.21021539336883666</v>
      </c>
      <c r="AB195" s="21">
        <f>EXP(-LN(2)/2)*AB194+(1-EXP(-LN(2)/2))/(LN(2)/2)*V195*Y195*VLOOKUP('Données projet'!$B$9,Paramètres!$A$1:$I$89,3,0)*0.475*44/12</f>
        <v>1.0593513518001963E-24</v>
      </c>
      <c r="AC195" s="22">
        <f t="shared" si="163"/>
        <v>0.8075618026343061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275.00000000000057</v>
      </c>
      <c r="AJ195" s="13">
        <f>AI195*VLOOKUP('Données projet'!$B$10,Paramètres!$A$1:$I$89,3,0)*VLOOKUP('Données projet'!$B$10,Paramètres!$A$1:$I$89,5,0)</f>
        <v>231.66000000000051</v>
      </c>
      <c r="AK195" s="13">
        <f t="shared" si="164"/>
        <v>56.641461975682923</v>
      </c>
      <c r="AL195" s="20">
        <f t="shared" si="165"/>
        <v>502.12504627431525</v>
      </c>
      <c r="AM195" s="59">
        <f t="shared" si="113"/>
        <v>795.45837960764857</v>
      </c>
      <c r="AN195" s="59">
        <f ca="1">AVERAGE(OFFSET($AM$3,0,0,'Données projet'!$E$10+1,1))-AVERAGE(OFFSET($H$3,0,0,'Données projet'!$E$10+1,1))</f>
        <v>247.67539667223065</v>
      </c>
      <c r="AO195" s="59">
        <f t="shared" si="144"/>
        <v>174.54442616983778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5.1801825596704695E-2</v>
      </c>
      <c r="AV195" s="21">
        <f>EXP(-LN(2)/25)*AV194+(1-EXP(-LN(2)/25))/(LN(2)/25)*Calculateur!AQ195*Calculateur!AS195*VLOOKUP('Données projet'!$B$10,Paramètres!$A$1:$I$89,3,0)*0.475*44/12</f>
        <v>7.3656606363102811E-2</v>
      </c>
      <c r="AW195" s="21">
        <f>EXP(-LN(2)/2)*AW194+(1-EXP(-LN(2)/2))/(LN(2)/2)*AQ195*AT195*VLOOKUP('Données projet'!$B$10,Paramètres!$A$1:$I$89,3,0)*0.475*44/12</f>
        <v>4.7620023966731179E-24</v>
      </c>
      <c r="AX195" s="21">
        <f t="shared" si="166"/>
        <v>0.12545843195980749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-5.6843418860808015E-13</v>
      </c>
      <c r="BE195" s="13">
        <f>BD195*VLOOKUP('Données projet'!$B$11,Paramètres!$A$1:$I$89,3,0)*VLOOKUP('Données projet'!$B$11,Paramètres!$A$1:$I$89,5,0)</f>
        <v>-5.6752469390630732E-13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245.06609107649069</v>
      </c>
      <c r="BJ195" s="59">
        <f t="shared" si="146"/>
        <v>156.24531945456499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1.0906735498284146</v>
      </c>
      <c r="BQ195" s="21">
        <f>EXP(-LN(2)/25)*BQ194+(1-EXP(-LN(2)/25))/(LN(2)/25)*Calculateur!BL195*Calculateur!BN195*VLOOKUP('Données projet'!$B$11,Paramètres!$A$1:$I$89,3,0)*0.475*44/12</f>
        <v>0.25805501287017518</v>
      </c>
      <c r="BR195" s="21">
        <f>EXP(-LN(2)/2)*BR194+(1-EXP(-LN(2)/2))/(LN(2)/2)*BL195*BO195*VLOOKUP('Données projet'!$B$11,Paramètres!$A$1:$I$89,3,0)*0.475*44/12</f>
        <v>7.3426152239686953E-21</v>
      </c>
      <c r="BS195" s="22">
        <f t="shared" si="169"/>
        <v>1.3487285626985899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-2.5579538487363607E-13</v>
      </c>
      <c r="BZ195" s="13">
        <f>BY195*VLOOKUP('Données projet'!$B$12,Paramètres!$A$1:$I$89,3,0)*VLOOKUP('Données projet'!$B$12,Paramètres!$A$1:$I$89,5,0)</f>
        <v>-2.7932856028201057E-13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173.63857221119594</v>
      </c>
      <c r="CE195" s="59">
        <f t="shared" si="148"/>
        <v>52.373745617370105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0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-6.7984728957526396E-14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175.34314856709307</v>
      </c>
      <c r="T196" s="59">
        <f t="shared" si="142"/>
        <v>296.28950942251339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0.58563281052510718</v>
      </c>
      <c r="AA196" s="21">
        <f>EXP(-LN(2)/25)*AA195+(1-EXP(-LN(2)/25))/(LN(2)/25)*Calculateur!V196*Calculateur!X196*VLOOKUP('Données projet'!$B$9,Paramètres!$A$1:$I$89,3,0)*0.475*44/12</f>
        <v>0.20446704238241872</v>
      </c>
      <c r="AB196" s="21">
        <f>EXP(-LN(2)/2)*AB195+(1-EXP(-LN(2)/2))/(LN(2)/2)*V196*Y196*VLOOKUP('Données projet'!$B$9,Paramètres!$A$1:$I$89,3,0)*0.475*44/12</f>
        <v>7.4907452451705474E-25</v>
      </c>
      <c r="AC196" s="22">
        <f t="shared" si="163"/>
        <v>0.79009985290752593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275.00000000000057</v>
      </c>
      <c r="AJ196" s="13">
        <f>AI196*VLOOKUP('Données projet'!$B$10,Paramètres!$A$1:$I$89,3,0)*VLOOKUP('Données projet'!$B$10,Paramètres!$A$1:$I$89,5,0)</f>
        <v>231.66000000000051</v>
      </c>
      <c r="AK196" s="13">
        <f t="shared" si="164"/>
        <v>56.641461975682923</v>
      </c>
      <c r="AL196" s="20">
        <f t="shared" si="165"/>
        <v>502.12504627431525</v>
      </c>
      <c r="AM196" s="59">
        <f t="shared" ref="AM196:AM203" si="193">AL196+(AD196+AE196)*44/12</f>
        <v>795.45837960764857</v>
      </c>
      <c r="AN196" s="59">
        <f ca="1">AVERAGE(OFFSET($AM$3,0,0,'Données projet'!$E$10+1,1))-AVERAGE(OFFSET($H$3,0,0,'Données projet'!$E$10+1,1))</f>
        <v>247.67539667223065</v>
      </c>
      <c r="AO196" s="59">
        <f t="shared" si="144"/>
        <v>174.54442616983778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5.0786023392747084E-2</v>
      </c>
      <c r="AV196" s="21">
        <f>EXP(-LN(2)/25)*AV195+(1-EXP(-LN(2)/25))/(LN(2)/25)*Calculateur!AQ196*Calculateur!AS196*VLOOKUP('Données projet'!$B$10,Paramètres!$A$1:$I$89,3,0)*0.475*44/12</f>
        <v>7.1642462588671185E-2</v>
      </c>
      <c r="AW196" s="21">
        <f>EXP(-LN(2)/2)*AW195+(1-EXP(-LN(2)/2))/(LN(2)/2)*AQ196*AT196*VLOOKUP('Données projet'!$B$10,Paramètres!$A$1:$I$89,3,0)*0.475*44/12</f>
        <v>3.3672441867141532E-24</v>
      </c>
      <c r="AX196" s="21">
        <f t="shared" si="166"/>
        <v>0.12242848598141827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-5.6843418860808015E-13</v>
      </c>
      <c r="BE196" s="13">
        <f>BD196*VLOOKUP('Données projet'!$B$11,Paramètres!$A$1:$I$89,3,0)*VLOOKUP('Données projet'!$B$11,Paramètres!$A$1:$I$89,5,0)</f>
        <v>-5.6752469390630732E-13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245.06609107649069</v>
      </c>
      <c r="BJ196" s="59">
        <f t="shared" si="146"/>
        <v>156.24531945456499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1.0692861067614572</v>
      </c>
      <c r="BQ196" s="21">
        <f>EXP(-LN(2)/25)*BQ195+(1-EXP(-LN(2)/25))/(LN(2)/25)*Calculateur!BL196*Calculateur!BN196*VLOOKUP('Données projet'!$B$11,Paramètres!$A$1:$I$89,3,0)*0.475*44/12</f>
        <v>0.25099848497271693</v>
      </c>
      <c r="BR196" s="21">
        <f>EXP(-LN(2)/2)*BR195+(1-EXP(-LN(2)/2))/(LN(2)/2)*BL196*BO196*VLOOKUP('Données projet'!$B$11,Paramètres!$A$1:$I$89,3,0)*0.475*44/12</f>
        <v>5.192013016511845E-21</v>
      </c>
      <c r="BS196" s="22">
        <f t="shared" si="169"/>
        <v>1.3202845917341741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-2.5579538487363607E-13</v>
      </c>
      <c r="BZ196" s="13">
        <f>BY196*VLOOKUP('Données projet'!$B$12,Paramètres!$A$1:$I$89,3,0)*VLOOKUP('Données projet'!$B$12,Paramètres!$A$1:$I$89,5,0)</f>
        <v>-2.7932856028201057E-13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173.63857221119594</v>
      </c>
      <c r="CE196" s="59">
        <f t="shared" si="148"/>
        <v>52.373745617370105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0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-6.7984728957526396E-14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175.34314856709307</v>
      </c>
      <c r="T197" s="59">
        <f t="shared" ref="T197:T203" si="204">$T$3</f>
        <v>296.28950942251339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0.5741489083114536</v>
      </c>
      <c r="AA197" s="21">
        <f>EXP(-LN(2)/25)*AA196+(1-EXP(-LN(2)/25))/(LN(2)/25)*Calculateur!V197*Calculateur!X197*VLOOKUP('Données projet'!$B$9,Paramètres!$A$1:$I$89,3,0)*0.475*44/12</f>
        <v>0.19887588035601705</v>
      </c>
      <c r="AB197" s="21">
        <f>EXP(-LN(2)/2)*AB196+(1-EXP(-LN(2)/2))/(LN(2)/2)*V197*Y197*VLOOKUP('Données projet'!$B$9,Paramètres!$A$1:$I$89,3,0)*0.475*44/12</f>
        <v>5.2967567590009815E-25</v>
      </c>
      <c r="AC197" s="22">
        <f t="shared" si="163"/>
        <v>0.7730247886674706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275.00000000000057</v>
      </c>
      <c r="AJ197" s="13">
        <f>AI197*VLOOKUP('Données projet'!$B$10,Paramètres!$A$1:$I$89,3,0)*VLOOKUP('Données projet'!$B$10,Paramètres!$A$1:$I$89,5,0)</f>
        <v>231.66000000000051</v>
      </c>
      <c r="AK197" s="13">
        <f t="shared" si="164"/>
        <v>56.641461975682923</v>
      </c>
      <c r="AL197" s="20">
        <f t="shared" si="165"/>
        <v>502.12504627431525</v>
      </c>
      <c r="AM197" s="59">
        <f t="shared" si="193"/>
        <v>795.45837960764857</v>
      </c>
      <c r="AN197" s="59">
        <f ca="1">AVERAGE(OFFSET($AM$3,0,0,'Données projet'!$E$10+1,1))-AVERAGE(OFFSET($H$3,0,0,'Données projet'!$E$10+1,1))</f>
        <v>247.67539667223065</v>
      </c>
      <c r="AO197" s="59">
        <f t="shared" ref="AO197:AO203" si="205">$AO$3</f>
        <v>174.54442616983778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4.9790140450430918E-2</v>
      </c>
      <c r="AV197" s="21">
        <f>EXP(-LN(2)/25)*AV196+(1-EXP(-LN(2)/25))/(LN(2)/25)*Calculateur!AQ197*Calculateur!AS197*VLOOKUP('Données projet'!$B$10,Paramètres!$A$1:$I$89,3,0)*0.475*44/12</f>
        <v>6.9683395681670604E-2</v>
      </c>
      <c r="AW197" s="21">
        <f>EXP(-LN(2)/2)*AW196+(1-EXP(-LN(2)/2))/(LN(2)/2)*AQ197*AT197*VLOOKUP('Données projet'!$B$10,Paramètres!$A$1:$I$89,3,0)*0.475*44/12</f>
        <v>2.3810011983365589E-24</v>
      </c>
      <c r="AX197" s="21">
        <f t="shared" si="166"/>
        <v>0.11947353613210152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-5.6843418860808015E-13</v>
      </c>
      <c r="BE197" s="13">
        <f>BD197*VLOOKUP('Données projet'!$B$11,Paramètres!$A$1:$I$89,3,0)*VLOOKUP('Données projet'!$B$11,Paramètres!$A$1:$I$89,5,0)</f>
        <v>-5.6752469390630732E-13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245.06609107649069</v>
      </c>
      <c r="BJ197" s="59">
        <f t="shared" ref="BJ197:BJ203" si="206">$BJ$3</f>
        <v>156.24531945456499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1.0483180584079907</v>
      </c>
      <c r="BQ197" s="21">
        <f>EXP(-LN(2)/25)*BQ196+(1-EXP(-LN(2)/25))/(LN(2)/25)*Calculateur!BL197*Calculateur!BN197*VLOOKUP('Données projet'!$B$11,Paramètres!$A$1:$I$89,3,0)*0.475*44/12</f>
        <v>0.24413491820170133</v>
      </c>
      <c r="BR197" s="21">
        <f>EXP(-LN(2)/2)*BR196+(1-EXP(-LN(2)/2))/(LN(2)/2)*BL197*BO197*VLOOKUP('Données projet'!$B$11,Paramètres!$A$1:$I$89,3,0)*0.475*44/12</f>
        <v>3.6713076119843476E-21</v>
      </c>
      <c r="BS197" s="22">
        <f t="shared" si="169"/>
        <v>1.2924529766096922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-2.5579538487363607E-13</v>
      </c>
      <c r="BZ197" s="13">
        <f>BY197*VLOOKUP('Données projet'!$B$12,Paramètres!$A$1:$I$89,3,0)*VLOOKUP('Données projet'!$B$12,Paramètres!$A$1:$I$89,5,0)</f>
        <v>-2.7932856028201057E-13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173.63857221119594</v>
      </c>
      <c r="CE197" s="59">
        <f t="shared" ref="CE197:CE203" si="207">$CE$3</f>
        <v>52.373745617370105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0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-6.7984728957526396E-14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175.34314856709307</v>
      </c>
      <c r="T198" s="59">
        <f t="shared" si="204"/>
        <v>296.28950942251339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0.56289019841572108</v>
      </c>
      <c r="AA198" s="21">
        <f>EXP(-LN(2)/25)*AA197+(1-EXP(-LN(2)/25))/(LN(2)/25)*Calculateur!V198*Calculateur!X198*VLOOKUP('Données projet'!$B$9,Paramètres!$A$1:$I$89,3,0)*0.475*44/12</f>
        <v>0.19343760894925377</v>
      </c>
      <c r="AB198" s="21">
        <f>EXP(-LN(2)/2)*AB197+(1-EXP(-LN(2)/2))/(LN(2)/2)*V198*Y198*VLOOKUP('Données projet'!$B$9,Paramètres!$A$1:$I$89,3,0)*0.475*44/12</f>
        <v>3.7453726225852737E-25</v>
      </c>
      <c r="AC198" s="22">
        <f t="shared" si="163"/>
        <v>0.75632780736497485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275.00000000000057</v>
      </c>
      <c r="AJ198" s="13">
        <f>AI198*VLOOKUP('Données projet'!$B$10,Paramètres!$A$1:$I$89,3,0)*VLOOKUP('Données projet'!$B$10,Paramètres!$A$1:$I$89,5,0)</f>
        <v>231.66000000000051</v>
      </c>
      <c r="AK198" s="13">
        <f t="shared" si="164"/>
        <v>56.641461975682923</v>
      </c>
      <c r="AL198" s="20">
        <f t="shared" si="165"/>
        <v>502.12504627431525</v>
      </c>
      <c r="AM198" s="59">
        <f t="shared" si="193"/>
        <v>795.45837960764857</v>
      </c>
      <c r="AN198" s="59">
        <f ca="1">AVERAGE(OFFSET($AM$3,0,0,'Données projet'!$E$10+1,1))-AVERAGE(OFFSET($H$3,0,0,'Données projet'!$E$10+1,1))</f>
        <v>247.67539667223065</v>
      </c>
      <c r="AO198" s="59">
        <f t="shared" si="205"/>
        <v>174.54442616983778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4.8813786165184954E-2</v>
      </c>
      <c r="AV198" s="21">
        <f>EXP(-LN(2)/25)*AV197+(1-EXP(-LN(2)/25))/(LN(2)/25)*Calculateur!AQ198*Calculateur!AS198*VLOOKUP('Données projet'!$B$10,Paramètres!$A$1:$I$89,3,0)*0.475*44/12</f>
        <v>6.7777899562264807E-2</v>
      </c>
      <c r="AW198" s="21">
        <f>EXP(-LN(2)/2)*AW197+(1-EXP(-LN(2)/2))/(LN(2)/2)*AQ198*AT198*VLOOKUP('Données projet'!$B$10,Paramètres!$A$1:$I$89,3,0)*0.475*44/12</f>
        <v>1.6836220933570766E-24</v>
      </c>
      <c r="AX198" s="21">
        <f t="shared" si="166"/>
        <v>0.11659168572744977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-5.6843418860808015E-13</v>
      </c>
      <c r="BE198" s="13">
        <f>BD198*VLOOKUP('Données projet'!$B$11,Paramètres!$A$1:$I$89,3,0)*VLOOKUP('Données projet'!$B$11,Paramètres!$A$1:$I$89,5,0)</f>
        <v>-5.6752469390630732E-13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245.06609107649069</v>
      </c>
      <c r="BJ198" s="59">
        <f t="shared" si="206"/>
        <v>156.24531945456499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1.0277611806934892</v>
      </c>
      <c r="BQ198" s="21">
        <f>EXP(-LN(2)/25)*BQ197+(1-EXP(-LN(2)/25))/(LN(2)/25)*Calculateur!BL198*Calculateur!BN198*VLOOKUP('Données projet'!$B$11,Paramètres!$A$1:$I$89,3,0)*0.475*44/12</f>
        <v>0.23745903602497845</v>
      </c>
      <c r="BR198" s="21">
        <f>EXP(-LN(2)/2)*BR197+(1-EXP(-LN(2)/2))/(LN(2)/2)*BL198*BO198*VLOOKUP('Données projet'!$B$11,Paramètres!$A$1:$I$89,3,0)*0.475*44/12</f>
        <v>2.5960065082559225E-21</v>
      </c>
      <c r="BS198" s="22">
        <f t="shared" si="169"/>
        <v>1.2652202167184676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-2.5579538487363607E-13</v>
      </c>
      <c r="BZ198" s="13">
        <f>BY198*VLOOKUP('Données projet'!$B$12,Paramètres!$A$1:$I$89,3,0)*VLOOKUP('Données projet'!$B$12,Paramètres!$A$1:$I$89,5,0)</f>
        <v>-2.7932856028201057E-13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173.63857221119594</v>
      </c>
      <c r="CE198" s="59">
        <f t="shared" si="207"/>
        <v>52.373745617370105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0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-6.7984728957526396E-14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175.34314856709307</v>
      </c>
      <c r="T199" s="59">
        <f t="shared" si="204"/>
        <v>296.28950942251339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0.55185226495390893</v>
      </c>
      <c r="AA199" s="21">
        <f>EXP(-LN(2)/25)*AA198+(1-EXP(-LN(2)/25))/(LN(2)/25)*Calculateur!V199*Calculateur!X199*VLOOKUP('Données projet'!$B$9,Paramètres!$A$1:$I$89,3,0)*0.475*44/12</f>
        <v>0.18814804736009469</v>
      </c>
      <c r="AB199" s="21">
        <f>EXP(-LN(2)/2)*AB198+(1-EXP(-LN(2)/2))/(LN(2)/2)*V199*Y199*VLOOKUP('Données projet'!$B$9,Paramètres!$A$1:$I$89,3,0)*0.475*44/12</f>
        <v>2.6483783795004908E-25</v>
      </c>
      <c r="AC199" s="22">
        <f t="shared" si="163"/>
        <v>0.74000031231400365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275.00000000000057</v>
      </c>
      <c r="AJ199" s="13">
        <f>AI199*VLOOKUP('Données projet'!$B$10,Paramètres!$A$1:$I$89,3,0)*VLOOKUP('Données projet'!$B$10,Paramètres!$A$1:$I$89,5,0)</f>
        <v>231.66000000000051</v>
      </c>
      <c r="AK199" s="13">
        <f t="shared" si="164"/>
        <v>56.641461975682923</v>
      </c>
      <c r="AL199" s="20">
        <f t="shared" si="165"/>
        <v>502.12504627431525</v>
      </c>
      <c r="AM199" s="59">
        <f t="shared" si="193"/>
        <v>795.45837960764857</v>
      </c>
      <c r="AN199" s="59">
        <f ca="1">AVERAGE(OFFSET($AM$3,0,0,'Données projet'!$E$10+1,1))-AVERAGE(OFFSET($H$3,0,0,'Données projet'!$E$10+1,1))</f>
        <v>247.67539667223065</v>
      </c>
      <c r="AO199" s="59">
        <f t="shared" si="205"/>
        <v>174.54442616983778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4.785657759195535E-2</v>
      </c>
      <c r="AV199" s="21">
        <f>EXP(-LN(2)/25)*AV198+(1-EXP(-LN(2)/25))/(LN(2)/25)*Calculateur!AQ199*Calculateur!AS199*VLOOKUP('Données projet'!$B$10,Paramètres!$A$1:$I$89,3,0)*0.475*44/12</f>
        <v>6.5924509334449849E-2</v>
      </c>
      <c r="AW199" s="21">
        <f>EXP(-LN(2)/2)*AW198+(1-EXP(-LN(2)/2))/(LN(2)/2)*AQ199*AT199*VLOOKUP('Données projet'!$B$10,Paramètres!$A$1:$I$89,3,0)*0.475*44/12</f>
        <v>1.1905005991682795E-24</v>
      </c>
      <c r="AX199" s="21">
        <f t="shared" si="166"/>
        <v>0.11378108692640521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-5.6843418860808015E-13</v>
      </c>
      <c r="BE199" s="13">
        <f>BD199*VLOOKUP('Données projet'!$B$11,Paramètres!$A$1:$I$89,3,0)*VLOOKUP('Données projet'!$B$11,Paramètres!$A$1:$I$89,5,0)</f>
        <v>-5.6752469390630732E-13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245.06609107649069</v>
      </c>
      <c r="BJ199" s="59">
        <f t="shared" si="206"/>
        <v>156.24531945456499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1.0076074108125117</v>
      </c>
      <c r="BQ199" s="21">
        <f>EXP(-LN(2)/25)*BQ198+(1-EXP(-LN(2)/25))/(LN(2)/25)*Calculateur!BL199*Calculateur!BN199*VLOOKUP('Données projet'!$B$11,Paramètres!$A$1:$I$89,3,0)*0.475*44/12</f>
        <v>0.23096570619744744</v>
      </c>
      <c r="BR199" s="21">
        <f>EXP(-LN(2)/2)*BR198+(1-EXP(-LN(2)/2))/(LN(2)/2)*BL199*BO199*VLOOKUP('Données projet'!$B$11,Paramètres!$A$1:$I$89,3,0)*0.475*44/12</f>
        <v>1.8356538059921738E-21</v>
      </c>
      <c r="BS199" s="22">
        <f t="shared" si="169"/>
        <v>1.2385731170099592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-2.5579538487363607E-13</v>
      </c>
      <c r="BZ199" s="13">
        <f>BY199*VLOOKUP('Données projet'!$B$12,Paramètres!$A$1:$I$89,3,0)*VLOOKUP('Données projet'!$B$12,Paramètres!$A$1:$I$89,5,0)</f>
        <v>-2.7932856028201057E-13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173.63857221119594</v>
      </c>
      <c r="CE199" s="59">
        <f t="shared" si="207"/>
        <v>52.373745617370105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0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-6.7984728957526396E-14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175.34314856709307</v>
      </c>
      <c r="T200" s="59">
        <f t="shared" si="204"/>
        <v>296.28950942251339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0.5410307786348082</v>
      </c>
      <c r="AA200" s="21">
        <f>EXP(-LN(2)/25)*AA199+(1-EXP(-LN(2)/25))/(LN(2)/25)*Calculateur!V200*Calculateur!X200*VLOOKUP('Données projet'!$B$9,Paramètres!$A$1:$I$89,3,0)*0.475*44/12</f>
        <v>0.18300312911075711</v>
      </c>
      <c r="AB200" s="21">
        <f>EXP(-LN(2)/2)*AB199+(1-EXP(-LN(2)/2))/(LN(2)/2)*V200*Y200*VLOOKUP('Données projet'!$B$9,Paramètres!$A$1:$I$89,3,0)*0.475*44/12</f>
        <v>1.8726863112926369E-25</v>
      </c>
      <c r="AC200" s="22">
        <f t="shared" si="163"/>
        <v>0.72403390774556531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275.00000000000057</v>
      </c>
      <c r="AJ200" s="13">
        <f>AI200*VLOOKUP('Données projet'!$B$10,Paramètres!$A$1:$I$89,3,0)*VLOOKUP('Données projet'!$B$10,Paramètres!$A$1:$I$89,5,0)</f>
        <v>231.66000000000051</v>
      </c>
      <c r="AK200" s="13">
        <f t="shared" si="164"/>
        <v>56.641461975682923</v>
      </c>
      <c r="AL200" s="20">
        <f t="shared" si="165"/>
        <v>502.12504627431525</v>
      </c>
      <c r="AM200" s="59">
        <f t="shared" si="193"/>
        <v>795.45837960764857</v>
      </c>
      <c r="AN200" s="59">
        <f ca="1">AVERAGE(OFFSET($AM$3,0,0,'Données projet'!$E$10+1,1))-AVERAGE(OFFSET($H$3,0,0,'Données projet'!$E$10+1,1))</f>
        <v>247.67539667223065</v>
      </c>
      <c r="AO200" s="59">
        <f t="shared" si="205"/>
        <v>174.54442616983778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4.6918139295007197E-2</v>
      </c>
      <c r="AV200" s="21">
        <f>EXP(-LN(2)/25)*AV199+(1-EXP(-LN(2)/25))/(LN(2)/25)*Calculateur!AQ200*Calculateur!AS200*VLOOKUP('Données projet'!$B$10,Paramètres!$A$1:$I$89,3,0)*0.475*44/12</f>
        <v>6.4121800159880046E-2</v>
      </c>
      <c r="AW200" s="21">
        <f>EXP(-LN(2)/2)*AW199+(1-EXP(-LN(2)/2))/(LN(2)/2)*AQ200*AT200*VLOOKUP('Données projet'!$B$10,Paramètres!$A$1:$I$89,3,0)*0.475*44/12</f>
        <v>8.418110466785383E-25</v>
      </c>
      <c r="AX200" s="21">
        <f t="shared" si="166"/>
        <v>0.11103993945488724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-5.6843418860808015E-13</v>
      </c>
      <c r="BE200" s="13">
        <f>BD200*VLOOKUP('Données projet'!$B$11,Paramètres!$A$1:$I$89,3,0)*VLOOKUP('Données projet'!$B$11,Paramètres!$A$1:$I$89,5,0)</f>
        <v>-5.6752469390630732E-13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245.06609107649069</v>
      </c>
      <c r="BJ200" s="59">
        <f t="shared" si="206"/>
        <v>156.24531945456499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0.98784884406631424</v>
      </c>
      <c r="BQ200" s="21">
        <f>EXP(-LN(2)/25)*BQ199+(1-EXP(-LN(2)/25))/(LN(2)/25)*Calculateur!BL200*Calculateur!BN200*VLOOKUP('Données projet'!$B$11,Paramètres!$A$1:$I$89,3,0)*0.475*44/12</f>
        <v>0.22464993681551962</v>
      </c>
      <c r="BR200" s="21">
        <f>EXP(-LN(2)/2)*BR199+(1-EXP(-LN(2)/2))/(LN(2)/2)*BL200*BO200*VLOOKUP('Données projet'!$B$11,Paramètres!$A$1:$I$89,3,0)*0.475*44/12</f>
        <v>1.2980032541279612E-21</v>
      </c>
      <c r="BS200" s="22">
        <f t="shared" si="169"/>
        <v>1.2124987808818339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-2.5579538487363607E-13</v>
      </c>
      <c r="BZ200" s="13">
        <f>BY200*VLOOKUP('Données projet'!$B$12,Paramètres!$A$1:$I$89,3,0)*VLOOKUP('Données projet'!$B$12,Paramètres!$A$1:$I$89,5,0)</f>
        <v>-2.7932856028201057E-13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173.63857221119594</v>
      </c>
      <c r="CE200" s="59">
        <f t="shared" si="207"/>
        <v>52.373745617370105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0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-6.7984728957526396E-14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175.34314856709307</v>
      </c>
      <c r="T201" s="59">
        <f t="shared" si="204"/>
        <v>296.28950942251339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0.53042149506197012</v>
      </c>
      <c r="AA201" s="21">
        <f>EXP(-LN(2)/25)*AA200+(1-EXP(-LN(2)/25))/(LN(2)/25)*Calculateur!V201*Calculateur!X201*VLOOKUP('Données projet'!$B$9,Paramètres!$A$1:$I$89,3,0)*0.475*44/12</f>
        <v>0.17799889892150716</v>
      </c>
      <c r="AB201" s="21">
        <f>EXP(-LN(2)/2)*AB200+(1-EXP(-LN(2)/2))/(LN(2)/2)*V201*Y201*VLOOKUP('Données projet'!$B$9,Paramètres!$A$1:$I$89,3,0)*0.475*44/12</f>
        <v>1.3241891897502454E-25</v>
      </c>
      <c r="AC201" s="22">
        <f t="shared" si="163"/>
        <v>0.70842039398347723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275.00000000000057</v>
      </c>
      <c r="AJ201" s="13">
        <f>AI201*VLOOKUP('Données projet'!$B$10,Paramètres!$A$1:$I$89,3,0)*VLOOKUP('Données projet'!$B$10,Paramètres!$A$1:$I$89,5,0)</f>
        <v>231.66000000000051</v>
      </c>
      <c r="AK201" s="13">
        <f t="shared" si="164"/>
        <v>56.641461975682923</v>
      </c>
      <c r="AL201" s="20">
        <f t="shared" si="165"/>
        <v>502.12504627431525</v>
      </c>
      <c r="AM201" s="59">
        <f t="shared" si="193"/>
        <v>795.45837960764857</v>
      </c>
      <c r="AN201" s="59">
        <f ca="1">AVERAGE(OFFSET($AM$3,0,0,'Données projet'!$E$10+1,1))-AVERAGE(OFFSET($H$3,0,0,'Données projet'!$E$10+1,1))</f>
        <v>247.67539667223065</v>
      </c>
      <c r="AO201" s="59">
        <f t="shared" si="205"/>
        <v>174.54442616983778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4.599810320067136E-2</v>
      </c>
      <c r="AV201" s="21">
        <f>EXP(-LN(2)/25)*AV200+(1-EXP(-LN(2)/25))/(LN(2)/25)*Calculateur!AQ201*Calculateur!AS201*VLOOKUP('Données projet'!$B$10,Paramètres!$A$1:$I$89,3,0)*0.475*44/12</f>
        <v>6.2368386162489207E-2</v>
      </c>
      <c r="AW201" s="21">
        <f>EXP(-LN(2)/2)*AW200+(1-EXP(-LN(2)/2))/(LN(2)/2)*AQ201*AT201*VLOOKUP('Données projet'!$B$10,Paramètres!$A$1:$I$89,3,0)*0.475*44/12</f>
        <v>5.9525029958413973E-25</v>
      </c>
      <c r="AX201" s="21">
        <f t="shared" si="166"/>
        <v>0.10836648936316057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-5.6843418860808015E-13</v>
      </c>
      <c r="BE201" s="13">
        <f>BD201*VLOOKUP('Données projet'!$B$11,Paramètres!$A$1:$I$89,3,0)*VLOOKUP('Données projet'!$B$11,Paramètres!$A$1:$I$89,5,0)</f>
        <v>-5.6752469390630732E-13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245.06609107649069</v>
      </c>
      <c r="BJ201" s="59">
        <f t="shared" si="206"/>
        <v>156.24531945456499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0.96847773076247401</v>
      </c>
      <c r="BQ201" s="21">
        <f>EXP(-LN(2)/25)*BQ200+(1-EXP(-LN(2)/25))/(LN(2)/25)*Calculateur!BL201*Calculateur!BN201*VLOOKUP('Données projet'!$B$11,Paramètres!$A$1:$I$89,3,0)*0.475*44/12</f>
        <v>0.21850687247947251</v>
      </c>
      <c r="BR201" s="21">
        <f>EXP(-LN(2)/2)*BR200+(1-EXP(-LN(2)/2))/(LN(2)/2)*BL201*BO201*VLOOKUP('Données projet'!$B$11,Paramètres!$A$1:$I$89,3,0)*0.475*44/12</f>
        <v>9.1782690299608691E-22</v>
      </c>
      <c r="BS201" s="22">
        <f t="shared" si="169"/>
        <v>1.1869846032419464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-2.5579538487363607E-13</v>
      </c>
      <c r="BZ201" s="13">
        <f>BY201*VLOOKUP('Données projet'!$B$12,Paramètres!$A$1:$I$89,3,0)*VLOOKUP('Données projet'!$B$12,Paramètres!$A$1:$I$89,5,0)</f>
        <v>-2.7932856028201057E-13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173.63857221119594</v>
      </c>
      <c r="CE201" s="59">
        <f t="shared" si="207"/>
        <v>52.373745617370105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0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-6.7984728957526396E-14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175.34314856709307</v>
      </c>
      <c r="T202" s="59">
        <f t="shared" si="204"/>
        <v>296.28950942251339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0.52002025306897137</v>
      </c>
      <c r="AA202" s="21">
        <f>EXP(-LN(2)/25)*AA201+(1-EXP(-LN(2)/25))/(LN(2)/25)*Calculateur!V202*Calculateur!X202*VLOOKUP('Données projet'!$B$9,Paramètres!$A$1:$I$89,3,0)*0.475*44/12</f>
        <v>0.17313150966994328</v>
      </c>
      <c r="AB202" s="21">
        <f>EXP(-LN(2)/2)*AB201+(1-EXP(-LN(2)/2))/(LN(2)/2)*V202*Y202*VLOOKUP('Données projet'!$B$9,Paramètres!$A$1:$I$89,3,0)*0.475*44/12</f>
        <v>9.3634315564631843E-26</v>
      </c>
      <c r="AC202" s="22">
        <f t="shared" si="163"/>
        <v>0.69315176273891466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275.00000000000057</v>
      </c>
      <c r="AJ202" s="13">
        <f>AI202*VLOOKUP('Données projet'!$B$10,Paramètres!$A$1:$I$89,3,0)*VLOOKUP('Données projet'!$B$10,Paramètres!$A$1:$I$89,5,0)</f>
        <v>231.66000000000051</v>
      </c>
      <c r="AK202" s="13">
        <f t="shared" si="164"/>
        <v>56.641461975682923</v>
      </c>
      <c r="AL202" s="20">
        <f t="shared" si="165"/>
        <v>502.12504627431525</v>
      </c>
      <c r="AM202" s="59">
        <f t="shared" si="193"/>
        <v>795.45837960764857</v>
      </c>
      <c r="AN202" s="59">
        <f ca="1">AVERAGE(OFFSET($AM$3,0,0,'Données projet'!$E$10+1,1))-AVERAGE(OFFSET($H$3,0,0,'Données projet'!$E$10+1,1))</f>
        <v>247.67539667223065</v>
      </c>
      <c r="AO202" s="59">
        <f t="shared" si="205"/>
        <v>174.54442616983778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4.5096108452978838E-2</v>
      </c>
      <c r="AV202" s="21">
        <f>EXP(-LN(2)/25)*AV201+(1-EXP(-LN(2)/25))/(LN(2)/25)*Calculateur!AQ202*Calculateur!AS202*VLOOKUP('Données projet'!$B$10,Paramètres!$A$1:$I$89,3,0)*0.475*44/12</f>
        <v>6.066291936306506E-2</v>
      </c>
      <c r="AW202" s="21">
        <f>EXP(-LN(2)/2)*AW201+(1-EXP(-LN(2)/2))/(LN(2)/2)*AQ202*AT202*VLOOKUP('Données projet'!$B$10,Paramètres!$A$1:$I$89,3,0)*0.475*44/12</f>
        <v>4.2090552333926915E-25</v>
      </c>
      <c r="AX202" s="21">
        <f t="shared" si="166"/>
        <v>0.1057590278160439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-5.6843418860808015E-13</v>
      </c>
      <c r="BE202" s="13">
        <f>BD202*VLOOKUP('Données projet'!$B$11,Paramètres!$A$1:$I$89,3,0)*VLOOKUP('Données projet'!$B$11,Paramètres!$A$1:$I$89,5,0)</f>
        <v>-5.6752469390630732E-13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245.06609107649069</v>
      </c>
      <c r="BJ202" s="59">
        <f t="shared" si="206"/>
        <v>156.24531945456499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0.94948647317530954</v>
      </c>
      <c r="BQ202" s="21">
        <f>EXP(-LN(2)/25)*BQ201+(1-EXP(-LN(2)/25))/(LN(2)/25)*Calculateur!BL202*Calculateur!BN202*VLOOKUP('Données projet'!$B$11,Paramètres!$A$1:$I$89,3,0)*0.475*44/12</f>
        <v>0.21253179056074431</v>
      </c>
      <c r="BR202" s="21">
        <f>EXP(-LN(2)/2)*BR201+(1-EXP(-LN(2)/2))/(LN(2)/2)*BL202*BO202*VLOOKUP('Données projet'!$B$11,Paramètres!$A$1:$I$89,3,0)*0.475*44/12</f>
        <v>6.4900162706398062E-22</v>
      </c>
      <c r="BS202" s="22">
        <f t="shared" si="169"/>
        <v>1.1620182637360539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-2.5579538487363607E-13</v>
      </c>
      <c r="BZ202" s="13">
        <f>BY202*VLOOKUP('Données projet'!$B$12,Paramètres!$A$1:$I$89,3,0)*VLOOKUP('Données projet'!$B$12,Paramètres!$A$1:$I$89,5,0)</f>
        <v>-2.7932856028201057E-13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173.63857221119594</v>
      </c>
      <c r="CE202" s="59">
        <f t="shared" si="207"/>
        <v>52.373745617370105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0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-6.7984728957526396E-14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175.34314856709307</v>
      </c>
      <c r="T203" s="59">
        <f t="shared" si="204"/>
        <v>296.28950942251339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0.50982297308732416</v>
      </c>
      <c r="AA203" s="21">
        <f>EXP(-LN(2)/25)*AA202+(1-EXP(-LN(2)/25))/(LN(2)/25)*Calculateur!V203*Calculateur!X203*VLOOKUP('Données projet'!$B$9,Paramètres!$A$1:$I$89,3,0)*0.475*44/12</f>
        <v>0.16839721943342828</v>
      </c>
      <c r="AB203" s="21">
        <f>EXP(-LN(2)/2)*AB202+(1-EXP(-LN(2)/2))/(LN(2)/2)*V203*Y203*VLOOKUP('Données projet'!$B$9,Paramètres!$A$1:$I$89,3,0)*0.475*44/12</f>
        <v>6.6209459487512269E-26</v>
      </c>
      <c r="AC203" s="22">
        <f t="shared" si="163"/>
        <v>0.6782201925207525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275.00000000000057</v>
      </c>
      <c r="AJ203" s="13">
        <f>AI203*VLOOKUP('Données projet'!$B$10,Paramètres!$A$1:$I$89,3,0)*VLOOKUP('Données projet'!$B$10,Paramètres!$A$1:$I$89,5,0)</f>
        <v>231.66000000000051</v>
      </c>
      <c r="AK203" s="13">
        <f t="shared" si="164"/>
        <v>56.641461975682923</v>
      </c>
      <c r="AL203" s="20">
        <f t="shared" si="165"/>
        <v>502.12504627431525</v>
      </c>
      <c r="AM203" s="59">
        <f t="shared" si="193"/>
        <v>795.45837960764857</v>
      </c>
      <c r="AN203" s="59">
        <f ca="1">AVERAGE(OFFSET($AM$3,0,0,'Données projet'!$E$10+1,1))-AVERAGE(OFFSET($H$3,0,0,'Données projet'!$E$10+1,1))</f>
        <v>247.67539667223065</v>
      </c>
      <c r="AO203" s="59">
        <f t="shared" si="205"/>
        <v>174.54442616983778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4.4211801272126094E-2</v>
      </c>
      <c r="AV203" s="21">
        <f>EXP(-LN(2)/25)*AV202+(1-EXP(-LN(2)/25))/(LN(2)/25)*Calculateur!AQ203*Calculateur!AS203*VLOOKUP('Données projet'!$B$10,Paramètres!$A$1:$I$89,3,0)*0.475*44/12</f>
        <v>5.9004088642957767E-2</v>
      </c>
      <c r="AW203" s="21">
        <f>EXP(-LN(2)/2)*AW202+(1-EXP(-LN(2)/2))/(LN(2)/2)*AQ203*AT203*VLOOKUP('Données projet'!$B$10,Paramètres!$A$1:$I$89,3,0)*0.475*44/12</f>
        <v>2.9762514979206987E-25</v>
      </c>
      <c r="AX203" s="21">
        <f t="shared" si="166"/>
        <v>0.10321588991508386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-5.6843418860808015E-13</v>
      </c>
      <c r="BE203" s="13">
        <f>BD203*VLOOKUP('Données projet'!$B$11,Paramètres!$A$1:$I$89,3,0)*VLOOKUP('Données projet'!$B$11,Paramètres!$A$1:$I$89,5,0)</f>
        <v>-5.6752469390630732E-13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245.06609107649069</v>
      </c>
      <c r="BJ203" s="59">
        <f t="shared" si="206"/>
        <v>156.24531945456499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0.93086762256590605</v>
      </c>
      <c r="BQ203" s="21">
        <f>EXP(-LN(2)/25)*BQ202+(1-EXP(-LN(2)/25))/(LN(2)/25)*Calculateur!BL203*Calculateur!BN203*VLOOKUP('Données projet'!$B$11,Paramètres!$A$1:$I$89,3,0)*0.475*44/12</f>
        <v>0.20672009757129964</v>
      </c>
      <c r="BR203" s="21">
        <f>EXP(-LN(2)/2)*BR202+(1-EXP(-LN(2)/2))/(LN(2)/2)*BL203*BO203*VLOOKUP('Données projet'!$B$11,Paramètres!$A$1:$I$89,3,0)*0.475*44/12</f>
        <v>4.5891345149804345E-22</v>
      </c>
      <c r="BS203" s="22">
        <f t="shared" si="169"/>
        <v>1.1375877201372058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-2.5579538487363607E-13</v>
      </c>
      <c r="BZ203" s="13">
        <f>BY203*VLOOKUP('Données projet'!$B$12,Paramètres!$A$1:$I$89,3,0)*VLOOKUP('Données projet'!$B$12,Paramètres!$A$1:$I$89,5,0)</f>
        <v>-2.7932856028201057E-13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173.63857221119594</v>
      </c>
      <c r="CE203" s="59">
        <f t="shared" si="207"/>
        <v>52.373745617370105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0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1.6123005271957285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1.2240347367580502</v>
      </c>
      <c r="BA205" s="82">
        <f>EXP(LN('Données projet'!B88)/'Données projet'!A88)</f>
        <v>1.1608269964373037</v>
      </c>
      <c r="BV205" s="82">
        <f>EXP(LN('Données projet'!B114)/'Données projet'!A114)</f>
        <v>1.1886563890642909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B1" workbookViewId="0">
      <selection activeCell="E8" sqref="E8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zoomScale="90" zoomScaleNormal="90" workbookViewId="0">
      <selection activeCell="F17" sqref="F17:L1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maritime</v>
      </c>
      <c r="B6" s="146">
        <f>'Données projet'!D9</f>
        <v>34.358849999999997</v>
      </c>
      <c r="C6" s="147">
        <f ca="1">IF(OR('Données projet'!B9="",'Données projet'!C9="",'Données projet'!C9=0%),0,Calculateur!S3)</f>
        <v>175.34314856709307</v>
      </c>
      <c r="D6" s="147">
        <f>IF(OR('Données projet'!B9="",'Données projet'!C9="",'Données projet'!C9=0%),0,Calculateur!T3)</f>
        <v>296.28950942251339</v>
      </c>
      <c r="E6" s="147">
        <f ca="1">MIN(C6,D6)</f>
        <v>175.34314856709307</v>
      </c>
      <c r="F6" s="147">
        <f ca="1">E6*B6</f>
        <v>6024.5889401444647</v>
      </c>
      <c r="G6" s="147">
        <f ca="1">F6*(100%-'Données projet'!$C$24)*(100%-'Données projet'!$C$25)*(100%-'Données projet'!$C$26)*(100%-'Données projet'!$C$27)</f>
        <v>4608.8105392105153</v>
      </c>
      <c r="H6" s="148">
        <f>IF(OR('Données projet'!B9="",'Données projet'!C9="",'Données projet'!C9=0%),0,AVERAGE(Calculateur!$AC$3:$AC$33)*B6)</f>
        <v>699.2749250530776</v>
      </c>
      <c r="I6" s="149">
        <f>H6*(100%-'Données projet'!$C$24)*(100%-'Données projet'!$C$25)*(100%-'Données projet'!$C$26)*(100%-'Données projet'!$C$27)</f>
        <v>534.94531766560431</v>
      </c>
      <c r="J6" s="150">
        <f>IF(OR('Données projet'!B9="",'Données projet'!C9="",'Données projet'!C9=0%),0,SUM(Calculateur!$V$3:$V$33)*VLOOKUP('Données projet'!$B$9,Paramètres!$A$1:$I$89,9,0)*B6)</f>
        <v>4211.3721734653836</v>
      </c>
      <c r="K6" s="151">
        <f>J6*(100%-'Données projet'!$C$24)*(100%-'Données projet'!$C$25)*(100%-'Données projet'!$C$26)*(100%-'Données projet'!$C$27)</f>
        <v>3221.6997127010186</v>
      </c>
      <c r="L6" s="152">
        <f ca="1">G6+I6+K6</f>
        <v>8365.4555695771378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pédonculé</v>
      </c>
      <c r="B7" s="154">
        <f>'Données projet'!D10</f>
        <v>0.25458750000000002</v>
      </c>
      <c r="C7" s="147">
        <f ca="1">IF(OR('Données projet'!B10="",'Données projet'!C10="",'Données projet'!C10=0%),0,Calculateur!AN3)</f>
        <v>247.67539667223065</v>
      </c>
      <c r="D7" s="147">
        <f>IF(OR('Données projet'!B10="",'Données projet'!C10="",'Données projet'!C10=0%),0,Calculateur!AO3)</f>
        <v>174.54442616983778</v>
      </c>
      <c r="E7" s="147">
        <f t="shared" ref="E7:E15" ca="1" si="0">MIN(C7,D7)</f>
        <v>174.54442616983778</v>
      </c>
      <c r="F7" s="147">
        <f t="shared" ref="F7:F15" ca="1" si="1">E7*B7</f>
        <v>44.436829097513581</v>
      </c>
      <c r="G7" s="147">
        <f ca="1">F7*(100%-'Données projet'!$C$24)*(100%-'Données projet'!$C$25)*(100%-'Données projet'!$C$26)*(100%-'Données projet'!$C$27)</f>
        <v>33.994174259597884</v>
      </c>
      <c r="H7" s="155">
        <f>IF(OR('Données projet'!B10="",'Données projet'!C10="",'Données projet'!C10=0%),0,AVERAGE(Calculateur!$AX$3:$AX$33)*B7)</f>
        <v>0.29821517676730569</v>
      </c>
      <c r="I7" s="149">
        <f>H7*(100%-'Données projet'!$C$24)*(100%-'Données projet'!$C$25)*(100%-'Données projet'!$C$26)*(100%-'Données projet'!$C$27)</f>
        <v>0.22813461022698883</v>
      </c>
      <c r="J7" s="150">
        <f>IF(OR('Données projet'!B10="",'Données projet'!C10="",'Données projet'!C10=0%),0,SUM(Calculateur!$AQ$3:$AQ$33)*VLOOKUP('Données projet'!$B$10,Paramètres!$A$1:$I$89,9,0)*B7)</f>
        <v>2.7368156250000002</v>
      </c>
      <c r="K7" s="151">
        <f>J7*(100%-'Données projet'!$C$24)*(100%-'Données projet'!$C$25)*(100%-'Données projet'!$C$26)*(100%-'Données projet'!$C$27)</f>
        <v>2.0936639531250005</v>
      </c>
      <c r="L7" s="152">
        <f t="shared" ref="L7:L15" ca="1" si="2">G7+I7+K7</f>
        <v>36.315972822949874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Chêne tauzin</v>
      </c>
      <c r="B8" s="154">
        <f>'Données projet'!D11</f>
        <v>0.18134999999999998</v>
      </c>
      <c r="C8" s="147">
        <f ca="1">IF(OR('Données projet'!B11="",'Données projet'!C11="",'Données projet'!C11=0%),0,Calculateur!BI3)</f>
        <v>245.06609107649069</v>
      </c>
      <c r="D8" s="147">
        <f>IF(OR('Données projet'!B11="",'Données projet'!C11="",'Données projet'!C11=0%),0,Calculateur!BJ3)</f>
        <v>156.24531945456499</v>
      </c>
      <c r="E8" s="147">
        <f t="shared" ca="1" si="0"/>
        <v>156.24531945456499</v>
      </c>
      <c r="F8" s="147">
        <f t="shared" ca="1" si="1"/>
        <v>28.33508868308536</v>
      </c>
      <c r="G8" s="147">
        <f ca="1">F8*(100%-'Données projet'!$C$24)*(100%-'Données projet'!$C$25)*(100%-'Données projet'!$C$26)*(100%-'Données projet'!$C$27)</f>
        <v>21.676342842560302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21.676342842560302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Chêne-liège</v>
      </c>
      <c r="B9" s="154">
        <f>'Données projet'!D12</f>
        <v>8.0212499999999992E-2</v>
      </c>
      <c r="C9" s="147">
        <f ca="1">IF(OR('Données projet'!B12="",'Données projet'!C12="",'Données projet'!C12=0%),0,Calculateur!CD3)</f>
        <v>173.63857221119594</v>
      </c>
      <c r="D9" s="147">
        <f>IF(OR('Données projet'!B12="",'Données projet'!C12="",'Données projet'!C12=0%),0,Calculateur!CE3)</f>
        <v>52.373745617370105</v>
      </c>
      <c r="E9" s="147">
        <f t="shared" ca="1" si="0"/>
        <v>52.373745617370105</v>
      </c>
      <c r="F9" s="147">
        <f t="shared" ca="1" si="1"/>
        <v>4.2010290703332993</v>
      </c>
      <c r="G9" s="147">
        <f ca="1">F9*(100%-'Données projet'!$C$24)*(100%-'Données projet'!$C$25)*(100%-'Données projet'!$C$26)*(100%-'Données projet'!$C$27)</f>
        <v>3.213787238804974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3.213787238804974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6101.561886995396</v>
      </c>
      <c r="G16" s="166">
        <f t="shared" ca="1" si="3"/>
        <v>4667.6948435514778</v>
      </c>
      <c r="H16" s="167">
        <f t="shared" si="3"/>
        <v>699.57314022984485</v>
      </c>
      <c r="I16" s="167">
        <f t="shared" si="3"/>
        <v>535.17345227583132</v>
      </c>
      <c r="J16" s="168">
        <f t="shared" si="3"/>
        <v>4214.1089890903841</v>
      </c>
      <c r="K16" s="168">
        <f t="shared" si="3"/>
        <v>3223.7933766541437</v>
      </c>
      <c r="L16" s="169">
        <f t="shared" ca="1" si="3"/>
        <v>8426.6616724814521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pédonculé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Chêne tauzin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Chêne-liège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17" right="0.17" top="0.75" bottom="0.75" header="0.3" footer="0.3"/>
  <pageSetup paperSize="9" scale="93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I1" zoomScale="82" zoomScaleNormal="82" workbookViewId="0">
      <selection activeCell="V43" sqref="V43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1898.2292406878805</v>
      </c>
      <c r="U10" s="178">
        <f>'Données projet'!D9</f>
        <v>34.358849999999997</v>
      </c>
      <c r="V10" s="177">
        <f>U10*T10</f>
        <v>65220.973746408774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pédonculé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-3963.6742154360522</v>
      </c>
      <c r="U11" s="178">
        <f>'Données projet'!D10</f>
        <v>0.25458750000000002</v>
      </c>
      <c r="V11" s="177">
        <f t="shared" ref="V11" si="0">U11*T11</f>
        <v>-1009.101909322326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tauzin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-6126.157335706177</v>
      </c>
      <c r="U12" s="178">
        <f>'Données projet'!D11</f>
        <v>0.18134999999999998</v>
      </c>
      <c r="V12" s="177">
        <f t="shared" ref="V12:V19" si="1">U12*T12</f>
        <v>-1110.9786328303151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Chêne-liège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-2954.4215125065566</v>
      </c>
      <c r="U13" s="178">
        <f>'Données projet'!D12</f>
        <v>8.0212499999999992E-2</v>
      </c>
      <c r="V13" s="177">
        <f t="shared" si="1"/>
        <v>-236.98153557193214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45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v>700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44.999999999999979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1349.9999999999993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v>4500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f>IF(H20+1&lt;=MIN('Données projet'!$E$9:$E$18),H20+1,"STOP")</f>
        <v>1</v>
      </c>
      <c r="I21" s="191">
        <v>1000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f>IF(H21+1&lt;=MIN('Données projet'!$E$9:$E$18),H21+1,"STOP")</f>
        <v>2</v>
      </c>
      <c r="I22" s="191">
        <v>300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9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f>IF(H22+1&lt;=MIN('Données projet'!$E$9:$E$18),H22+1,"STOP")</f>
        <v>3</v>
      </c>
      <c r="I23" s="191">
        <v>550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-225221.86022856299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12</v>
      </c>
      <c r="B24" s="181">
        <f>'Données projet'!D37</f>
        <v>42.784615384615378</v>
      </c>
      <c r="C24" s="193">
        <v>10</v>
      </c>
      <c r="D24" s="182">
        <f t="shared" ref="D24:D42" si="2">B24*C24</f>
        <v>427.84615384615381</v>
      </c>
      <c r="E24" s="193"/>
      <c r="F24" s="233"/>
      <c r="H24" s="190">
        <f>IF(H23+1&lt;=MIN('Données projet'!$E$9:$E$18),H23+1,"STOP")</f>
        <v>4</v>
      </c>
      <c r="I24" s="191">
        <v>300</v>
      </c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6495.534811968012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16</v>
      </c>
      <c r="B25" s="181">
        <f>'Données projet'!D38</f>
        <v>60.576923076923073</v>
      </c>
      <c r="C25" s="193">
        <v>30</v>
      </c>
      <c r="D25" s="182">
        <f t="shared" si="2"/>
        <v>1817.3076923076922</v>
      </c>
      <c r="E25" s="193"/>
      <c r="F25" s="233"/>
      <c r="H25" s="190">
        <f>IF(H24+1&lt;=MIN('Données projet'!$E$9:$E$18),H24+1,"STOP")</f>
        <v>5</v>
      </c>
      <c r="I25" s="191">
        <v>300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-231717.395040531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20</v>
      </c>
      <c r="B26" s="181">
        <f>'Données projet'!D39</f>
        <v>48.253846153846148</v>
      </c>
      <c r="C26" s="193">
        <v>35</v>
      </c>
      <c r="D26" s="182">
        <f t="shared" si="2"/>
        <v>1688.8846153846152</v>
      </c>
      <c r="E26" s="193"/>
      <c r="F26" s="233"/>
      <c r="G26" s="229"/>
      <c r="H26" s="190">
        <f>IF(H25+1&lt;=MIN('Données projet'!$E$9:$E$18),H25+1,"STOP")</f>
        <v>6</v>
      </c>
      <c r="I26" s="191">
        <v>60</v>
      </c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25</v>
      </c>
      <c r="B27" s="181">
        <f>'Données projet'!D40</f>
        <v>56.130769230769225</v>
      </c>
      <c r="C27" s="193">
        <v>40</v>
      </c>
      <c r="D27" s="182">
        <f t="shared" si="2"/>
        <v>2245.2307692307691</v>
      </c>
      <c r="E27" s="193"/>
      <c r="F27" s="233"/>
      <c r="G27" s="229"/>
      <c r="H27" s="190">
        <f>IF(H26+1&lt;=MIN('Données projet'!$E$9:$E$18),H26+1,"STOP")</f>
        <v>7</v>
      </c>
      <c r="I27" s="191">
        <v>150</v>
      </c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30</v>
      </c>
      <c r="B28" s="181">
        <f>'Données projet'!D41</f>
        <v>0</v>
      </c>
      <c r="C28" s="193">
        <v>40</v>
      </c>
      <c r="D28" s="182">
        <f t="shared" si="2"/>
        <v>0</v>
      </c>
      <c r="E28" s="193"/>
      <c r="F28" s="233"/>
      <c r="G28" s="205"/>
      <c r="H28" s="190">
        <f>IF(H27+1&lt;=MIN('Données projet'!$E$9:$E$18),H27+1,"STOP")</f>
        <v>8</v>
      </c>
      <c r="I28" s="191">
        <v>60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35</v>
      </c>
      <c r="B29" s="181">
        <f>'Données projet'!D42</f>
        <v>335.83076923076919</v>
      </c>
      <c r="C29" s="193"/>
      <c r="D29" s="182">
        <f t="shared" si="2"/>
        <v>0</v>
      </c>
      <c r="E29" s="193"/>
      <c r="F29" s="233"/>
      <c r="G29" s="203"/>
      <c r="H29" s="190">
        <f>IF(H28+1&lt;=MIN('Données projet'!$E$9:$E$18),H28+1,"STOP")</f>
        <v>9</v>
      </c>
      <c r="I29" s="191">
        <v>60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>
        <f>IF(H29+1&lt;=MIN('Données projet'!$E$9:$E$18),H29+1,"STOP")</f>
        <v>10</v>
      </c>
      <c r="I30" s="191">
        <v>1000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f>IF(H30+1&lt;=MIN('Données projet'!$E$9:$E$18),H30+1,"STOP")</f>
        <v>11</v>
      </c>
      <c r="I31" s="191">
        <v>60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f>IF(H31+1&lt;=MIN('Données projet'!$E$9:$E$18),H31+1,"STOP")</f>
        <v>12</v>
      </c>
      <c r="I32" s="191">
        <v>60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f>IF(H32+1&lt;=MIN('Données projet'!$E$9:$E$18),H32+1,"STOP")</f>
        <v>13</v>
      </c>
      <c r="I33" s="191">
        <v>150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f>IF(H33+1&lt;=MIN('Données projet'!$E$9:$E$18),H33+1,"STOP")</f>
        <v>14</v>
      </c>
      <c r="I34" s="191">
        <v>60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f>IF(H34+1&lt;=MIN('Données projet'!$E$9:$E$18),H34+1,"STOP")</f>
        <v>15</v>
      </c>
      <c r="I35" s="191">
        <v>60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f>IF(H35+1&lt;=MIN('Données projet'!$E$9:$E$18),H35+1,"STOP")</f>
        <v>16</v>
      </c>
      <c r="I36" s="191">
        <v>60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f>IF(H36+1&lt;=MIN('Données projet'!$E$9:$E$18),H36+1,"STOP")</f>
        <v>17</v>
      </c>
      <c r="I37" s="191">
        <v>60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f>IF(H37+1&lt;=MIN('Données projet'!$E$9:$E$18),H37+1,"STOP")</f>
        <v>18</v>
      </c>
      <c r="I38" s="191">
        <v>150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f>IF(H38+1&lt;=MIN('Données projet'!$E$9:$E$18),H38+1,"STOP")</f>
        <v>19</v>
      </c>
      <c r="I39" s="191">
        <v>60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f>IF(H39+1&lt;=MIN('Données projet'!$E$9:$E$18),H39+1,"STOP")</f>
        <v>20</v>
      </c>
      <c r="I40" s="191">
        <v>150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f>IF(H40+1&lt;=MIN('Données projet'!$E$9:$E$18),H40+1,"STOP")</f>
        <v>21</v>
      </c>
      <c r="I41" s="191">
        <v>60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f>IF(H41+1&lt;=MIN('Données projet'!$E$9:$E$18),H41+1,"STOP")</f>
        <v>22</v>
      </c>
      <c r="I42" s="191">
        <v>60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f>IF(H42+1&lt;=MIN('Données projet'!$E$9:$E$18),H42+1,"STOP")</f>
        <v>23</v>
      </c>
      <c r="I43" s="191">
        <v>60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f>IF(H43+1&lt;=MIN('Données projet'!$E$9:$E$18),H43+1,"STOP")</f>
        <v>24</v>
      </c>
      <c r="I44" s="191">
        <v>150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pédonculé</v>
      </c>
      <c r="C45" s="4"/>
      <c r="D45" s="4"/>
      <c r="E45" s="4"/>
      <c r="F45" s="230"/>
      <c r="G45" s="203"/>
      <c r="H45" s="190">
        <f>IF(H44+1&lt;=MIN('Données projet'!$E$9:$E$18),H44+1,"STOP")</f>
        <v>25</v>
      </c>
      <c r="I45" s="191">
        <v>60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f>IF(H45+1&lt;=MIN('Données projet'!$E$9:$E$18),H45+1,"STOP")</f>
        <v>26</v>
      </c>
      <c r="I46" s="191">
        <v>60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f>IF(H46+1&lt;=MIN('Données projet'!$E$9:$E$18),H46+1,"STOP")</f>
        <v>27</v>
      </c>
      <c r="I47" s="191">
        <v>60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v>4500</v>
      </c>
      <c r="F48" s="231"/>
      <c r="G48" s="203"/>
      <c r="H48" s="190">
        <f>IF(H47+1&lt;=MIN('Données projet'!$E$9:$E$18),H47+1,"STOP")</f>
        <v>28</v>
      </c>
      <c r="I48" s="191">
        <v>60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f>IF(H48+1&lt;=MIN('Données projet'!$E$9:$E$18),H48+1,"STOP")</f>
        <v>29</v>
      </c>
      <c r="I49" s="191">
        <v>150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f>IF(H49+1&lt;=MIN('Données projet'!$E$9:$E$18),H49+1,"STOP")</f>
        <v>30</v>
      </c>
      <c r="I50" s="191">
        <v>150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f>IF(H50+1&lt;=MIN('Données projet'!$E$9:$E$18),H50+1,"STOP")</f>
        <v>31</v>
      </c>
      <c r="I51" s="191">
        <v>60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f>IF(H51+1&lt;=MIN('Données projet'!$E$9:$E$18),H51+1,"STOP")</f>
        <v>32</v>
      </c>
      <c r="I52" s="191">
        <v>60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f>IF(H52+1&lt;=MIN('Données projet'!$E$9:$E$18),H52+1,"STOP")</f>
        <v>33</v>
      </c>
      <c r="I53" s="191">
        <v>60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11</v>
      </c>
      <c r="C54" s="191">
        <v>10</v>
      </c>
      <c r="D54" s="179">
        <f>B54*C54</f>
        <v>110</v>
      </c>
      <c r="E54" s="193"/>
      <c r="F54" s="232"/>
      <c r="G54" s="205"/>
      <c r="H54" s="190">
        <f>IF(H53+1&lt;=MIN('Données projet'!$E$9:$E$18),H53+1,"STOP")</f>
        <v>34</v>
      </c>
      <c r="I54" s="191">
        <v>60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30</v>
      </c>
      <c r="B55" s="181">
        <f>'Données projet'!D63</f>
        <v>32</v>
      </c>
      <c r="C55" s="191">
        <v>15</v>
      </c>
      <c r="D55" s="179">
        <f t="shared" ref="D55:D73" si="4">B55*C55</f>
        <v>480</v>
      </c>
      <c r="E55" s="193"/>
      <c r="F55" s="232"/>
      <c r="G55" s="205"/>
      <c r="H55" s="190">
        <f>IF(H54+1&lt;=MIN('Données projet'!$E$9:$E$18),H54+1,"STOP")</f>
        <v>35</v>
      </c>
      <c r="I55" s="191">
        <v>60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40</v>
      </c>
      <c r="B56" s="181">
        <f>'Données projet'!D64</f>
        <v>39</v>
      </c>
      <c r="C56" s="191">
        <v>25</v>
      </c>
      <c r="D56" s="179">
        <f t="shared" si="4"/>
        <v>975</v>
      </c>
      <c r="E56" s="193"/>
      <c r="F56" s="232"/>
      <c r="G56" s="205"/>
      <c r="H56" s="190" t="str">
        <f>IF(H55+1&lt;=MIN('Données projet'!$E$9:$E$18),H55+1,"STOP")</f>
        <v>STOP</v>
      </c>
      <c r="I56" s="191">
        <v>60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50</v>
      </c>
      <c r="B57" s="181">
        <f>'Données projet'!D65</f>
        <v>43</v>
      </c>
      <c r="C57" s="191">
        <v>25</v>
      </c>
      <c r="D57" s="179">
        <f t="shared" si="4"/>
        <v>1075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60</v>
      </c>
      <c r="B58" s="181">
        <f>'Données projet'!D66</f>
        <v>44</v>
      </c>
      <c r="C58" s="191">
        <v>25</v>
      </c>
      <c r="D58" s="179">
        <f t="shared" si="4"/>
        <v>1100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70</v>
      </c>
      <c r="B59" s="181">
        <f>'Données projet'!D67</f>
        <v>44</v>
      </c>
      <c r="C59" s="191">
        <v>25</v>
      </c>
      <c r="D59" s="179">
        <f t="shared" si="4"/>
        <v>1100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80</v>
      </c>
      <c r="B60" s="181">
        <f>'Données projet'!D68</f>
        <v>43</v>
      </c>
      <c r="C60" s="191">
        <v>25</v>
      </c>
      <c r="D60" s="179">
        <f t="shared" si="4"/>
        <v>1075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90</v>
      </c>
      <c r="B61" s="181">
        <f>'Données projet'!D69</f>
        <v>40</v>
      </c>
      <c r="C61" s="191">
        <v>25</v>
      </c>
      <c r="D61" s="179">
        <f t="shared" si="4"/>
        <v>1000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100</v>
      </c>
      <c r="B62" s="181">
        <f>'Données projet'!D70</f>
        <v>37</v>
      </c>
      <c r="C62" s="191">
        <v>25</v>
      </c>
      <c r="D62" s="179">
        <f t="shared" si="4"/>
        <v>925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110</v>
      </c>
      <c r="B63" s="181">
        <f>'Données projet'!D71</f>
        <v>34</v>
      </c>
      <c r="C63" s="191">
        <v>25</v>
      </c>
      <c r="D63" s="179">
        <f t="shared" si="4"/>
        <v>850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120</v>
      </c>
      <c r="B64" s="181">
        <f>'Données projet'!D72</f>
        <v>31</v>
      </c>
      <c r="C64" s="191">
        <v>40</v>
      </c>
      <c r="D64" s="179">
        <f t="shared" si="4"/>
        <v>1240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str">
        <f>IF(O68+1&lt;=MIN('Données projet'!$E$9:$E$18),O68+1,"STOP")</f>
        <v>STOP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Chêne tauzin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v>6500</v>
      </c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30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44</v>
      </c>
      <c r="B86" s="181">
        <f>'Données projet'!D89</f>
        <v>64.416666666666657</v>
      </c>
      <c r="C86" s="191">
        <v>10</v>
      </c>
      <c r="D86" s="179">
        <f t="shared" ref="D86:D104" si="6">B86*C86</f>
        <v>644.16666666666652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51</v>
      </c>
      <c r="B87" s="181">
        <f>'Données projet'!D90</f>
        <v>37.685897435897431</v>
      </c>
      <c r="C87" s="191">
        <v>15</v>
      </c>
      <c r="D87" s="179">
        <f t="shared" si="6"/>
        <v>565.28846153846143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59</v>
      </c>
      <c r="B88" s="181">
        <f>'Données projet'!D91</f>
        <v>38.942307692307693</v>
      </c>
      <c r="C88" s="191">
        <v>25</v>
      </c>
      <c r="D88" s="179">
        <f t="shared" si="6"/>
        <v>973.55769230769238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67</v>
      </c>
      <c r="B89" s="181">
        <f>'Données projet'!D92</f>
        <v>31.993589743589741</v>
      </c>
      <c r="C89" s="191">
        <v>25</v>
      </c>
      <c r="D89" s="179">
        <f t="shared" si="6"/>
        <v>799.83974358974353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75</v>
      </c>
      <c r="B90" s="181">
        <f>'Données projet'!D93</f>
        <v>30.916666666666664</v>
      </c>
      <c r="C90" s="191">
        <v>25</v>
      </c>
      <c r="D90" s="179">
        <f t="shared" si="6"/>
        <v>772.91666666666663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84</v>
      </c>
      <c r="B91" s="181">
        <f>'Données projet'!D94</f>
        <v>35.083333333333329</v>
      </c>
      <c r="C91" s="191">
        <v>25</v>
      </c>
      <c r="D91" s="179">
        <f t="shared" si="6"/>
        <v>877.08333333333326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93</v>
      </c>
      <c r="B92" s="181">
        <f>'Données projet'!D95</f>
        <v>30.083333333333332</v>
      </c>
      <c r="C92" s="191">
        <v>25</v>
      </c>
      <c r="D92" s="179">
        <f t="shared" si="6"/>
        <v>752.08333333333326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103</v>
      </c>
      <c r="B93" s="181">
        <f>'Données projet'!D96</f>
        <v>39.512820512820511</v>
      </c>
      <c r="C93" s="191">
        <v>25</v>
      </c>
      <c r="D93" s="179">
        <f t="shared" si="6"/>
        <v>987.82051282051282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113</v>
      </c>
      <c r="B94" s="181">
        <f>'Données projet'!D97</f>
        <v>31.602564102564099</v>
      </c>
      <c r="C94" s="191">
        <v>25</v>
      </c>
      <c r="D94" s="179">
        <f t="shared" si="6"/>
        <v>790.06410256410243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125</v>
      </c>
      <c r="B95" s="181">
        <f>'Données projet'!D98</f>
        <v>48.160256410256409</v>
      </c>
      <c r="C95" s="191">
        <v>40</v>
      </c>
      <c r="D95" s="179">
        <f t="shared" si="6"/>
        <v>1926.4102564102564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137</v>
      </c>
      <c r="B96" s="181">
        <f>'Données projet'!D99</f>
        <v>51.160256410256409</v>
      </c>
      <c r="C96" s="191">
        <v>40</v>
      </c>
      <c r="D96" s="179">
        <f t="shared" si="6"/>
        <v>2046.4102564102564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149</v>
      </c>
      <c r="B97" s="181">
        <f>'Données projet'!D100</f>
        <v>120.50641025641026</v>
      </c>
      <c r="C97" s="191">
        <v>40</v>
      </c>
      <c r="D97" s="179">
        <f t="shared" si="6"/>
        <v>4820.2564102564102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153</v>
      </c>
      <c r="B98" s="181">
        <f>'Données projet'!D101</f>
        <v>70.115384615384613</v>
      </c>
      <c r="C98" s="191">
        <v>40</v>
      </c>
      <c r="D98" s="179">
        <f t="shared" si="6"/>
        <v>2804.6153846153848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157</v>
      </c>
      <c r="B99" s="181">
        <f>'Données projet'!D102</f>
        <v>45.71153846153846</v>
      </c>
      <c r="C99" s="191">
        <v>40</v>
      </c>
      <c r="D99" s="179">
        <f t="shared" si="6"/>
        <v>1828.4615384615383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161</v>
      </c>
      <c r="B100" s="181">
        <f>'Données projet'!D103</f>
        <v>91.365384615384613</v>
      </c>
      <c r="C100" s="191">
        <v>40</v>
      </c>
      <c r="D100" s="179">
        <f t="shared" si="6"/>
        <v>3654.6153846153848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Chêne-liège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3000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10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20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30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40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50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60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70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80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90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100</v>
      </c>
      <c r="B125" s="181">
        <f>'Données projet'!D123</f>
        <v>247.91208324870993</v>
      </c>
      <c r="C125" s="191">
        <v>15</v>
      </c>
      <c r="D125" s="179">
        <f t="shared" si="8"/>
        <v>3718.6812487306488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Laurence DEGOUL SAINT JEAN</cp:lastModifiedBy>
  <cp:lastPrinted>2025-02-20T13:13:46Z</cp:lastPrinted>
  <dcterms:created xsi:type="dcterms:W3CDTF">2021-02-01T08:22:39Z</dcterms:created>
  <dcterms:modified xsi:type="dcterms:W3CDTF">2025-07-03T12:33:40Z</dcterms:modified>
</cp:coreProperties>
</file>