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ierroton\BAYLE FREDERIC- GENISSAC (33)-SWC-E11\Dossier déposé 02 07 25\"/>
    </mc:Choice>
  </mc:AlternateContent>
  <xr:revisionPtr revIDLastSave="0" documentId="13_ncr:1_{B4ADE36A-6233-4342-AD35-7D91A8B9EAC1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3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D154" i="2"/>
  <c r="EY154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FS156" i="2"/>
  <c r="EY155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FS161" i="2"/>
  <c r="EX161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C162" i="2"/>
  <c r="ED161" i="2"/>
  <c r="EY161" i="2"/>
  <c r="EB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A164" i="2"/>
  <c r="ED163" i="2"/>
  <c r="FR164" i="2"/>
  <c r="EY163" i="2"/>
  <c r="EX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D171" i="2"/>
  <c r="EA172" i="2"/>
  <c r="EB172" i="2"/>
  <c r="EY171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X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Y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Y184" i="2"/>
  <c r="EV185" i="2"/>
  <c r="ED184" i="2"/>
  <c r="EW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B186" i="2"/>
  <c r="FS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Y186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A199" i="2" l="1"/>
  <c r="EW199" i="2"/>
  <c r="EY198" i="2"/>
  <c r="EV199" i="2"/>
  <c r="EB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B201" i="2"/>
  <c r="FS201" i="2"/>
  <c r="ED200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FS202" i="2"/>
  <c r="EX202" i="2"/>
  <c r="EY201" i="2"/>
  <c r="FZ6" i="2"/>
  <c r="EW202" i="2"/>
  <c r="FR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126" i="2" a="1"/>
  <c r="BC126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37" i="2" a="1"/>
  <c r="DN137" i="2" s="1"/>
  <c r="DN29" i="2" a="1"/>
  <c r="DN29" i="2" s="1"/>
  <c r="DN129" i="2" a="1"/>
  <c r="DN129" i="2" s="1"/>
  <c r="DN170" i="2" a="1"/>
  <c r="DN170" i="2" s="1"/>
  <c r="DN153" i="2" a="1"/>
  <c r="DN153" i="2" s="1"/>
  <c r="DN188" i="2" a="1"/>
  <c r="DN188" i="2" s="1"/>
  <c r="DN103" i="2" a="1"/>
  <c r="DN10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32" i="2" a="1"/>
  <c r="BC32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57" i="2" a="1"/>
  <c r="EI57" i="2" s="1"/>
  <c r="EI20" i="2" a="1"/>
  <c r="EI20" i="2" s="1"/>
  <c r="EI128" i="2" a="1"/>
  <c r="EI128" i="2" s="1"/>
  <c r="EI113" i="2" a="1"/>
  <c r="EI113" i="2" s="1"/>
  <c r="EI16" i="2" a="1"/>
  <c r="EI16" i="2" s="1"/>
  <c r="EI139" i="2" a="1"/>
  <c r="EI139" i="2" s="1"/>
  <c r="EI37" i="2" a="1"/>
  <c r="EI37" i="2" s="1"/>
  <c r="DN16" i="2" a="1"/>
  <c r="DN16" i="2" s="1"/>
  <c r="DN167" i="2" a="1"/>
  <c r="DN167" i="2" s="1"/>
  <c r="DN110" i="2" a="1"/>
  <c r="DN110" i="2" s="1"/>
  <c r="DN65" i="2" a="1"/>
  <c r="DN65" i="2" s="1"/>
  <c r="DN133" i="2" a="1"/>
  <c r="DN133" i="2" s="1"/>
  <c r="DN190" i="2" a="1"/>
  <c r="DN190" i="2" s="1"/>
  <c r="DN6" i="2" a="1"/>
  <c r="DN6" i="2" s="1"/>
  <c r="DO6" i="2" s="1"/>
  <c r="DN46" i="2" a="1"/>
  <c r="DN46" i="2" s="1"/>
  <c r="DN30" i="2" a="1"/>
  <c r="DN30" i="2" s="1"/>
  <c r="DN132" i="2" a="1"/>
  <c r="DN132" i="2" s="1"/>
  <c r="BX107" i="2" a="1"/>
  <c r="BX107" i="2" s="1"/>
  <c r="DN187" i="2" a="1"/>
  <c r="DN187" i="2" s="1"/>
  <c r="HJ202" i="2"/>
  <c r="AX200" i="2"/>
  <c r="AH199" i="2" l="1" a="1"/>
  <c r="AH199" i="2" s="1"/>
  <c r="CS185" i="2" a="1"/>
  <c r="CS185" i="2" s="1"/>
  <c r="CS134" i="2" a="1"/>
  <c r="CS134" i="2" s="1"/>
  <c r="CS129" i="2" a="1"/>
  <c r="CS129" i="2" s="1"/>
  <c r="CS66" i="2" a="1"/>
  <c r="CS66" i="2" s="1"/>
  <c r="CS105" i="2" a="1"/>
  <c r="CS105" i="2" s="1"/>
  <c r="CS77" i="2" a="1"/>
  <c r="CS77" i="2" s="1"/>
  <c r="CS137" i="2" a="1"/>
  <c r="CS137" i="2" s="1"/>
  <c r="CS38" i="2" a="1"/>
  <c r="CS38" i="2" s="1"/>
  <c r="CS161" i="2" a="1"/>
  <c r="CS161" i="2" s="1"/>
  <c r="CS116" i="2" a="1"/>
  <c r="CS116" i="2" s="1"/>
  <c r="CS52" i="2" a="1"/>
  <c r="CS52" i="2" s="1"/>
  <c r="CS72" i="2" a="1"/>
  <c r="CS72" i="2" s="1"/>
  <c r="CS114" i="2" a="1"/>
  <c r="CS114" i="2" s="1"/>
  <c r="CS120" i="2" a="1"/>
  <c r="CS120" i="2" s="1"/>
  <c r="CS24" i="2" a="1"/>
  <c r="CS24" i="2" s="1"/>
  <c r="CS56" i="2" a="1"/>
  <c r="CS56" i="2" s="1"/>
  <c r="BC114" i="2" a="1"/>
  <c r="BC114" i="2" s="1"/>
  <c r="BC192" i="2" a="1"/>
  <c r="BC192" i="2" s="1"/>
  <c r="BC55" i="2" a="1"/>
  <c r="BC55" i="2" s="1"/>
  <c r="BC164" i="2" a="1"/>
  <c r="BC164" i="2" s="1"/>
  <c r="BC65" i="2" a="1"/>
  <c r="BC65" i="2" s="1"/>
  <c r="BC47" i="2" a="1"/>
  <c r="BC47" i="2" s="1"/>
  <c r="BC151" i="2" a="1"/>
  <c r="BC151" i="2" s="1"/>
  <c r="BC68" i="2" a="1"/>
  <c r="BC68" i="2" s="1"/>
  <c r="BC82" i="2" a="1"/>
  <c r="BC82" i="2" s="1"/>
  <c r="BC58" i="2" a="1"/>
  <c r="BC58" i="2" s="1"/>
  <c r="BC130" i="2" a="1"/>
  <c r="BC130" i="2" s="1"/>
  <c r="BC185" i="2" a="1"/>
  <c r="BC185" i="2" s="1"/>
  <c r="BC34" i="2" a="1"/>
  <c r="BC34" i="2" s="1"/>
  <c r="BC38" i="2" a="1"/>
  <c r="BC38" i="2" s="1"/>
  <c r="BC143" i="2" a="1"/>
  <c r="BC143" i="2" s="1"/>
  <c r="BC7" i="2" a="1"/>
  <c r="BC7" i="2" s="1"/>
  <c r="BC31" i="2" a="1"/>
  <c r="BC31" i="2" s="1"/>
  <c r="BC83" i="2" a="1"/>
  <c r="BC83" i="2" s="1"/>
  <c r="BC84" i="2" a="1"/>
  <c r="BC84" i="2" s="1"/>
  <c r="BC117" i="2" a="1"/>
  <c r="BC117" i="2" s="1"/>
  <c r="DN152" i="2" a="1"/>
  <c r="DN152" i="2" s="1"/>
  <c r="DN162" i="2" a="1"/>
  <c r="DN162" i="2" s="1"/>
  <c r="DN135" i="2" a="1"/>
  <c r="DN135" i="2" s="1"/>
  <c r="DN123" i="2" a="1"/>
  <c r="DN123" i="2" s="1"/>
  <c r="DN38" i="2" a="1"/>
  <c r="DN38" i="2" s="1"/>
  <c r="DN66" i="2" a="1"/>
  <c r="DN66" i="2" s="1"/>
  <c r="EI71" i="2" a="1"/>
  <c r="EI71" i="2" s="1"/>
  <c r="EI36" i="2" a="1"/>
  <c r="EI36" i="2" s="1"/>
  <c r="EI109" i="2" a="1"/>
  <c r="EI109" i="2" s="1"/>
  <c r="EI38" i="2" a="1"/>
  <c r="EI38" i="2" s="1"/>
  <c r="EI35" i="2" a="1"/>
  <c r="EI35" i="2" s="1"/>
  <c r="EI142" i="2" a="1"/>
  <c r="EI142" i="2" s="1"/>
  <c r="EI67" i="2" a="1"/>
  <c r="EI67" i="2" s="1"/>
  <c r="EI170" i="2" a="1"/>
  <c r="EI170" i="2" s="1"/>
  <c r="EI178" i="2" a="1"/>
  <c r="EI178" i="2" s="1"/>
  <c r="EI162" i="2" a="1"/>
  <c r="EI162" i="2" s="1"/>
  <c r="EI29" i="2" a="1"/>
  <c r="EI29" i="2" s="1"/>
  <c r="EI34" i="2" a="1"/>
  <c r="EI34" i="2" s="1"/>
  <c r="EI165" i="2" a="1"/>
  <c r="EI165" i="2" s="1"/>
  <c r="EI145" i="2" a="1"/>
  <c r="EI145" i="2" s="1"/>
  <c r="EI150" i="2" a="1"/>
  <c r="EI150" i="2" s="1"/>
  <c r="EI106" i="2" a="1"/>
  <c r="EI106" i="2" s="1"/>
  <c r="EI87" i="2" a="1"/>
  <c r="EI87" i="2" s="1"/>
  <c r="EI153" i="2" a="1"/>
  <c r="EI153" i="2" s="1"/>
  <c r="EI166" i="2" a="1"/>
  <c r="EI166" i="2" s="1"/>
  <c r="EI198" i="2" a="1"/>
  <c r="EI198" i="2" s="1"/>
  <c r="EI195" i="2" a="1"/>
  <c r="EI195" i="2" s="1"/>
  <c r="DN86" i="2" a="1"/>
  <c r="DN86" i="2" s="1"/>
  <c r="DN41" i="2" a="1"/>
  <c r="DN41" i="2" s="1"/>
  <c r="DN49" i="2" a="1"/>
  <c r="DN49" i="2" s="1"/>
  <c r="DN177" i="2" a="1"/>
  <c r="DN177" i="2" s="1"/>
  <c r="DN43" i="2" a="1"/>
  <c r="DN43" i="2" s="1"/>
  <c r="DN176" i="2" a="1"/>
  <c r="DN176" i="2" s="1"/>
  <c r="DN164" i="2" a="1"/>
  <c r="DN164" i="2" s="1"/>
  <c r="DN114" i="2" a="1"/>
  <c r="DN114" i="2" s="1"/>
  <c r="DN115" i="2" a="1"/>
  <c r="DN115" i="2" s="1"/>
  <c r="DN186" i="2" a="1"/>
  <c r="DN186" i="2" s="1"/>
  <c r="DN70" i="2" a="1"/>
  <c r="DN70" i="2" s="1"/>
  <c r="DN63" i="2" a="1"/>
  <c r="DN63" i="2" s="1"/>
  <c r="DN50" i="2" a="1"/>
  <c r="DN50" i="2" s="1"/>
  <c r="DN124" i="2" a="1"/>
  <c r="DN124" i="2" s="1"/>
  <c r="DN45" i="2" a="1"/>
  <c r="DN45" i="2" s="1"/>
  <c r="DN55" i="2" a="1"/>
  <c r="DN55" i="2" s="1"/>
  <c r="DN80" i="2" a="1"/>
  <c r="DN80" i="2" s="1"/>
  <c r="DN113" i="2" a="1"/>
  <c r="DN113" i="2" s="1"/>
  <c r="DN25" i="2" a="1"/>
  <c r="DN25" i="2" s="1"/>
  <c r="DN155" i="2" a="1"/>
  <c r="DN155" i="2" s="1"/>
  <c r="DN56" i="2" a="1"/>
  <c r="DN56" i="2" s="1"/>
  <c r="DN150" i="2" a="1"/>
  <c r="DN150" i="2" s="1"/>
  <c r="DN31" i="2" a="1"/>
  <c r="DN31" i="2" s="1"/>
  <c r="DN168" i="2" a="1"/>
  <c r="DN168" i="2" s="1"/>
  <c r="DN192" i="2" a="1"/>
  <c r="DN192" i="2" s="1"/>
  <c r="DN184" i="2" a="1"/>
  <c r="DN184" i="2" s="1"/>
  <c r="FD187" i="2" a="1"/>
  <c r="FD187" i="2" s="1"/>
  <c r="FD194" i="2" a="1"/>
  <c r="FD194" i="2" s="1"/>
  <c r="FD131" i="2" a="1"/>
  <c r="FD131" i="2" s="1"/>
  <c r="FD43" i="2" a="1"/>
  <c r="FD43" i="2" s="1"/>
  <c r="FD64" i="2" a="1"/>
  <c r="FD64" i="2" s="1"/>
  <c r="FD189" i="2" a="1"/>
  <c r="FD189" i="2" s="1"/>
  <c r="FD14" i="2" a="1"/>
  <c r="FD14" i="2" s="1"/>
  <c r="FD48" i="2" a="1"/>
  <c r="FD48" i="2" s="1"/>
  <c r="FS203" i="2"/>
  <c r="FD160" i="2" a="1"/>
  <c r="FD160" i="2" s="1"/>
  <c r="FD59" i="2" a="1"/>
  <c r="FD59" i="2" s="1"/>
  <c r="FD137" i="2" a="1"/>
  <c r="FD137" i="2" s="1"/>
  <c r="FD60" i="2" a="1"/>
  <c r="FD60" i="2" s="1"/>
  <c r="FD144" i="2" a="1"/>
  <c r="FD144" i="2" s="1"/>
  <c r="FD44" i="2" a="1"/>
  <c r="FD44" i="2" s="1"/>
  <c r="FD188" i="2" a="1"/>
  <c r="FD188" i="2" s="1"/>
  <c r="FD159" i="2" a="1"/>
  <c r="FD159" i="2" s="1"/>
  <c r="FD21" i="2" a="1"/>
  <c r="FD21" i="2" s="1"/>
  <c r="FD107" i="2" a="1"/>
  <c r="FD107" i="2" s="1"/>
  <c r="FD19" i="2" a="1"/>
  <c r="FD19" i="2" s="1"/>
  <c r="FD82" i="2" a="1"/>
  <c r="FD82" i="2" s="1"/>
  <c r="FD167" i="2" a="1"/>
  <c r="FD167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T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GE123" i="2" l="1"/>
  <c r="GE11" i="2"/>
  <c r="GE61" i="2"/>
  <c r="GE139" i="2"/>
  <c r="GE65" i="2"/>
  <c r="GE145" i="2"/>
  <c r="GE154" i="2"/>
  <c r="GE146" i="2"/>
  <c r="GE160" i="2"/>
  <c r="GE194" i="2"/>
  <c r="GE131" i="2"/>
  <c r="GE64" i="2"/>
  <c r="GE192" i="2"/>
  <c r="GE85" i="2"/>
  <c r="GE114" i="2"/>
  <c r="GE106" i="2"/>
  <c r="GE130" i="2"/>
  <c r="GE174" i="2"/>
  <c r="GE195" i="2"/>
  <c r="GE53" i="2"/>
  <c r="GE96" i="2"/>
  <c r="GE95" i="2"/>
  <c r="GE121" i="2"/>
  <c r="GE16" i="2"/>
  <c r="GE22" i="2"/>
  <c r="GE17" i="2"/>
  <c r="GE33" i="2"/>
  <c r="GE102" i="2"/>
  <c r="GE198" i="2"/>
  <c r="GE187" i="2"/>
  <c r="GE82" i="2"/>
  <c r="GE158" i="2"/>
  <c r="GE188" i="2"/>
  <c r="GE41" i="2"/>
  <c r="GE107" i="2"/>
  <c r="GE44" i="2"/>
  <c r="GE178" i="2"/>
  <c r="GE142" i="2"/>
  <c r="GE168" i="2"/>
  <c r="GE109" i="2"/>
  <c r="GE110" i="2"/>
  <c r="GE162" i="2"/>
  <c r="GE34" i="2"/>
  <c r="GE45" i="2"/>
  <c r="GE117" i="2"/>
  <c r="GE181" i="2"/>
  <c r="GE169" i="2"/>
  <c r="GE149" i="2"/>
  <c r="GE54" i="2"/>
  <c r="GE37" i="2"/>
  <c r="GE77" i="2"/>
  <c r="GE35" i="2"/>
  <c r="GE49" i="2"/>
  <c r="GE134" i="2"/>
  <c r="GE84" i="2"/>
  <c r="GE4" i="2"/>
  <c r="GE27" i="2"/>
  <c r="GE19" i="2"/>
  <c r="GE156" i="2"/>
  <c r="GE12" i="2"/>
  <c r="GE29" i="2"/>
  <c r="GE159" i="2"/>
  <c r="GE3" i="2"/>
  <c r="C14" i="4" s="1"/>
  <c r="E14" i="4" s="1"/>
  <c r="F14" i="4" s="1"/>
  <c r="G14" i="4" s="1"/>
  <c r="L14" i="4" s="1"/>
  <c r="GE141" i="2"/>
  <c r="GE74" i="2"/>
  <c r="GE31" i="2"/>
  <c r="GE10" i="2"/>
  <c r="GE18" i="2"/>
  <c r="GE20" i="2"/>
  <c r="GE90" i="2"/>
  <c r="GE120" i="2"/>
  <c r="GE40" i="2"/>
  <c r="GE172" i="2"/>
  <c r="GE113" i="2"/>
  <c r="GE105" i="2"/>
  <c r="GE8" i="2"/>
  <c r="GE47" i="2"/>
  <c r="GE184" i="2"/>
  <c r="GE108" i="2"/>
  <c r="GE155" i="2"/>
  <c r="GE56" i="2"/>
  <c r="GE43" i="2"/>
  <c r="GE46" i="2"/>
  <c r="GE23" i="2"/>
  <c r="GE125" i="2"/>
  <c r="GE176" i="2"/>
  <c r="GE80" i="2"/>
  <c r="GE189" i="2"/>
  <c r="GE179" i="2"/>
  <c r="GE58" i="2"/>
  <c r="GE140" i="2"/>
  <c r="GE112" i="2"/>
  <c r="GE137" i="2"/>
  <c r="GE136" i="2"/>
  <c r="GE72" i="2"/>
  <c r="GE68" i="2"/>
  <c r="GE86" i="2"/>
  <c r="GE144" i="2"/>
  <c r="GE9" i="2"/>
  <c r="GE26" i="2"/>
  <c r="GE39" i="2"/>
  <c r="GE104" i="2"/>
  <c r="GE132" i="2"/>
  <c r="GE36" i="2"/>
  <c r="GE147" i="2"/>
  <c r="GE78" i="2"/>
  <c r="GE50" i="2"/>
  <c r="GE88" i="2"/>
  <c r="GE175" i="2"/>
  <c r="GE170" i="2"/>
  <c r="GE203" i="2"/>
  <c r="GE199" i="2"/>
  <c r="GE197" i="2"/>
  <c r="GE138" i="2"/>
  <c r="GE32" i="2"/>
  <c r="GE71" i="2"/>
  <c r="GE52" i="2"/>
  <c r="GE101" i="2"/>
  <c r="GE48" i="2"/>
  <c r="GE55" i="2"/>
  <c r="GE152" i="2"/>
  <c r="GE21" i="2"/>
  <c r="GE115" i="2"/>
  <c r="GE57" i="2"/>
  <c r="GE200" i="2"/>
  <c r="GE7" i="2"/>
  <c r="GE14" i="2"/>
  <c r="GE79" i="2"/>
  <c r="GE91" i="2"/>
  <c r="GE166" i="2"/>
  <c r="GE30" i="2"/>
  <c r="GE164" i="2"/>
  <c r="GE143" i="2"/>
  <c r="GE171" i="2"/>
  <c r="GE98" i="2"/>
  <c r="GE153" i="2"/>
  <c r="GE165" i="2"/>
  <c r="GE70" i="2"/>
  <c r="GE24" i="2"/>
  <c r="GE111" i="2"/>
  <c r="GE180" i="2"/>
  <c r="GE163" i="2"/>
  <c r="GE133" i="2"/>
  <c r="GE103" i="2"/>
  <c r="GE127" i="2"/>
  <c r="GE59" i="2"/>
  <c r="GE119" i="2"/>
  <c r="GE100" i="2"/>
  <c r="GE75" i="2"/>
  <c r="GE148" i="2"/>
  <c r="GE151" i="2"/>
  <c r="GE28" i="2"/>
  <c r="GE128" i="2"/>
  <c r="GE193" i="2"/>
  <c r="GE25" i="2"/>
  <c r="GE202" i="2"/>
  <c r="GE83" i="2"/>
  <c r="GE116" i="2"/>
  <c r="GE126" i="2"/>
  <c r="GE87" i="2"/>
  <c r="GE66" i="2"/>
  <c r="GE89" i="2"/>
  <c r="GE62" i="2"/>
  <c r="GE15" i="2"/>
  <c r="GE173" i="2"/>
  <c r="GE161" i="2"/>
  <c r="GE99" i="2"/>
  <c r="GE60" i="2"/>
  <c r="GE42" i="2"/>
  <c r="GE69" i="2"/>
  <c r="GE38" i="2"/>
  <c r="GE92" i="2"/>
  <c r="GE191" i="2"/>
  <c r="GE97" i="2"/>
  <c r="GE177" i="2"/>
  <c r="GE51" i="2"/>
  <c r="GE81" i="2"/>
  <c r="GE124" i="2"/>
  <c r="GE186" i="2"/>
  <c r="GE182" i="2"/>
  <c r="GE135" i="2"/>
  <c r="GE167" i="2"/>
  <c r="GE190" i="2"/>
  <c r="GE5" i="2"/>
  <c r="GE183" i="2"/>
  <c r="GE13" i="2"/>
  <c r="GE76" i="2"/>
  <c r="GE6" i="2"/>
  <c r="GE201" i="2"/>
  <c r="GE73" i="2"/>
  <c r="GE185" i="2"/>
  <c r="GE157" i="2"/>
  <c r="GE94" i="2"/>
  <c r="GE129" i="2"/>
  <c r="GE67" i="2"/>
  <c r="GE118" i="2"/>
  <c r="GE63" i="2"/>
  <c r="GE150" i="2"/>
  <c r="GE93" i="2"/>
  <c r="GE122" i="2"/>
  <c r="GE196" i="2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J167" i="2" l="1"/>
  <c r="FJ32" i="2"/>
  <c r="FJ75" i="2"/>
  <c r="FJ131" i="2"/>
  <c r="FJ14" i="2"/>
  <c r="FJ187" i="2"/>
  <c r="FJ80" i="2"/>
  <c r="FJ136" i="2"/>
  <c r="FJ159" i="2"/>
  <c r="FJ163" i="2"/>
  <c r="FJ104" i="2"/>
  <c r="FJ18" i="2"/>
  <c r="FJ165" i="2"/>
  <c r="FJ46" i="2"/>
  <c r="FJ166" i="2"/>
  <c r="FJ128" i="2"/>
  <c r="FJ186" i="2"/>
  <c r="FJ181" i="2"/>
  <c r="FJ55" i="2"/>
  <c r="FJ30" i="2"/>
  <c r="FJ45" i="2"/>
  <c r="FJ144" i="2"/>
  <c r="FJ72" i="2"/>
  <c r="FJ143" i="2"/>
  <c r="FJ190" i="2"/>
  <c r="FJ17" i="2"/>
  <c r="FJ94" i="2"/>
  <c r="FJ41" i="2"/>
  <c r="FJ173" i="2"/>
  <c r="FJ117" i="2"/>
  <c r="FJ15" i="2"/>
  <c r="FJ157" i="2"/>
  <c r="FJ154" i="2"/>
  <c r="FJ87" i="2"/>
  <c r="FJ12" i="2"/>
  <c r="FJ111" i="2"/>
  <c r="FJ92" i="2"/>
  <c r="FJ135" i="2"/>
  <c r="FJ178" i="2"/>
  <c r="FJ4" i="2"/>
  <c r="FJ31" i="2"/>
  <c r="FJ114" i="2"/>
  <c r="FJ161" i="2"/>
  <c r="FJ141" i="2"/>
  <c r="FJ68" i="2"/>
  <c r="FJ91" i="2"/>
  <c r="FJ93" i="2"/>
  <c r="FJ188" i="2"/>
  <c r="FJ171" i="2"/>
  <c r="FJ96" i="2"/>
  <c r="FJ185" i="2"/>
  <c r="FJ153" i="2"/>
  <c r="FJ53" i="2"/>
  <c r="FJ170" i="2"/>
  <c r="FJ23" i="2"/>
  <c r="FJ121" i="2"/>
  <c r="FJ51" i="2"/>
  <c r="FJ40" i="2"/>
  <c r="FJ69" i="2"/>
  <c r="FJ85" i="2"/>
  <c r="FJ129" i="2"/>
  <c r="FJ145" i="2"/>
  <c r="FJ26" i="2"/>
  <c r="FJ130" i="2"/>
  <c r="FJ179" i="2"/>
  <c r="FJ39" i="2"/>
  <c r="FJ10" i="2"/>
  <c r="FJ27" i="2"/>
  <c r="FJ22" i="2"/>
  <c r="FJ158" i="2"/>
  <c r="FJ102" i="2"/>
  <c r="FJ77" i="2"/>
  <c r="FJ13" i="2"/>
  <c r="FJ3" i="2"/>
  <c r="C13" i="4" s="1"/>
  <c r="E13" i="4" s="1"/>
  <c r="F13" i="4" s="1"/>
  <c r="G13" i="4" s="1"/>
  <c r="L13" i="4" s="1"/>
  <c r="FJ58" i="2"/>
  <c r="FJ133" i="2"/>
  <c r="FJ29" i="2"/>
  <c r="FJ88" i="2"/>
  <c r="FJ20" i="2"/>
  <c r="FJ71" i="2"/>
  <c r="FJ99" i="2"/>
  <c r="FJ95" i="2"/>
  <c r="FJ195" i="2"/>
  <c r="FJ155" i="2"/>
  <c r="FJ132" i="2"/>
  <c r="FJ52" i="2"/>
  <c r="FJ54" i="2"/>
  <c r="FJ81" i="2"/>
  <c r="FJ36" i="2"/>
  <c r="FJ101" i="2"/>
  <c r="FJ180" i="2"/>
  <c r="FJ119" i="2"/>
  <c r="FJ35" i="2"/>
  <c r="FJ176" i="2"/>
  <c r="FJ84" i="2"/>
  <c r="FJ89" i="2"/>
  <c r="FJ202" i="2"/>
  <c r="FJ116" i="2"/>
  <c r="FJ182" i="2"/>
  <c r="FJ59" i="2"/>
  <c r="FJ48" i="2"/>
  <c r="FJ65" i="2"/>
  <c r="FJ47" i="2"/>
  <c r="FJ151" i="2"/>
  <c r="FJ43" i="2"/>
  <c r="FJ5" i="2"/>
  <c r="FJ200" i="2"/>
  <c r="FJ62" i="2"/>
  <c r="FJ146" i="2"/>
  <c r="FJ11" i="2"/>
  <c r="FJ28" i="2"/>
  <c r="FJ175" i="2"/>
  <c r="FJ110" i="2"/>
  <c r="FJ126" i="2"/>
  <c r="FJ137" i="2"/>
  <c r="FJ148" i="2"/>
  <c r="FJ147" i="2"/>
  <c r="FJ78" i="2"/>
  <c r="FJ162" i="2"/>
  <c r="FJ33" i="2"/>
  <c r="FJ134" i="2"/>
  <c r="FJ42" i="2"/>
  <c r="FJ107" i="2"/>
  <c r="FJ199" i="2"/>
  <c r="FJ139" i="2"/>
  <c r="FJ150" i="2"/>
  <c r="FJ189" i="2"/>
  <c r="FJ197" i="2"/>
  <c r="FJ19" i="2"/>
  <c r="FJ115" i="2"/>
  <c r="FJ86" i="2"/>
  <c r="FJ191" i="2"/>
  <c r="FJ201" i="2"/>
  <c r="FJ123" i="2"/>
  <c r="FJ160" i="2"/>
  <c r="FJ74" i="2"/>
  <c r="FJ127" i="2"/>
  <c r="FJ60" i="2"/>
  <c r="FJ25" i="2"/>
  <c r="FJ61" i="2"/>
  <c r="FJ122" i="2"/>
  <c r="FJ100" i="2"/>
  <c r="FJ34" i="2"/>
  <c r="FJ56" i="2"/>
  <c r="FJ67" i="2"/>
  <c r="FJ83" i="2"/>
  <c r="FJ172" i="2"/>
  <c r="FJ9" i="2"/>
  <c r="FJ168" i="2"/>
  <c r="FJ156" i="2"/>
  <c r="FJ63" i="2"/>
  <c r="FJ124" i="2"/>
  <c r="FJ140" i="2"/>
  <c r="FJ203" i="2"/>
  <c r="FJ169" i="2"/>
  <c r="FJ44" i="2"/>
  <c r="FJ112" i="2"/>
  <c r="FJ82" i="2"/>
  <c r="FJ38" i="2"/>
  <c r="FJ105" i="2"/>
  <c r="FJ149" i="2"/>
  <c r="FJ118" i="2"/>
  <c r="FJ49" i="2"/>
  <c r="FJ174" i="2"/>
  <c r="FJ138" i="2"/>
  <c r="FJ90" i="2"/>
  <c r="FJ192" i="2"/>
  <c r="FJ73" i="2"/>
  <c r="FJ6" i="2"/>
  <c r="FJ76" i="2"/>
  <c r="FJ21" i="2"/>
  <c r="FJ177" i="2"/>
  <c r="FJ193" i="2"/>
  <c r="FJ37" i="2"/>
  <c r="FJ79" i="2"/>
  <c r="FJ194" i="2"/>
  <c r="FJ70" i="2"/>
  <c r="FJ7" i="2"/>
  <c r="FJ142" i="2"/>
  <c r="FJ183" i="2"/>
  <c r="FJ152" i="2"/>
  <c r="FJ184" i="2"/>
  <c r="FJ64" i="2"/>
  <c r="FJ24" i="2"/>
  <c r="FJ164" i="2"/>
  <c r="FJ108" i="2"/>
  <c r="FJ66" i="2"/>
  <c r="FJ125" i="2"/>
  <c r="FJ120" i="2"/>
  <c r="FJ98" i="2"/>
  <c r="FJ198" i="2"/>
  <c r="FJ57" i="2"/>
  <c r="FJ106" i="2"/>
  <c r="FJ50" i="2"/>
  <c r="FJ103" i="2"/>
  <c r="FJ113" i="2"/>
  <c r="FJ16" i="2"/>
  <c r="FJ196" i="2"/>
  <c r="FJ8" i="2"/>
  <c r="FJ97" i="2"/>
  <c r="FJ109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D143" i="2" l="1"/>
  <c r="CD60" i="2"/>
  <c r="CD54" i="2"/>
  <c r="CD88" i="2"/>
  <c r="CD134" i="2"/>
  <c r="CD102" i="2"/>
  <c r="CD196" i="2"/>
  <c r="CD173" i="2"/>
  <c r="CD154" i="2"/>
  <c r="CD141" i="2"/>
  <c r="CD171" i="2"/>
  <c r="CD105" i="2"/>
  <c r="CD170" i="2"/>
  <c r="CD25" i="2"/>
  <c r="CD39" i="2"/>
  <c r="CD85" i="2"/>
  <c r="CD51" i="2"/>
  <c r="CD96" i="2"/>
  <c r="CD43" i="2"/>
  <c r="CD193" i="2"/>
  <c r="CD157" i="2"/>
  <c r="CD62" i="2"/>
  <c r="CD121" i="2"/>
  <c r="CD203" i="2"/>
  <c r="CD174" i="2"/>
  <c r="CD153" i="2"/>
  <c r="CD37" i="2"/>
  <c r="CD84" i="2"/>
  <c r="CD112" i="2"/>
  <c r="CD150" i="2"/>
  <c r="CD8" i="2"/>
  <c r="CD66" i="2"/>
  <c r="CD87" i="2"/>
  <c r="CD42" i="2"/>
  <c r="CD202" i="2"/>
  <c r="CD45" i="2"/>
  <c r="CD197" i="2"/>
  <c r="CD15" i="2"/>
  <c r="CD126" i="2"/>
  <c r="CD64" i="2"/>
  <c r="CD159" i="2"/>
  <c r="CD58" i="2"/>
  <c r="CD61" i="2"/>
  <c r="CD166" i="2"/>
  <c r="CD160" i="2"/>
  <c r="CD194" i="2"/>
  <c r="CD118" i="2"/>
  <c r="CD182" i="2"/>
  <c r="CD163" i="2"/>
  <c r="CD78" i="2"/>
  <c r="CD95" i="2"/>
  <c r="CD76" i="2"/>
  <c r="CD75" i="2"/>
  <c r="CD122" i="2"/>
  <c r="CD179" i="2"/>
  <c r="CD195" i="2"/>
  <c r="CD48" i="2"/>
  <c r="CD198" i="2"/>
  <c r="CD93" i="2"/>
  <c r="CD145" i="2"/>
  <c r="CD46" i="2"/>
  <c r="CD176" i="2"/>
  <c r="CD73" i="2"/>
  <c r="CD7" i="2"/>
  <c r="CD187" i="2"/>
  <c r="CD13" i="2"/>
  <c r="CD35" i="2"/>
  <c r="CD69" i="2"/>
  <c r="CD119" i="2"/>
  <c r="CD17" i="2"/>
  <c r="CD124" i="2"/>
  <c r="CD53" i="2"/>
  <c r="CD114" i="2"/>
  <c r="CD71" i="2"/>
  <c r="CD177" i="2"/>
  <c r="CD70" i="2"/>
  <c r="CD47" i="2"/>
  <c r="CD56" i="2"/>
  <c r="CD34" i="2"/>
  <c r="CD77" i="2"/>
  <c r="CD165" i="2"/>
  <c r="CD183" i="2"/>
  <c r="CD116" i="2"/>
  <c r="CD4" i="2"/>
  <c r="CD127" i="2"/>
  <c r="CD12" i="2"/>
  <c r="CD63" i="2"/>
  <c r="CD138" i="2"/>
  <c r="CD162" i="2"/>
  <c r="CD167" i="2"/>
  <c r="CD178" i="2"/>
  <c r="CD41" i="2"/>
  <c r="CD192" i="2"/>
  <c r="CD104" i="2"/>
  <c r="CD128" i="2"/>
  <c r="CD117" i="2"/>
  <c r="CD67" i="2"/>
  <c r="CD20" i="2"/>
  <c r="CD100" i="2"/>
  <c r="CD132" i="2"/>
  <c r="CD22" i="2"/>
  <c r="CD152" i="2"/>
  <c r="CD91" i="2"/>
  <c r="CD136" i="2"/>
  <c r="CD144" i="2"/>
  <c r="CD65" i="2"/>
  <c r="CD103" i="2"/>
  <c r="CD200" i="2"/>
  <c r="CD10" i="2"/>
  <c r="CD83" i="2"/>
  <c r="CD191" i="2"/>
  <c r="CD158" i="2"/>
  <c r="CD82" i="2"/>
  <c r="CD130" i="2"/>
  <c r="CD123" i="2"/>
  <c r="CD151" i="2"/>
  <c r="CD131" i="2"/>
  <c r="CD86" i="2"/>
  <c r="CD72" i="2"/>
  <c r="CD19" i="2"/>
  <c r="CD120" i="2"/>
  <c r="CD24" i="2"/>
  <c r="CD57" i="2"/>
  <c r="CD115" i="2"/>
  <c r="CD11" i="2"/>
  <c r="CD186" i="2"/>
  <c r="CD113" i="2"/>
  <c r="CD168" i="2"/>
  <c r="CD185" i="2"/>
  <c r="CD98" i="2"/>
  <c r="CD26" i="2"/>
  <c r="CD148" i="2"/>
  <c r="CD3" i="2"/>
  <c r="C9" i="4" s="1"/>
  <c r="E9" i="4" s="1"/>
  <c r="F9" i="4" s="1"/>
  <c r="G9" i="4" s="1"/>
  <c r="L9" i="4" s="1"/>
  <c r="CD189" i="2"/>
  <c r="CD55" i="2"/>
  <c r="CD29" i="2"/>
  <c r="CD16" i="2"/>
  <c r="CD147" i="2"/>
  <c r="CD6" i="2"/>
  <c r="CD164" i="2"/>
  <c r="CD139" i="2"/>
  <c r="CD36" i="2"/>
  <c r="CD59" i="2"/>
  <c r="CD5" i="2"/>
  <c r="CD79" i="2"/>
  <c r="CD107" i="2"/>
  <c r="CD97" i="2"/>
  <c r="CD133" i="2"/>
  <c r="CD146" i="2"/>
  <c r="CD129" i="2"/>
  <c r="CD125" i="2"/>
  <c r="CD30" i="2"/>
  <c r="CD31" i="2"/>
  <c r="CD142" i="2"/>
  <c r="CD99" i="2"/>
  <c r="CD40" i="2"/>
  <c r="CD184" i="2"/>
  <c r="CD18" i="2"/>
  <c r="CD155" i="2"/>
  <c r="CD68" i="2"/>
  <c r="CD9" i="2"/>
  <c r="CD52" i="2"/>
  <c r="CD108" i="2"/>
  <c r="CD49" i="2"/>
  <c r="CD188" i="2"/>
  <c r="CD14" i="2"/>
  <c r="CD74" i="2"/>
  <c r="CD110" i="2"/>
  <c r="CD106" i="2"/>
  <c r="CD44" i="2"/>
  <c r="CD92" i="2"/>
  <c r="CD28" i="2"/>
  <c r="CD201" i="2"/>
  <c r="CD149" i="2"/>
  <c r="CD169" i="2"/>
  <c r="CD140" i="2"/>
  <c r="CD175" i="2"/>
  <c r="CD90" i="2"/>
  <c r="CD101" i="2"/>
  <c r="CD32" i="2"/>
  <c r="CD50" i="2"/>
  <c r="CD33" i="2"/>
  <c r="CD21" i="2"/>
  <c r="CD156" i="2"/>
  <c r="CD81" i="2"/>
  <c r="CD172" i="2"/>
  <c r="CD181" i="2"/>
  <c r="CD180" i="2"/>
  <c r="CD137" i="2"/>
  <c r="CD161" i="2"/>
  <c r="CD23" i="2"/>
  <c r="CD190" i="2"/>
  <c r="CD109" i="2"/>
  <c r="CD135" i="2"/>
  <c r="CD199" i="2"/>
  <c r="CD89" i="2"/>
  <c r="CD111" i="2"/>
  <c r="CD94" i="2"/>
  <c r="CD38" i="2"/>
  <c r="CD80" i="2"/>
  <c r="CD27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BI27" i="2" l="1"/>
  <c r="BI24" i="2"/>
  <c r="BI168" i="2"/>
  <c r="BI132" i="2"/>
  <c r="BI97" i="2"/>
  <c r="BI36" i="2"/>
  <c r="BI147" i="2"/>
  <c r="BI123" i="2"/>
  <c r="BI38" i="2"/>
  <c r="BI162" i="2"/>
  <c r="BI57" i="2"/>
  <c r="BI85" i="2"/>
  <c r="BI44" i="2"/>
  <c r="BI47" i="2"/>
  <c r="BI121" i="2"/>
  <c r="BI77" i="2"/>
  <c r="BI124" i="2"/>
  <c r="BI86" i="2"/>
  <c r="BI51" i="2"/>
  <c r="BI90" i="2"/>
  <c r="BI166" i="2"/>
  <c r="BI40" i="2"/>
  <c r="BI201" i="2"/>
  <c r="BI180" i="2"/>
  <c r="BI66" i="2"/>
  <c r="BI139" i="2"/>
  <c r="BI109" i="2"/>
  <c r="BI34" i="2"/>
  <c r="BI45" i="2"/>
  <c r="BI170" i="2"/>
  <c r="BI131" i="2"/>
  <c r="BI105" i="2"/>
  <c r="BI148" i="2"/>
  <c r="BI129" i="2"/>
  <c r="BI196" i="2"/>
  <c r="BI161" i="2"/>
  <c r="BI101" i="2"/>
  <c r="BI175" i="2"/>
  <c r="BI138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106" i="2" s="1"/>
  <c r="BE109" i="2"/>
  <c r="BS107" i="2"/>
  <c r="BI37" i="2" l="1"/>
  <c r="BI191" i="2"/>
  <c r="BI41" i="2"/>
  <c r="BI15" i="2"/>
  <c r="BI10" i="2"/>
  <c r="BI50" i="2"/>
  <c r="BI110" i="2"/>
  <c r="BI58" i="2"/>
  <c r="BI73" i="2"/>
  <c r="BI164" i="2"/>
  <c r="BI60" i="2"/>
  <c r="BI62" i="2"/>
  <c r="BI32" i="2"/>
  <c r="BI107" i="2"/>
  <c r="BI95" i="2"/>
  <c r="BI6" i="2"/>
  <c r="BI79" i="2"/>
  <c r="BI3" i="2"/>
  <c r="C8" i="4" s="1"/>
  <c r="E8" i="4" s="1"/>
  <c r="F8" i="4" s="1"/>
  <c r="G8" i="4" s="1"/>
  <c r="L8" i="4" s="1"/>
  <c r="BI117" i="2"/>
  <c r="BI31" i="2"/>
  <c r="BI69" i="2"/>
  <c r="BI114" i="2"/>
  <c r="BI7" i="2"/>
  <c r="BI56" i="2"/>
  <c r="BI115" i="2"/>
  <c r="BI160" i="2"/>
  <c r="BI100" i="2"/>
  <c r="BI33" i="2"/>
  <c r="BI177" i="2"/>
  <c r="BI52" i="2"/>
  <c r="BI186" i="2"/>
  <c r="BI42" i="2"/>
  <c r="BI108" i="2"/>
  <c r="BI167" i="2"/>
  <c r="BI135" i="2"/>
  <c r="BI20" i="2"/>
  <c r="BI176" i="2"/>
  <c r="BI134" i="2"/>
  <c r="BI152" i="2"/>
  <c r="BI13" i="2"/>
  <c r="BI172" i="2"/>
  <c r="BI150" i="2"/>
  <c r="BI137" i="2"/>
  <c r="BI122" i="2"/>
  <c r="BI25" i="2"/>
  <c r="BI156" i="2"/>
  <c r="BI195" i="2"/>
  <c r="BI94" i="2"/>
  <c r="BI22" i="2"/>
  <c r="BI74" i="2"/>
  <c r="BI87" i="2"/>
  <c r="BI185" i="2"/>
  <c r="BI119" i="2"/>
  <c r="BI35" i="2"/>
  <c r="BI159" i="2"/>
  <c r="BI145" i="2"/>
  <c r="BI112" i="2"/>
  <c r="BI63" i="2"/>
  <c r="BI76" i="2"/>
  <c r="BI194" i="2"/>
  <c r="BI102" i="2"/>
  <c r="BI21" i="2"/>
  <c r="BI141" i="2"/>
  <c r="BI84" i="2"/>
  <c r="BI113" i="2"/>
  <c r="BI136" i="2"/>
  <c r="BI89" i="2"/>
  <c r="BI190" i="2"/>
  <c r="BI199" i="2"/>
  <c r="BI18" i="2"/>
  <c r="BI202" i="2"/>
  <c r="BI72" i="2"/>
  <c r="BI71" i="2"/>
  <c r="BI67" i="2"/>
  <c r="BI154" i="2"/>
  <c r="BI193" i="2"/>
  <c r="BI146" i="2"/>
  <c r="BI14" i="2"/>
  <c r="BI19" i="2"/>
  <c r="BI149" i="2"/>
  <c r="BI158" i="2"/>
  <c r="BI23" i="2"/>
  <c r="BI98" i="2"/>
  <c r="BI82" i="2"/>
  <c r="BI188" i="2"/>
  <c r="BI104" i="2"/>
  <c r="BI179" i="2"/>
  <c r="BI11" i="2"/>
  <c r="BI5" i="2"/>
  <c r="BI78" i="2"/>
  <c r="BI39" i="2"/>
  <c r="BI120" i="2"/>
  <c r="BI165" i="2"/>
  <c r="BI4" i="2"/>
  <c r="BI46" i="2"/>
  <c r="BI55" i="2"/>
  <c r="BI83" i="2"/>
  <c r="BI178" i="2"/>
  <c r="BI61" i="2"/>
  <c r="BI142" i="2"/>
  <c r="BI128" i="2"/>
  <c r="BI126" i="2"/>
  <c r="BI68" i="2"/>
  <c r="BI96" i="2"/>
  <c r="BI64" i="2"/>
  <c r="BI144" i="2"/>
  <c r="BI65" i="2"/>
  <c r="BI9" i="2"/>
  <c r="BI93" i="2"/>
  <c r="BI99" i="2"/>
  <c r="BI49" i="2"/>
  <c r="BI151" i="2"/>
  <c r="BI125" i="2"/>
  <c r="BI53" i="2"/>
  <c r="BI111" i="2"/>
  <c r="BI192" i="2"/>
  <c r="BI183" i="2"/>
  <c r="BI12" i="2"/>
  <c r="BI16" i="2"/>
  <c r="BI118" i="2"/>
  <c r="BI200" i="2"/>
  <c r="BI203" i="2"/>
  <c r="BI174" i="2"/>
  <c r="BI184" i="2"/>
  <c r="BI163" i="2"/>
  <c r="BI80" i="2"/>
  <c r="BI157" i="2"/>
  <c r="BI116" i="2"/>
  <c r="BI70" i="2"/>
  <c r="BI103" i="2"/>
  <c r="BI140" i="2"/>
  <c r="BI26" i="2"/>
  <c r="BI91" i="2"/>
  <c r="BI173" i="2"/>
  <c r="BI197" i="2"/>
  <c r="BI28" i="2"/>
  <c r="BI169" i="2"/>
  <c r="BI59" i="2"/>
  <c r="BI127" i="2"/>
  <c r="BI48" i="2"/>
  <c r="BI92" i="2"/>
  <c r="BI133" i="2"/>
  <c r="BI88" i="2"/>
  <c r="BI54" i="2"/>
  <c r="BI143" i="2"/>
  <c r="BI153" i="2"/>
  <c r="BI187" i="2"/>
  <c r="BI8" i="2"/>
  <c r="BI130" i="2"/>
  <c r="BI81" i="2"/>
  <c r="BI29" i="2"/>
  <c r="BI181" i="2"/>
  <c r="BI198" i="2"/>
  <c r="BI189" i="2"/>
  <c r="BI30" i="2"/>
  <c r="BI182" i="2"/>
  <c r="BI43" i="2"/>
  <c r="BI75" i="2"/>
  <c r="BI17" i="2"/>
  <c r="BI155" i="2"/>
  <c r="BI171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<sst xmlns="http://schemas.openxmlformats.org/spreadsheetml/2006/main" count="1178" uniqueCount="325">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</sst>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0" fillId="21" borderId="0" xfId="0" applyNumberFormat="1" applyFill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1.7332738489982329</c:v>
                </c:pt>
                <c:pt idx="2">
                  <c:v>2.2638466044816266</c:v>
                </c:pt>
                <c:pt idx="3">
                  <c:v>2.9575025627788651</c:v>
                </c:pt>
                <c:pt idx="4">
                  <c:v>3.8645632280140938</c:v>
                </c:pt>
                <c:pt idx="5">
                  <c:v>5.0509336340467259</c:v>
                </c:pt>
                <c:pt idx="6">
                  <c:v>6.6029444094776979</c:v>
                </c:pt>
                <c:pt idx="7">
                  <c:v>8.6337029918854302</c:v>
                </c:pt>
                <c:pt idx="8">
                  <c:v>11.291425681051562</c:v>
                </c:pt>
                <c:pt idx="9">
                  <c:v>14.770370027172973</c:v>
                </c:pt>
                <c:pt idx="10">
                  <c:v>19.325181279518478</c:v>
                </c:pt>
                <c:pt idx="11">
                  <c:v>25.289721884818409</c:v>
                </c:pt>
                <c:pt idx="12">
                  <c:v>33.101788541308252</c:v>
                </c:pt>
                <c:pt idx="13">
                  <c:v>43.335562364750217</c:v>
                </c:pt>
                <c:pt idx="14">
                  <c:v>56.744217565994461</c:v>
                </c:pt>
                <c:pt idx="15">
                  <c:v>74.315876434580375</c:v>
                </c:pt>
                <c:pt idx="16">
                  <c:v>97.347100948072622</c:v>
                </c:pt>
                <c:pt idx="17">
                  <c:v>127.53942975153937</c:v>
                </c:pt>
                <c:pt idx="18">
                  <c:v>167.12620329117553</c:v>
                </c:pt>
                <c:pt idx="19">
                  <c:v>219.03920078070914</c:v>
                </c:pt>
                <c:pt idx="20">
                  <c:v>287.12761317419091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1.6564817751583549</c:v>
                </c:pt>
                <c:pt idx="2">
                  <c:v>2.1634639728948697</c:v>
                </c:pt>
                <c:pt idx="3">
                  <c:v>2.826253999047506</c:v>
                </c:pt>
                <c:pt idx="4">
                  <c:v>3.692921420968537</c:v>
                </c:pt>
                <c:pt idx="5">
                  <c:v>4.8264199355825115</c:v>
                </c:pt>
                <c:pt idx="6">
                  <c:v>6.3092115389658128</c:v>
                </c:pt>
                <c:pt idx="7">
                  <c:v>8.2493317668242767</c:v>
                </c:pt>
                <c:pt idx="8">
                  <c:v>10.788346370244076</c:v>
                </c:pt>
                <c:pt idx="9">
                  <c:v>14.111790901480681</c:v>
                </c:pt>
                <c:pt idx="10">
                  <c:v>18.462870111314604</c:v>
                </c:pt>
                <c:pt idx="11">
                  <c:v>24.1604377495993</c:v>
                </c:pt>
                <c:pt idx="12">
                  <c:v>31.622597658569788</c:v>
                </c:pt>
                <c:pt idx="13">
                  <c:v>41.397688085241185</c:v>
                </c:pt>
                <c:pt idx="14">
                  <c:v>54.204964660464533</c:v>
                </c:pt>
                <c:pt idx="15">
                  <c:v>70.988025264961891</c:v>
                </c:pt>
                <c:pt idx="16">
                  <c:v>92.984976983793089</c:v>
                </c:pt>
                <c:pt idx="17">
                  <c:v>121.82060385846285</c:v>
                </c:pt>
                <c:pt idx="18">
                  <c:v>159.62744935259445</c:v>
                </c:pt>
                <c:pt idx="19">
                  <c:v>209.20490461192085</c:v>
                </c:pt>
                <c:pt idx="20">
                  <c:v>274.22825759280607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1.4008144338377913</c:v>
                </c:pt>
                <c:pt idx="2">
                  <c:v>1.6013769354861573</c:v>
                </c:pt>
                <c:pt idx="3">
                  <c:v>1.8307609021811748</c:v>
                </c:pt>
                <c:pt idx="4">
                  <c:v>2.0931225024533</c:v>
                </c:pt>
                <c:pt idx="5">
                  <c:v>2.3932192023345733</c:v>
                </c:pt>
                <c:pt idx="6">
                  <c:v>2.736497024322452</c:v>
                </c:pt>
                <c:pt idx="7">
                  <c:v>3.1291905050408579</c:v>
                </c:pt>
                <c:pt idx="8">
                  <c:v>3.5784372044530071</c:v>
                </c:pt>
                <c:pt idx="9">
                  <c:v>4.0924088904767304</c:v>
                </c:pt>
                <c:pt idx="10">
                  <c:v>4.6804618335713828</c:v>
                </c:pt>
                <c:pt idx="11">
                  <c:v>5.3533090021401923</c:v>
                </c:pt>
                <c:pt idx="12">
                  <c:v>6.1232173581152942</c:v>
                </c:pt>
                <c:pt idx="13">
                  <c:v>7.0042339205421804</c:v>
                </c:pt>
                <c:pt idx="14">
                  <c:v>8.0124448021631789</c:v>
                </c:pt>
                <c:pt idx="15">
                  <c:v>9.1662720400197752</c:v>
                </c:pt>
                <c:pt idx="16">
                  <c:v>10.486813747543422</c:v>
                </c:pt>
                <c:pt idx="17">
                  <c:v>11.998233925782564</c:v>
                </c:pt>
                <c:pt idx="18">
                  <c:v>13.72820920057899</c:v>
                </c:pt>
                <c:pt idx="19">
                  <c:v>15.708440818165299</c:v>
                </c:pt>
                <c:pt idx="20">
                  <c:v>17.975241453894267</c:v>
                </c:pt>
                <c:pt idx="21">
                  <c:v>20.570207790676918</c:v>
                </c:pt>
                <c:pt idx="22">
                  <c:v>23.540991431644684</c:v>
                </c:pt>
                <c:pt idx="23">
                  <c:v>26.942182555905848</c:v>
                </c:pt>
                <c:pt idx="24">
                  <c:v>30.836322841857669</c:v>
                </c:pt>
                <c:pt idx="25">
                  <c:v>35.295066609297812</c:v>
                </c:pt>
                <c:pt idx="26">
                  <c:v>40.40051191540315</c:v>
                </c:pt>
                <c:pt idx="27">
                  <c:v>46.246726533125049</c:v>
                </c:pt>
                <c:pt idx="28">
                  <c:v>52.941497404070084</c:v>
                </c:pt>
                <c:pt idx="29">
                  <c:v>60.608336360785408</c:v>
                </c:pt>
                <c:pt idx="30">
                  <c:v>69.388779735073783</c:v>
                </c:pt>
                <c:pt idx="31">
                  <c:v>75.481169108422378</c:v>
                </c:pt>
                <c:pt idx="32">
                  <c:v>81.561025073250178</c:v>
                </c:pt>
                <c:pt idx="33">
                  <c:v>87.629416111451704</c:v>
                </c:pt>
                <c:pt idx="34">
                  <c:v>93.687250148435893</c:v>
                </c:pt>
                <c:pt idx="35">
                  <c:v>99.73530774665609</c:v>
                </c:pt>
                <c:pt idx="36">
                  <c:v>105.77426679342302</c:v>
                </c:pt>
                <c:pt idx="37">
                  <c:v>111.80472123465302</c:v>
                </c:pt>
                <c:pt idx="38">
                  <c:v>117.82719554138386</c:v>
                </c:pt>
                <c:pt idx="39">
                  <c:v>124.99313535308772</c:v>
                </c:pt>
                <c:pt idx="40">
                  <c:v>132.14910489975804</c:v>
                </c:pt>
                <c:pt idx="41">
                  <c:v>139.29572121624975</c:v>
                </c:pt>
                <c:pt idx="42">
                  <c:v>146.43353271796309</c:v>
                </c:pt>
                <c:pt idx="43">
                  <c:v>153.56302988078724</c:v>
                </c:pt>
                <c:pt idx="44">
                  <c:v>160.68465382913149</c:v>
                </c:pt>
                <c:pt idx="45">
                  <c:v>167.79880331835713</c:v>
                </c:pt>
                <c:pt idx="46">
                  <c:v>174.90584046860872</c:v>
                </c:pt>
                <c:pt idx="47">
                  <c:v>182.63972749096828</c:v>
                </c:pt>
                <c:pt idx="48">
                  <c:v>190.36595608197982</c:v>
                </c:pt>
                <c:pt idx="49">
                  <c:v>198.08488134917198</c:v>
                </c:pt>
                <c:pt idx="50">
                  <c:v>205.79682842274215</c:v>
                </c:pt>
                <c:pt idx="51">
                  <c:v>213.50209603978328</c:v>
                </c:pt>
                <c:pt idx="52">
                  <c:v>221.2009595832487</c:v>
                </c:pt>
                <c:pt idx="53">
                  <c:v>228.89367367510204</c:v>
                </c:pt>
                <c:pt idx="54">
                  <c:v>236.58047440215805</c:v>
                </c:pt>
                <c:pt idx="55">
                  <c:v>244.94902631943771</c:v>
                </c:pt>
                <c:pt idx="56">
                  <c:v>253.3110825874879</c:v>
                </c:pt>
                <c:pt idx="57">
                  <c:v>261.66688810183399</c:v>
                </c:pt>
                <c:pt idx="58">
                  <c:v>270.01667082376383</c:v>
                </c:pt>
                <c:pt idx="59">
                  <c:v>278.36064345030792</c:v>
                </c:pt>
                <c:pt idx="60">
                  <c:v>286.69900487333024</c:v>
                </c:pt>
                <c:pt idx="61">
                  <c:v>295.03194145984901</c:v>
                </c:pt>
                <c:pt idx="62">
                  <c:v>303.35962818003014</c:v>
                </c:pt>
                <c:pt idx="63">
                  <c:v>311.68222960474628</c:v>
                </c:pt>
                <c:pt idx="64">
                  <c:v>319.99990079094158</c:v>
                </c:pt>
                <c:pt idx="65">
                  <c:v>328.31278807006714</c:v>
                </c:pt>
                <c:pt idx="66">
                  <c:v>336.62102975243971</c:v>
                </c:pt>
                <c:pt idx="67">
                  <c:v>344.92475675838386</c:v>
                </c:pt>
                <c:pt idx="68">
                  <c:v>229.52395871325177</c:v>
                </c:pt>
                <c:pt idx="69">
                  <c:v>236.58047440215819</c:v>
                </c:pt>
                <c:pt idx="70">
                  <c:v>243.63219153359842</c:v>
                </c:pt>
                <c:pt idx="71">
                  <c:v>250.67926877807747</c:v>
                </c:pt>
                <c:pt idx="72">
                  <c:v>257.53898644697557</c:v>
                </c:pt>
                <c:pt idx="73">
                  <c:v>264.39457318037267</c:v>
                </c:pt>
                <c:pt idx="74">
                  <c:v>271.2461513414413</c:v>
                </c:pt>
                <c:pt idx="75">
                  <c:v>278.09383659907598</c:v>
                </c:pt>
                <c:pt idx="76">
                  <c:v>284.93773845363552</c:v>
                </c:pt>
                <c:pt idx="77">
                  <c:v>291.77796070947949</c:v>
                </c:pt>
                <c:pt idx="78">
                  <c:v>298.61460190083551</c:v>
                </c:pt>
                <c:pt idx="79">
                  <c:v>305.44775567659059</c:v>
                </c:pt>
                <c:pt idx="80">
                  <c:v>312.27751114881789</c:v>
                </c:pt>
                <c:pt idx="81">
                  <c:v>319.10395320919417</c:v>
                </c:pt>
                <c:pt idx="82">
                  <c:v>325.92716281690338</c:v>
                </c:pt>
                <c:pt idx="83">
                  <c:v>239.60321698163887</c:v>
                </c:pt>
                <c:pt idx="84">
                  <c:v>245.64610894283183</c:v>
                </c:pt>
                <c:pt idx="85">
                  <c:v>251.685624134873</c:v>
                </c:pt>
                <c:pt idx="86">
                  <c:v>257.72185514470999</c:v>
                </c:pt>
                <c:pt idx="87">
                  <c:v>263.5873479727602</c:v>
                </c:pt>
                <c:pt idx="88">
                  <c:v>269.44989644872663</c:v>
                </c:pt>
                <c:pt idx="89">
                  <c:v>275.30957376859971</c:v>
                </c:pt>
                <c:pt idx="90">
                  <c:v>281.16644975370667</c:v>
                </c:pt>
                <c:pt idx="91">
                  <c:v>287.02059107494568</c:v>
                </c:pt>
                <c:pt idx="92">
                  <c:v>292.87206145774786</c:v>
                </c:pt>
                <c:pt idx="93">
                  <c:v>298.72092186978574</c:v>
                </c:pt>
                <c:pt idx="94">
                  <c:v>304.56723069319668</c:v>
                </c:pt>
                <c:pt idx="95">
                  <c:v>310.41104388287744</c:v>
                </c:pt>
                <c:pt idx="96">
                  <c:v>316.25241511222424</c:v>
                </c:pt>
                <c:pt idx="97">
                  <c:v>322.09139590753085</c:v>
                </c:pt>
                <c:pt idx="98">
                  <c:v>327.9280357721243</c:v>
                </c:pt>
                <c:pt idx="99">
                  <c:v>269.03123905017731</c:v>
                </c:pt>
                <c:pt idx="100">
                  <c:v>274.30525850370799</c:v>
                </c:pt>
                <c:pt idx="101">
                  <c:v>279.57699940780327</c:v>
                </c:pt>
                <c:pt idx="102">
                  <c:v>284.84651085713057</c:v>
                </c:pt>
                <c:pt idx="103">
                  <c:v>289.98845239216661</c:v>
                </c:pt>
                <c:pt idx="104">
                  <c:v>295.12835642532519</c:v>
                </c:pt>
                <c:pt idx="105">
                  <c:v>300.26626350253474</c:v>
                </c:pt>
                <c:pt idx="106">
                  <c:v>305.40221266685126</c:v>
                </c:pt>
                <c:pt idx="107">
                  <c:v>310.53624153907566</c:v>
                </c:pt>
                <c:pt idx="108">
                  <c:v>315.66838639275699</c:v>
                </c:pt>
                <c:pt idx="109">
                  <c:v>320.79868222405599</c:v>
                </c:pt>
                <c:pt idx="110">
                  <c:v>325.92716281690332</c:v>
                </c:pt>
                <c:pt idx="111">
                  <c:v>330.92884034916182</c:v>
                </c:pt>
                <c:pt idx="112">
                  <c:v>335.92885047360335</c:v>
                </c:pt>
                <c:pt idx="113">
                  <c:v>340.92722154371285</c:v>
                </c:pt>
                <c:pt idx="114">
                  <c:v>345.92398101265047</c:v>
                </c:pt>
                <c:pt idx="115">
                  <c:v>350.91915547472746</c:v>
                </c:pt>
                <c:pt idx="116">
                  <c:v>290.36461151869656</c:v>
                </c:pt>
                <c:pt idx="117">
                  <c:v>294.87767605242158</c:v>
                </c:pt>
                <c:pt idx="118">
                  <c:v>299.38919951840256</c:v>
                </c:pt>
                <c:pt idx="119">
                  <c:v>303.89920845414628</c:v>
                </c:pt>
                <c:pt idx="120">
                  <c:v>308.28251175624234</c:v>
                </c:pt>
                <c:pt idx="121">
                  <c:v>312.66443064607887</c:v>
                </c:pt>
                <c:pt idx="122">
                  <c:v>317.04498729473477</c:v>
                </c:pt>
                <c:pt idx="123">
                  <c:v>321.42420320967705</c:v>
                </c:pt>
                <c:pt idx="124">
                  <c:v>325.8020992636022</c:v>
                </c:pt>
                <c:pt idx="125">
                  <c:v>330.17869572164392</c:v>
                </c:pt>
                <c:pt idx="126">
                  <c:v>334.55401226706186</c:v>
                </c:pt>
                <c:pt idx="127">
                  <c:v>338.92806802551439</c:v>
                </c:pt>
                <c:pt idx="128">
                  <c:v>343.17596113025593</c:v>
                </c:pt>
                <c:pt idx="129">
                  <c:v>347.42269858873755</c:v>
                </c:pt>
                <c:pt idx="130">
                  <c:v>351.6682965408404</c:v>
                </c:pt>
                <c:pt idx="131">
                  <c:v>355.91277070439497</c:v>
                </c:pt>
                <c:pt idx="132">
                  <c:v>360.15613639123416</c:v>
                </c:pt>
                <c:pt idx="133">
                  <c:v>364.39840852244924</c:v>
                </c:pt>
                <c:pt idx="134">
                  <c:v>368.63960164289864</c:v>
                </c:pt>
                <c:pt idx="135">
                  <c:v>372.87972993501256</c:v>
                </c:pt>
                <c:pt idx="136">
                  <c:v>306.90505238979614</c:v>
                </c:pt>
                <c:pt idx="137">
                  <c:v>310.91182778548091</c:v>
                </c:pt>
                <c:pt idx="138">
                  <c:v>314.91745712114295</c:v>
                </c:pt>
                <c:pt idx="139">
                  <c:v>318.50487385991789</c:v>
                </c:pt>
                <c:pt idx="140">
                  <c:v>322.09139590753085</c:v>
                </c:pt>
                <c:pt idx="141">
                  <c:v>325.67703464944606</c:v>
                </c:pt>
                <c:pt idx="142">
                  <c:v>329.26180119955126</c:v>
                </c:pt>
                <c:pt idx="143">
                  <c:v>332.84570640959004</c:v>
                </c:pt>
                <c:pt idx="144">
                  <c:v>336.42876087816632</c:v>
                </c:pt>
                <c:pt idx="145">
                  <c:v>340.01097495934533</c:v>
                </c:pt>
                <c:pt idx="146">
                  <c:v>343.59235877087144</c:v>
                </c:pt>
                <c:pt idx="147">
                  <c:v>347.17292220202688</c:v>
                </c:pt>
                <c:pt idx="148">
                  <c:v>350.75267492114727</c:v>
                </c:pt>
                <c:pt idx="149">
                  <c:v>354.33162638281493</c:v>
                </c:pt>
                <c:pt idx="150">
                  <c:v>357.90978583474566</c:v>
                </c:pt>
                <c:pt idx="151">
                  <c:v>186.73598138519074</c:v>
                </c:pt>
                <c:pt idx="152">
                  <c:v>190.4503547757912</c:v>
                </c:pt>
                <c:pt idx="153">
                  <c:v>194.16304064471524</c:v>
                </c:pt>
                <c:pt idx="154">
                  <c:v>196.52479724631414</c:v>
                </c:pt>
                <c:pt idx="155">
                  <c:v>198.88589463565623</c:v>
                </c:pt>
                <c:pt idx="156">
                  <c:v>201.24634176616664</c:v>
                </c:pt>
                <c:pt idx="157">
                  <c:v>203.60614736350411</c:v>
                </c:pt>
                <c:pt idx="158">
                  <c:v>205.96531993399208</c:v>
                </c:pt>
                <c:pt idx="159">
                  <c:v>208.32386777264188</c:v>
                </c:pt>
                <c:pt idx="160">
                  <c:v>210.68179897079287</c:v>
                </c:pt>
                <c:pt idx="161">
                  <c:v>213.03912142339209</c:v>
                </c:pt>
                <c:pt idx="162">
                  <c:v>215.39584283593385</c:v>
                </c:pt>
                <c:pt idx="163">
                  <c:v>217.75197073107915</c:v>
                </c:pt>
                <c:pt idx="164">
                  <c:v>220.10751245497309</c:v>
                </c:pt>
                <c:pt idx="165">
                  <c:v>222.46247518327678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1.9338651834201261</c:v>
                </c:pt>
                <c:pt idx="2">
                  <c:v>2.411469653450264</c:v>
                </c:pt>
                <c:pt idx="3">
                  <c:v>3.0074910655584675</c:v>
                </c:pt>
                <c:pt idx="4">
                  <c:v>3.7513982188950923</c:v>
                </c:pt>
                <c:pt idx="5">
                  <c:v>4.6800187437428216</c:v>
                </c:pt>
                <c:pt idx="6">
                  <c:v>5.8393826094325183</c:v>
                </c:pt>
                <c:pt idx="7">
                  <c:v>7.2870288257882292</c:v>
                </c:pt>
                <c:pt idx="8">
                  <c:v>9.0948920336569774</c:v>
                </c:pt>
                <c:pt idx="9">
                  <c:v>11.352915152558365</c:v>
                </c:pt>
                <c:pt idx="10">
                  <c:v>14.173571186161757</c:v>
                </c:pt>
                <c:pt idx="11">
                  <c:v>17.697523571336458</c:v>
                </c:pt>
                <c:pt idx="12">
                  <c:v>22.100712466888222</c:v>
                </c:pt>
                <c:pt idx="13">
                  <c:v>27.603227089921088</c:v>
                </c:pt>
                <c:pt idx="14">
                  <c:v>34.48041535389266</c:v>
                </c:pt>
                <c:pt idx="15">
                  <c:v>43.076796325131738</c:v>
                </c:pt>
                <c:pt idx="16">
                  <c:v>53.823484267399721</c:v>
                </c:pt>
                <c:pt idx="17">
                  <c:v>67.260012655349001</c:v>
                </c:pt>
                <c:pt idx="18">
                  <c:v>84.061671751601395</c:v>
                </c:pt>
                <c:pt idx="19">
                  <c:v>105.07375575677501</c:v>
                </c:pt>
                <c:pt idx="20">
                  <c:v>131.35446970954578</c:v>
                </c:pt>
                <c:pt idx="21">
                  <c:v>139.70382844505221</c:v>
                </c:pt>
                <c:pt idx="22">
                  <c:v>157.14740840280285</c:v>
                </c:pt>
                <c:pt idx="23">
                  <c:v>174.54501426785569</c:v>
                </c:pt>
                <c:pt idx="24">
                  <c:v>191.9018762611349</c:v>
                </c:pt>
                <c:pt idx="25">
                  <c:v>209.22219955438311</c:v>
                </c:pt>
                <c:pt idx="26">
                  <c:v>226.50943532106294</c:v>
                </c:pt>
                <c:pt idx="27">
                  <c:v>243.76646443655662</c:v>
                </c:pt>
                <c:pt idx="28">
                  <c:v>260.995726302734</c:v>
                </c:pt>
                <c:pt idx="29">
                  <c:v>278.19931180683267</c:v>
                </c:pt>
                <c:pt idx="30">
                  <c:v>295.37903204669755</c:v>
                </c:pt>
                <c:pt idx="31">
                  <c:v>284.35589788902757</c:v>
                </c:pt>
                <c:pt idx="32">
                  <c:v>301.52746504321459</c:v>
                </c:pt>
                <c:pt idx="33">
                  <c:v>318.67726971308429</c:v>
                </c:pt>
                <c:pt idx="34">
                  <c:v>335.80664766068833</c:v>
                </c:pt>
                <c:pt idx="35">
                  <c:v>352.91678725781031</c:v>
                </c:pt>
                <c:pt idx="36">
                  <c:v>370.00875225576243</c:v>
                </c:pt>
                <c:pt idx="37">
                  <c:v>387.08350012671536</c:v>
                </c:pt>
                <c:pt idx="38">
                  <c:v>404.14189699910884</c:v>
                </c:pt>
                <c:pt idx="39">
                  <c:v>421.1847299395431</c:v>
                </c:pt>
                <c:pt idx="40">
                  <c:v>438.21271714302674</c:v>
                </c:pt>
                <c:pt idx="41">
                  <c:v>409.2309055733586</c:v>
                </c:pt>
                <c:pt idx="42">
                  <c:v>424.74402100691003</c:v>
                </c:pt>
                <c:pt idx="43">
                  <c:v>440.24494914129082</c:v>
                </c:pt>
                <c:pt idx="44">
                  <c:v>455.73417939563393</c:v>
                </c:pt>
                <c:pt idx="45">
                  <c:v>471.21216521688046</c:v>
                </c:pt>
                <c:pt idx="46">
                  <c:v>486.67932784299177</c:v>
                </c:pt>
                <c:pt idx="47">
                  <c:v>502.13605956295174</c:v>
                </c:pt>
                <c:pt idx="48">
                  <c:v>517.58272655458029</c:v>
                </c:pt>
                <c:pt idx="49">
                  <c:v>533.01967136604617</c:v>
                </c:pt>
                <c:pt idx="50">
                  <c:v>548.44721509505166</c:v>
                </c:pt>
                <c:pt idx="51">
                  <c:v>508.34123843184221</c:v>
                </c:pt>
                <c:pt idx="52">
                  <c:v>521.37958529087553</c:v>
                </c:pt>
                <c:pt idx="53">
                  <c:v>534.41106038471059</c:v>
                </c:pt>
                <c:pt idx="54">
                  <c:v>547.43585484879611</c:v>
                </c:pt>
                <c:pt idx="55">
                  <c:v>560.45414998425224</c:v>
                </c:pt>
                <c:pt idx="56">
                  <c:v>573.46611798533218</c:v>
                </c:pt>
                <c:pt idx="57">
                  <c:v>586.47192259744713</c:v>
                </c:pt>
                <c:pt idx="58">
                  <c:v>599.47171971380703</c:v>
                </c:pt>
                <c:pt idx="59">
                  <c:v>612.46565791763499</c:v>
                </c:pt>
                <c:pt idx="60">
                  <c:v>625.45387897599824</c:v>
                </c:pt>
                <c:pt idx="61">
                  <c:v>583.3157318213639</c:v>
                </c:pt>
                <c:pt idx="62">
                  <c:v>594.17154727265404</c:v>
                </c:pt>
                <c:pt idx="63">
                  <c:v>605.02323669636417</c:v>
                </c:pt>
                <c:pt idx="64">
                  <c:v>615.87088451307397</c:v>
                </c:pt>
                <c:pt idx="65">
                  <c:v>626.71457192765126</c:v>
                </c:pt>
                <c:pt idx="66">
                  <c:v>637.55437710644048</c:v>
                </c:pt>
                <c:pt idx="67">
                  <c:v>648.39037534177726</c:v>
                </c:pt>
                <c:pt idx="68">
                  <c:v>659.22263920494072</c:v>
                </c:pt>
                <c:pt idx="69">
                  <c:v>670.05123868853173</c:v>
                </c:pt>
                <c:pt idx="70">
                  <c:v>680.87624133917325</c:v>
                </c:pt>
                <c:pt idx="71">
                  <c:v>640.83077468835143</c:v>
                </c:pt>
                <c:pt idx="72">
                  <c:v>649.90207658109887</c:v>
                </c:pt>
                <c:pt idx="73">
                  <c:v>658.970767976361</c:v>
                </c:pt>
                <c:pt idx="74">
                  <c:v>668.03688985850647</c:v>
                </c:pt>
                <c:pt idx="75">
                  <c:v>677.10048200897734</c:v>
                </c:pt>
                <c:pt idx="76">
                  <c:v>686.16158305756755</c:v>
                </c:pt>
                <c:pt idx="77">
                  <c:v>695.22023053085525</c:v>
                </c:pt>
                <c:pt idx="78">
                  <c:v>704.27646089797929</c:v>
                </c:pt>
                <c:pt idx="79">
                  <c:v>713.33030961394024</c:v>
                </c:pt>
                <c:pt idx="80">
                  <c:v>722.38181116058831</c:v>
                </c:pt>
                <c:pt idx="81">
                  <c:v>685.40658552693606</c:v>
                </c:pt>
                <c:pt idx="82">
                  <c:v>693.71062477868179</c:v>
                </c:pt>
                <c:pt idx="83">
                  <c:v>702.01262795401772</c:v>
                </c:pt>
                <c:pt idx="84">
                  <c:v>710.31262252176259</c:v>
                </c:pt>
                <c:pt idx="85">
                  <c:v>718.61063525657892</c:v>
                </c:pt>
                <c:pt idx="86">
                  <c:v>726.90669226450052</c:v>
                </c:pt>
                <c:pt idx="87">
                  <c:v>735.20081900723164</c:v>
                </c:pt>
                <c:pt idx="88">
                  <c:v>743.49304032529574</c:v>
                </c:pt>
                <c:pt idx="89">
                  <c:v>751.7833804600956</c:v>
                </c:pt>
                <c:pt idx="90">
                  <c:v>760.07186307495374</c:v>
                </c:pt>
                <c:pt idx="91">
                  <c:v>723.01030136305951</c:v>
                </c:pt>
                <c:pt idx="92">
                  <c:v>731.17966370340821</c:v>
                </c:pt>
                <c:pt idx="93">
                  <c:v>739.34716631546883</c:v>
                </c:pt>
                <c:pt idx="94">
                  <c:v>747.51283263453888</c:v>
                </c:pt>
                <c:pt idx="95">
                  <c:v>755.67668554230625</c:v>
                </c:pt>
                <c:pt idx="96">
                  <c:v>763.83874738589509</c:v>
                </c:pt>
                <c:pt idx="97">
                  <c:v>771.99903999605397</c:v>
                </c:pt>
                <c:pt idx="98">
                  <c:v>780.15758470453738</c:v>
                </c:pt>
                <c:pt idx="99">
                  <c:v>788.31440236071967</c:v>
                </c:pt>
                <c:pt idx="100">
                  <c:v>796.4695133474894</c:v>
                </c:pt>
                <c:pt idx="101">
                  <c:v>9.7721520296583044E-12</c:v>
                </c:pt>
                <c:pt idx="102">
                  <c:v>9.7721520296583044E-12</c:v>
                </c:pt>
                <c:pt idx="103">
                  <c:v>9.7721520296583044E-12</c:v>
                </c:pt>
                <c:pt idx="104">
                  <c:v>9.7721520296583044E-12</c:v>
                </c:pt>
                <c:pt idx="105">
                  <c:v>9.7721520296583044E-12</c:v>
                </c:pt>
                <c:pt idx="106">
                  <c:v>9.7721520296583044E-12</c:v>
                </c:pt>
                <c:pt idx="107">
                  <c:v>9.7721520296583044E-12</c:v>
                </c:pt>
                <c:pt idx="108">
                  <c:v>9.7721520296583044E-12</c:v>
                </c:pt>
                <c:pt idx="109">
                  <c:v>9.7721520296583044E-12</c:v>
                </c:pt>
                <c:pt idx="110">
                  <c:v>9.7721520296583044E-12</c:v>
                </c:pt>
                <c:pt idx="111">
                  <c:v>9.7721520296583044E-12</c:v>
                </c:pt>
                <c:pt idx="112">
                  <c:v>9.7721520296583044E-12</c:v>
                </c:pt>
                <c:pt idx="113">
                  <c:v>9.7721520296583044E-12</c:v>
                </c:pt>
                <c:pt idx="114">
                  <c:v>9.7721520296583044E-12</c:v>
                </c:pt>
                <c:pt idx="115">
                  <c:v>9.7721520296583044E-12</c:v>
                </c:pt>
                <c:pt idx="116">
                  <c:v>9.7721520296583044E-12</c:v>
                </c:pt>
                <c:pt idx="117">
                  <c:v>9.7721520296583044E-12</c:v>
                </c:pt>
                <c:pt idx="118">
                  <c:v>9.7721520296583044E-12</c:v>
                </c:pt>
                <c:pt idx="119">
                  <c:v>9.7721520296583044E-12</c:v>
                </c:pt>
                <c:pt idx="120">
                  <c:v>9.7721520296583044E-12</c:v>
                </c:pt>
                <c:pt idx="121">
                  <c:v>9.7721520296583044E-12</c:v>
                </c:pt>
                <c:pt idx="122">
                  <c:v>9.7721520296583044E-12</c:v>
                </c:pt>
                <c:pt idx="123">
                  <c:v>9.7721520296583044E-12</c:v>
                </c:pt>
                <c:pt idx="124">
                  <c:v>9.7721520296583044E-12</c:v>
                </c:pt>
                <c:pt idx="125">
                  <c:v>9.7721520296583044E-12</c:v>
                </c:pt>
                <c:pt idx="126">
                  <c:v>9.7721520296583044E-12</c:v>
                </c:pt>
                <c:pt idx="127">
                  <c:v>9.7721520296583044E-12</c:v>
                </c:pt>
                <c:pt idx="128">
                  <c:v>9.7721520296583044E-12</c:v>
                </c:pt>
                <c:pt idx="129">
                  <c:v>9.7721520296583044E-12</c:v>
                </c:pt>
                <c:pt idx="130">
                  <c:v>9.7721520296583044E-12</c:v>
                </c:pt>
                <c:pt idx="131">
                  <c:v>9.7721520296583044E-12</c:v>
                </c:pt>
                <c:pt idx="132">
                  <c:v>9.7721520296583044E-12</c:v>
                </c:pt>
                <c:pt idx="133">
                  <c:v>9.7721520296583044E-12</c:v>
                </c:pt>
                <c:pt idx="134">
                  <c:v>9.7721520296583044E-12</c:v>
                </c:pt>
                <c:pt idx="135">
                  <c:v>9.7721520296583044E-12</c:v>
                </c:pt>
                <c:pt idx="136">
                  <c:v>9.7721520296583044E-12</c:v>
                </c:pt>
                <c:pt idx="137">
                  <c:v>9.7721520296583044E-12</c:v>
                </c:pt>
                <c:pt idx="138">
                  <c:v>9.7721520296583044E-12</c:v>
                </c:pt>
                <c:pt idx="139">
                  <c:v>9.7721520296583044E-12</c:v>
                </c:pt>
                <c:pt idx="140">
                  <c:v>9.7721520296583044E-12</c:v>
                </c:pt>
                <c:pt idx="141">
                  <c:v>9.7721520296583044E-12</c:v>
                </c:pt>
                <c:pt idx="142">
                  <c:v>9.7721520296583044E-12</c:v>
                </c:pt>
                <c:pt idx="143">
                  <c:v>9.7721520296583044E-12</c:v>
                </c:pt>
                <c:pt idx="144">
                  <c:v>9.7721520296583044E-12</c:v>
                </c:pt>
                <c:pt idx="145">
                  <c:v>9.7721520296583044E-12</c:v>
                </c:pt>
                <c:pt idx="146">
                  <c:v>9.7721520296583044E-12</c:v>
                </c:pt>
                <c:pt idx="147">
                  <c:v>9.7721520296583044E-12</c:v>
                </c:pt>
                <c:pt idx="148">
                  <c:v>9.7721520296583044E-12</c:v>
                </c:pt>
                <c:pt idx="149">
                  <c:v>9.7721520296583044E-12</c:v>
                </c:pt>
                <c:pt idx="150">
                  <c:v>9.7721520296583044E-12</c:v>
                </c:pt>
                <c:pt idx="151">
                  <c:v>9.7721520296583044E-12</c:v>
                </c:pt>
                <c:pt idx="152">
                  <c:v>9.7721520296583044E-12</c:v>
                </c:pt>
                <c:pt idx="153">
                  <c:v>9.7721520296583044E-12</c:v>
                </c:pt>
                <c:pt idx="154">
                  <c:v>9.7721520296583044E-12</c:v>
                </c:pt>
                <c:pt idx="155">
                  <c:v>9.7721520296583044E-12</c:v>
                </c:pt>
                <c:pt idx="156">
                  <c:v>9.7721520296583044E-12</c:v>
                </c:pt>
                <c:pt idx="157">
                  <c:v>9.7721520296583044E-12</c:v>
                </c:pt>
                <c:pt idx="158">
                  <c:v>9.7721520296583044E-12</c:v>
                </c:pt>
                <c:pt idx="159">
                  <c:v>9.7721520296583044E-12</c:v>
                </c:pt>
                <c:pt idx="160">
                  <c:v>9.7721520296583044E-12</c:v>
                </c:pt>
                <c:pt idx="161">
                  <c:v>9.7721520296583044E-12</c:v>
                </c:pt>
                <c:pt idx="162">
                  <c:v>9.7721520296583044E-12</c:v>
                </c:pt>
                <c:pt idx="163">
                  <c:v>9.7721520296583044E-12</c:v>
                </c:pt>
                <c:pt idx="164">
                  <c:v>9.7721520296583044E-12</c:v>
                </c:pt>
                <c:pt idx="165">
                  <c:v>9.7721520296583044E-12</c:v>
                </c:pt>
                <c:pt idx="166">
                  <c:v>9.7721520296583044E-12</c:v>
                </c:pt>
                <c:pt idx="167">
                  <c:v>9.7721520296583044E-12</c:v>
                </c:pt>
                <c:pt idx="168">
                  <c:v>9.7721520296583044E-12</c:v>
                </c:pt>
                <c:pt idx="169">
                  <c:v>9.7721520296583044E-12</c:v>
                </c:pt>
                <c:pt idx="170">
                  <c:v>9.7721520296583044E-12</c:v>
                </c:pt>
                <c:pt idx="171">
                  <c:v>9.7721520296583044E-12</c:v>
                </c:pt>
                <c:pt idx="172">
                  <c:v>9.7721520296583044E-12</c:v>
                </c:pt>
                <c:pt idx="173">
                  <c:v>9.7721520296583044E-12</c:v>
                </c:pt>
                <c:pt idx="174">
                  <c:v>9.7721520296583044E-12</c:v>
                </c:pt>
                <c:pt idx="175">
                  <c:v>9.7721520296583044E-12</c:v>
                </c:pt>
                <c:pt idx="176">
                  <c:v>9.7721520296583044E-12</c:v>
                </c:pt>
                <c:pt idx="177">
                  <c:v>9.7721520296583044E-12</c:v>
                </c:pt>
                <c:pt idx="178">
                  <c:v>9.7721520296583044E-12</c:v>
                </c:pt>
                <c:pt idx="179">
                  <c:v>9.7721520296583044E-12</c:v>
                </c:pt>
                <c:pt idx="180">
                  <c:v>9.7721520296583044E-12</c:v>
                </c:pt>
                <c:pt idx="181">
                  <c:v>9.7721520296583044E-12</c:v>
                </c:pt>
                <c:pt idx="182">
                  <c:v>9.7721520296583044E-12</c:v>
                </c:pt>
                <c:pt idx="183">
                  <c:v>9.7721520296583044E-12</c:v>
                </c:pt>
                <c:pt idx="184">
                  <c:v>9.7721520296583044E-12</c:v>
                </c:pt>
                <c:pt idx="185">
                  <c:v>9.7721520296583044E-12</c:v>
                </c:pt>
                <c:pt idx="186">
                  <c:v>9.7721520296583044E-12</c:v>
                </c:pt>
                <c:pt idx="187">
                  <c:v>9.7721520296583044E-12</c:v>
                </c:pt>
                <c:pt idx="188">
                  <c:v>9.7721520296583044E-12</c:v>
                </c:pt>
                <c:pt idx="189">
                  <c:v>9.7721520296583044E-12</c:v>
                </c:pt>
                <c:pt idx="190">
                  <c:v>9.7721520296583044E-12</c:v>
                </c:pt>
                <c:pt idx="191">
                  <c:v>9.7721520296583044E-12</c:v>
                </c:pt>
                <c:pt idx="192">
                  <c:v>9.7721520296583044E-12</c:v>
                </c:pt>
                <c:pt idx="193">
                  <c:v>9.7721520296583044E-12</c:v>
                </c:pt>
                <c:pt idx="194">
                  <c:v>9.7721520296583044E-12</c:v>
                </c:pt>
                <c:pt idx="195">
                  <c:v>9.7721520296583044E-12</c:v>
                </c:pt>
                <c:pt idx="196">
                  <c:v>9.7721520296583044E-12</c:v>
                </c:pt>
                <c:pt idx="197">
                  <c:v>9.7721520296583044E-12</c:v>
                </c:pt>
                <c:pt idx="198">
                  <c:v>9.7721520296583044E-12</c:v>
                </c:pt>
                <c:pt idx="199">
                  <c:v>9.7721520296583044E-12</c:v>
                </c:pt>
                <c:pt idx="200">
                  <c:v>9.7721520296583044E-12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3.3988447655877327</c:v>
                </c:pt>
                <c:pt idx="2">
                  <c:v>4.0063178504214578</c:v>
                </c:pt>
                <c:pt idx="3">
                  <c:v>4.7227575716915684</c:v>
                </c:pt>
                <c:pt idx="4">
                  <c:v>5.5677765638419956</c:v>
                </c:pt>
                <c:pt idx="5">
                  <c:v>6.5645287036091462</c:v>
                </c:pt>
                <c:pt idx="6">
                  <c:v>7.74035039721337</c:v>
                </c:pt>
                <c:pt idx="7">
                  <c:v>9.1275183141814384</c:v>
                </c:pt>
                <c:pt idx="8">
                  <c:v>10.7641447651161</c:v>
                </c:pt>
                <c:pt idx="9">
                  <c:v>12.695235788134896</c:v>
                </c:pt>
                <c:pt idx="10">
                  <c:v>14.973941583161505</c:v>
                </c:pt>
                <c:pt idx="11">
                  <c:v>17.663034344276738</c:v>
                </c:pt>
                <c:pt idx="12">
                  <c:v>20.83665494119186</c:v>
                </c:pt>
                <c:pt idx="13">
                  <c:v>24.582377472990316</c:v>
                </c:pt>
                <c:pt idx="14">
                  <c:v>29.003649675287779</c:v>
                </c:pt>
                <c:pt idx="15">
                  <c:v>34.222677759995427</c:v>
                </c:pt>
                <c:pt idx="16">
                  <c:v>40.383836805712463</c:v>
                </c:pt>
                <c:pt idx="17">
                  <c:v>47.657702652443085</c:v>
                </c:pt>
                <c:pt idx="18">
                  <c:v>56.245818808260594</c:v>
                </c:pt>
                <c:pt idx="19">
                  <c:v>66.386332646599115</c:v>
                </c:pt>
                <c:pt idx="20">
                  <c:v>78.360659751606121</c:v>
                </c:pt>
                <c:pt idx="21">
                  <c:v>92.501364354563762</c:v>
                </c:pt>
                <c:pt idx="22">
                  <c:v>109.20147822446989</c:v>
                </c:pt>
                <c:pt idx="23">
                  <c:v>128.9255211103534</c:v>
                </c:pt>
                <c:pt idx="24">
                  <c:v>152.22253404193577</c:v>
                </c:pt>
                <c:pt idx="25">
                  <c:v>179.7414938524295</c:v>
                </c:pt>
                <c:pt idx="26">
                  <c:v>177.27333024872806</c:v>
                </c:pt>
                <c:pt idx="27">
                  <c:v>194.53421785197463</c:v>
                </c:pt>
                <c:pt idx="28">
                  <c:v>211.75950715739978</c:v>
                </c:pt>
                <c:pt idx="29">
                  <c:v>228.952501957349</c:v>
                </c:pt>
                <c:pt idx="30">
                  <c:v>246.11596889508897</c:v>
                </c:pt>
                <c:pt idx="31">
                  <c:v>213.72599909690823</c:v>
                </c:pt>
                <c:pt idx="32">
                  <c:v>232.87809260519506</c:v>
                </c:pt>
                <c:pt idx="33">
                  <c:v>251.99422148253385</c:v>
                </c:pt>
                <c:pt idx="34">
                  <c:v>271.07749746879057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279.87482760648737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341.29370500183649</c:v>
                </c:pt>
                <c:pt idx="41">
                  <c:v>310.61803673581045</c:v>
                </c:pt>
                <c:pt idx="42">
                  <c:v>331.07553091004479</c:v>
                </c:pt>
                <c:pt idx="43">
                  <c:v>351.50515324795106</c:v>
                </c:pt>
                <c:pt idx="44">
                  <c:v>371.90875069809857</c:v>
                </c:pt>
                <c:pt idx="45">
                  <c:v>392.28795108310914</c:v>
                </c:pt>
                <c:pt idx="46">
                  <c:v>361.71009867648337</c:v>
                </c:pt>
                <c:pt idx="47">
                  <c:v>382.10130629614451</c:v>
                </c:pt>
                <c:pt idx="48">
                  <c:v>402.46886024158624</c:v>
                </c:pt>
                <c:pt idx="49">
                  <c:v>422.81412521128323</c:v>
                </c:pt>
                <c:pt idx="50">
                  <c:v>443.1383239214918</c:v>
                </c:pt>
                <c:pt idx="51">
                  <c:v>411.67535507613934</c:v>
                </c:pt>
                <c:pt idx="52">
                  <c:v>431.04305967702021</c:v>
                </c:pt>
                <c:pt idx="53">
                  <c:v>450.39207405650882</c:v>
                </c:pt>
                <c:pt idx="54">
                  <c:v>469.72331365057767</c:v>
                </c:pt>
                <c:pt idx="55">
                  <c:v>489.03761244496371</c:v>
                </c:pt>
                <c:pt idx="56">
                  <c:v>456.19327286423237</c:v>
                </c:pt>
                <c:pt idx="57">
                  <c:v>474.07047968953492</c:v>
                </c:pt>
                <c:pt idx="58">
                  <c:v>491.93334412983972</c:v>
                </c:pt>
                <c:pt idx="59">
                  <c:v>509.78245999620441</c:v>
                </c:pt>
                <c:pt idx="60">
                  <c:v>527.61837615010927</c:v>
                </c:pt>
                <c:pt idx="61">
                  <c:v>494.34617766082982</c:v>
                </c:pt>
                <c:pt idx="62">
                  <c:v>511.71129412952865</c:v>
                </c:pt>
                <c:pt idx="63">
                  <c:v>529.06396873094207</c:v>
                </c:pt>
                <c:pt idx="64">
                  <c:v>546.40466675747416</c:v>
                </c:pt>
                <c:pt idx="65">
                  <c:v>563.73382157834374</c:v>
                </c:pt>
                <c:pt idx="66">
                  <c:v>529.54581443344262</c:v>
                </c:pt>
                <c:pt idx="67">
                  <c:v>545.92313850649077</c:v>
                </c:pt>
                <c:pt idx="68">
                  <c:v>562.29015617795403</c:v>
                </c:pt>
                <c:pt idx="69">
                  <c:v>578.64720951981633</c:v>
                </c:pt>
                <c:pt idx="70">
                  <c:v>594.99461969957758</c:v>
                </c:pt>
                <c:pt idx="71">
                  <c:v>559.88387470132386</c:v>
                </c:pt>
                <c:pt idx="72">
                  <c:v>575.28037945503661</c:v>
                </c:pt>
                <c:pt idx="73">
                  <c:v>590.66828519192734</c:v>
                </c:pt>
                <c:pt idx="74">
                  <c:v>606.04784736226065</c:v>
                </c:pt>
                <c:pt idx="75">
                  <c:v>621.41930740164844</c:v>
                </c:pt>
                <c:pt idx="76">
                  <c:v>585.37964629167152</c:v>
                </c:pt>
                <c:pt idx="77">
                  <c:v>599.80089073891179</c:v>
                </c:pt>
                <c:pt idx="78">
                  <c:v>614.21492950597724</c:v>
                </c:pt>
                <c:pt idx="79">
                  <c:v>628.62195542698873</c:v>
                </c:pt>
                <c:pt idx="80">
                  <c:v>643.02215178129484</c:v>
                </c:pt>
                <c:pt idx="81">
                  <c:v>606.04784736226065</c:v>
                </c:pt>
                <c:pt idx="82">
                  <c:v>619.49831005268175</c:v>
                </c:pt>
                <c:pt idx="83">
                  <c:v>632.94272333646688</c:v>
                </c:pt>
                <c:pt idx="84">
                  <c:v>646.3812337541533</c:v>
                </c:pt>
                <c:pt idx="85">
                  <c:v>659.81398125926046</c:v>
                </c:pt>
                <c:pt idx="86">
                  <c:v>622.37975992032568</c:v>
                </c:pt>
                <c:pt idx="87">
                  <c:v>635.3428861503254</c:v>
                </c:pt>
                <c:pt idx="88">
                  <c:v>648.30054732947394</c:v>
                </c:pt>
                <c:pt idx="89">
                  <c:v>661.25286802950598</c:v>
                </c:pt>
                <c:pt idx="90">
                  <c:v>674.19996754655403</c:v>
                </c:pt>
                <c:pt idx="91">
                  <c:v>635.82289619917935</c:v>
                </c:pt>
                <c:pt idx="92">
                  <c:v>647.82072993888221</c:v>
                </c:pt>
                <c:pt idx="93">
                  <c:v>659.81398125926</c:v>
                </c:pt>
                <c:pt idx="94">
                  <c:v>671.80274515801261</c:v>
                </c:pt>
                <c:pt idx="95">
                  <c:v>683.78711296727249</c:v>
                </c:pt>
                <c:pt idx="96">
                  <c:v>644.94167141936043</c:v>
                </c:pt>
                <c:pt idx="97">
                  <c:v>656.45632723772906</c:v>
                </c:pt>
                <c:pt idx="98">
                  <c:v>667.96682330576868</c:v>
                </c:pt>
                <c:pt idx="99">
                  <c:v>679.4732413797783</c:v>
                </c:pt>
                <c:pt idx="100">
                  <c:v>690.97566022245337</c:v>
                </c:pt>
                <c:pt idx="101">
                  <c:v>651.17929806084999</c:v>
                </c:pt>
                <c:pt idx="102">
                  <c:v>661.73248262190066</c:v>
                </c:pt>
                <c:pt idx="103">
                  <c:v>672.28220367940514</c:v>
                </c:pt>
                <c:pt idx="104">
                  <c:v>682.82852322779843</c:v>
                </c:pt>
                <c:pt idx="105">
                  <c:v>693.37150119100806</c:v>
                </c:pt>
                <c:pt idx="106">
                  <c:v>655.49693261541245</c:v>
                </c:pt>
                <c:pt idx="107">
                  <c:v>665.56914225443347</c:v>
                </c:pt>
                <c:pt idx="108">
                  <c:v>675.63821687718735</c:v>
                </c:pt>
                <c:pt idx="109">
                  <c:v>685.70420977768742</c:v>
                </c:pt>
                <c:pt idx="110">
                  <c:v>695.76717255815322</c:v>
                </c:pt>
                <c:pt idx="111">
                  <c:v>659.33433798500698</c:v>
                </c:pt>
                <c:pt idx="112">
                  <c:v>668.44633825452308</c:v>
                </c:pt>
                <c:pt idx="113">
                  <c:v>677.5557848496743</c:v>
                </c:pt>
                <c:pt idx="114">
                  <c:v>686.66271693662009</c:v>
                </c:pt>
                <c:pt idx="115">
                  <c:v>695.76717255815345</c:v>
                </c:pt>
                <c:pt idx="116">
                  <c:v>661.25286802950575</c:v>
                </c:pt>
                <c:pt idx="117">
                  <c:v>669.88484068221362</c:v>
                </c:pt>
                <c:pt idx="118">
                  <c:v>678.51452702253539</c:v>
                </c:pt>
                <c:pt idx="119">
                  <c:v>687.14196022370061</c:v>
                </c:pt>
                <c:pt idx="120">
                  <c:v>695.76717255815367</c:v>
                </c:pt>
                <c:pt idx="121">
                  <c:v>3.5126381983529106E-12</c:v>
                </c:pt>
                <c:pt idx="122">
                  <c:v>3.5126381983529106E-12</c:v>
                </c:pt>
                <c:pt idx="123">
                  <c:v>3.5126381983529106E-12</c:v>
                </c:pt>
                <c:pt idx="124">
                  <c:v>3.5126381983529106E-12</c:v>
                </c:pt>
                <c:pt idx="125">
                  <c:v>3.5126381983529106E-12</c:v>
                </c:pt>
                <c:pt idx="126">
                  <c:v>3.5126381983529106E-12</c:v>
                </c:pt>
                <c:pt idx="127">
                  <c:v>3.5126381983529106E-12</c:v>
                </c:pt>
                <c:pt idx="128">
                  <c:v>3.5126381983529106E-12</c:v>
                </c:pt>
                <c:pt idx="129">
                  <c:v>3.5126381983529106E-12</c:v>
                </c:pt>
                <c:pt idx="130">
                  <c:v>3.5126381983529106E-12</c:v>
                </c:pt>
                <c:pt idx="131">
                  <c:v>3.5126381983529106E-12</c:v>
                </c:pt>
                <c:pt idx="132">
                  <c:v>3.5126381983529106E-12</c:v>
                </c:pt>
                <c:pt idx="133">
                  <c:v>3.5126381983529106E-12</c:v>
                </c:pt>
                <c:pt idx="134">
                  <c:v>3.5126381983529106E-12</c:v>
                </c:pt>
                <c:pt idx="135">
                  <c:v>3.5126381983529106E-12</c:v>
                </c:pt>
                <c:pt idx="136">
                  <c:v>3.5126381983529106E-12</c:v>
                </c:pt>
                <c:pt idx="137">
                  <c:v>3.5126381983529106E-12</c:v>
                </c:pt>
                <c:pt idx="138">
                  <c:v>3.5126381983529106E-12</c:v>
                </c:pt>
                <c:pt idx="139">
                  <c:v>3.5126381983529106E-12</c:v>
                </c:pt>
                <c:pt idx="140">
                  <c:v>3.5126381983529106E-12</c:v>
                </c:pt>
                <c:pt idx="141">
                  <c:v>3.5126381983529106E-12</c:v>
                </c:pt>
                <c:pt idx="142">
                  <c:v>3.5126381983529106E-12</c:v>
                </c:pt>
                <c:pt idx="143">
                  <c:v>3.5126381983529106E-12</c:v>
                </c:pt>
                <c:pt idx="144">
                  <c:v>3.5126381983529106E-12</c:v>
                </c:pt>
                <c:pt idx="145">
                  <c:v>3.5126381983529106E-12</c:v>
                </c:pt>
                <c:pt idx="146">
                  <c:v>3.5126381983529106E-12</c:v>
                </c:pt>
                <c:pt idx="147">
                  <c:v>3.5126381983529106E-12</c:v>
                </c:pt>
                <c:pt idx="148">
                  <c:v>3.5126381983529106E-12</c:v>
                </c:pt>
                <c:pt idx="149">
                  <c:v>3.5126381983529106E-12</c:v>
                </c:pt>
                <c:pt idx="150">
                  <c:v>3.5126381983529106E-12</c:v>
                </c:pt>
                <c:pt idx="151">
                  <c:v>3.5126381983529106E-12</c:v>
                </c:pt>
                <c:pt idx="152">
                  <c:v>3.5126381983529106E-12</c:v>
                </c:pt>
                <c:pt idx="153">
                  <c:v>3.5126381983529106E-12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3.3593142113999446</c:v>
                </c:pt>
                <c:pt idx="2">
                  <c:v>4.2512055954020909</c:v>
                </c:pt>
                <c:pt idx="3">
                  <c:v>5.3808087110885836</c:v>
                </c:pt>
                <c:pt idx="4">
                  <c:v>6.8117095476578911</c:v>
                </c:pt>
                <c:pt idx="5">
                  <c:v>8.624560232032632</c:v>
                </c:pt>
                <c:pt idx="6">
                  <c:v>10.921673772963684</c:v>
                </c:pt>
                <c:pt idx="7">
                  <c:v>13.832859398836844</c:v>
                </c:pt>
                <c:pt idx="8">
                  <c:v>17.522834329104224</c:v>
                </c:pt>
                <c:pt idx="9">
                  <c:v>22.200638950201622</c:v>
                </c:pt>
                <c:pt idx="10">
                  <c:v>28.131598279472954</c:v>
                </c:pt>
                <c:pt idx="11">
                  <c:v>35.652520047063994</c:v>
                </c:pt>
                <c:pt idx="12">
                  <c:v>45.191007300896956</c:v>
                </c:pt>
                <c:pt idx="13">
                  <c:v>57.290002085248467</c:v>
                </c:pt>
                <c:pt idx="14">
                  <c:v>72.638980388965962</c:v>
                </c:pt>
                <c:pt idx="15">
                  <c:v>92.113604940440496</c:v>
                </c:pt>
                <c:pt idx="16">
                  <c:v>116.82613412541201</c:v>
                </c:pt>
                <c:pt idx="17">
                  <c:v>148.18951107608487</c:v>
                </c:pt>
                <c:pt idx="18">
                  <c:v>187.99885344460608</c:v>
                </c:pt>
                <c:pt idx="19">
                  <c:v>238.53507816565158</c:v>
                </c:pt>
                <c:pt idx="20">
                  <c:v>302.69668602614541</c:v>
                </c:pt>
                <c:pt idx="21">
                  <c:v>217.79908728584903</c:v>
                </c:pt>
                <c:pt idx="22">
                  <c:v>245.27020627729783</c:v>
                </c:pt>
                <c:pt idx="23">
                  <c:v>272.67139558823362</c:v>
                </c:pt>
                <c:pt idx="24">
                  <c:v>300.01066789932742</c:v>
                </c:pt>
                <c:pt idx="25">
                  <c:v>327.29445525818039</c:v>
                </c:pt>
                <c:pt idx="26">
                  <c:v>269.979058445666</c:v>
                </c:pt>
                <c:pt idx="27">
                  <c:v>295.53277741228084</c:v>
                </c:pt>
                <c:pt idx="28">
                  <c:v>321.03721740761085</c:v>
                </c:pt>
                <c:pt idx="29">
                  <c:v>346.49684097792692</c:v>
                </c:pt>
                <c:pt idx="30">
                  <c:v>371.91540142867387</c:v>
                </c:pt>
                <c:pt idx="31">
                  <c:v>312.98822099272894</c:v>
                </c:pt>
                <c:pt idx="32">
                  <c:v>336.67537731567239</c:v>
                </c:pt>
                <c:pt idx="33">
                  <c:v>360.3258481747319</c:v>
                </c:pt>
                <c:pt idx="34">
                  <c:v>383.94237824864871</c:v>
                </c:pt>
                <c:pt idx="35">
                  <c:v>407.52734715549917</c:v>
                </c:pt>
                <c:pt idx="36">
                  <c:v>348.72813241867385</c:v>
                </c:pt>
                <c:pt idx="37">
                  <c:v>370.13291266764713</c:v>
                </c:pt>
                <c:pt idx="38">
                  <c:v>391.51070110892806</c:v>
                </c:pt>
                <c:pt idx="39">
                  <c:v>412.86317791095013</c:v>
                </c:pt>
                <c:pt idx="40">
                  <c:v>434.19183536337567</c:v>
                </c:pt>
                <c:pt idx="41">
                  <c:v>379.93431009929617</c:v>
                </c:pt>
                <c:pt idx="42">
                  <c:v>399.07585073697027</c:v>
                </c:pt>
                <c:pt idx="43">
                  <c:v>418.19752072724322</c:v>
                </c:pt>
                <c:pt idx="44">
                  <c:v>437.30035599156082</c:v>
                </c:pt>
                <c:pt idx="45">
                  <c:v>456.38529460741051</c:v>
                </c:pt>
                <c:pt idx="46">
                  <c:v>404.8588668594266</c:v>
                </c:pt>
                <c:pt idx="47">
                  <c:v>422.19731444089211</c:v>
                </c:pt>
                <c:pt idx="48">
                  <c:v>439.52043738326148</c:v>
                </c:pt>
                <c:pt idx="49">
                  <c:v>456.82892444864393</c:v>
                </c:pt>
                <c:pt idx="50">
                  <c:v>474.12340797215137</c:v>
                </c:pt>
                <c:pt idx="51">
                  <c:v>427.08484415931986</c:v>
                </c:pt>
                <c:pt idx="52">
                  <c:v>442.18421773144979</c:v>
                </c:pt>
                <c:pt idx="53">
                  <c:v>457.27254508580171</c:v>
                </c:pt>
                <c:pt idx="54">
                  <c:v>472.35024193902177</c:v>
                </c:pt>
                <c:pt idx="55">
                  <c:v>487.41769531100323</c:v>
                </c:pt>
                <c:pt idx="56">
                  <c:v>445.2915269603206</c:v>
                </c:pt>
                <c:pt idx="57">
                  <c:v>458.60335187474658</c:v>
                </c:pt>
                <c:pt idx="58">
                  <c:v>471.90692830623647</c:v>
                </c:pt>
                <c:pt idx="59">
                  <c:v>485.20252151676613</c:v>
                </c:pt>
                <c:pt idx="60">
                  <c:v>498.49038104754044</c:v>
                </c:pt>
                <c:pt idx="61">
                  <c:v>461.26471831333356</c:v>
                </c:pt>
                <c:pt idx="62">
                  <c:v>472.7935467125244</c:v>
                </c:pt>
                <c:pt idx="63">
                  <c:v>484.31639192009379</c:v>
                </c:pt>
                <c:pt idx="64">
                  <c:v>495.83341635114584</c:v>
                </c:pt>
                <c:pt idx="65">
                  <c:v>507.34477426054747</c:v>
                </c:pt>
                <c:pt idx="66">
                  <c:v>473.23684263623528</c:v>
                </c:pt>
                <c:pt idx="67">
                  <c:v>483.43022788495313</c:v>
                </c:pt>
                <c:pt idx="68">
                  <c:v>493.61904869023584</c:v>
                </c:pt>
                <c:pt idx="69">
                  <c:v>503.80341255966488</c:v>
                </c:pt>
                <c:pt idx="70">
                  <c:v>513.98342229938953</c:v>
                </c:pt>
                <c:pt idx="71">
                  <c:v>485.2025215167659</c:v>
                </c:pt>
                <c:pt idx="72">
                  <c:v>494.06193903689751</c:v>
                </c:pt>
                <c:pt idx="73">
                  <c:v>502.91798999726444</c:v>
                </c:pt>
                <c:pt idx="74">
                  <c:v>511.77074205369485</c:v>
                </c:pt>
                <c:pt idx="75">
                  <c:v>520.62026032995084</c:v>
                </c:pt>
                <c:pt idx="76">
                  <c:v>495.39055961625405</c:v>
                </c:pt>
                <c:pt idx="77">
                  <c:v>503.36070539768843</c:v>
                </c:pt>
                <c:pt idx="78">
                  <c:v>511.32818178456893</c:v>
                </c:pt>
                <c:pt idx="79">
                  <c:v>519.2930362497458</c:v>
                </c:pt>
                <c:pt idx="80">
                  <c:v>527.25531469060411</c:v>
                </c:pt>
                <c:pt idx="81">
                  <c:v>505.13148469753651</c:v>
                </c:pt>
                <c:pt idx="82">
                  <c:v>511.77074205369485</c:v>
                </c:pt>
                <c:pt idx="83">
                  <c:v>518.40818045759727</c:v>
                </c:pt>
                <c:pt idx="84">
                  <c:v>525.04382649327351</c:v>
                </c:pt>
                <c:pt idx="85">
                  <c:v>531.67770601770815</c:v>
                </c:pt>
                <c:pt idx="86">
                  <c:v>510.88561342349595</c:v>
                </c:pt>
                <c:pt idx="87">
                  <c:v>516.63837322125119</c:v>
                </c:pt>
                <c:pt idx="88">
                  <c:v>522.38978149240131</c:v>
                </c:pt>
                <c:pt idx="89">
                  <c:v>528.13985522390828</c:v>
                </c:pt>
                <c:pt idx="90">
                  <c:v>533.88861100248539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3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3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3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3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3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3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3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3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3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3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3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3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3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3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3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3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3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3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18" sqref="C1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6" t="s">
        <v>231</v>
      </c>
      <c r="B5" s="306"/>
      <c r="C5" s="26">
        <v>12.21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0.191</v>
      </c>
      <c r="D9" s="36">
        <f t="shared" ref="D9:D18" si="0">C9*$C$5</f>
        <v>2.3321100000000001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122</v>
      </c>
      <c r="C10" s="35">
        <v>0.113</v>
      </c>
      <c r="D10" s="36">
        <f t="shared" si="0"/>
        <v>1.3797300000000001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0.187</v>
      </c>
      <c r="D11" s="36">
        <f t="shared" si="0"/>
        <v>2.2832700000000004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0.12</v>
      </c>
      <c r="D12" s="36">
        <f t="shared" si="0"/>
        <v>1.4652000000000001</v>
      </c>
      <c r="E12" s="37">
        <v>165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38</v>
      </c>
      <c r="C13" s="35">
        <v>7.3999999999999996E-2</v>
      </c>
      <c r="D13" s="36">
        <f t="shared" si="0"/>
        <v>0.90354000000000001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16</v>
      </c>
      <c r="C14" s="35">
        <v>5.8999999999999997E-2</v>
      </c>
      <c r="D14" s="36">
        <f t="shared" si="0"/>
        <v>0.72038999999999997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9</v>
      </c>
      <c r="C15" s="35">
        <v>9.5000000000000001E-2</v>
      </c>
      <c r="D15" s="36">
        <f t="shared" si="0"/>
        <v>1.15995</v>
      </c>
      <c r="E15" s="37">
        <v>90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12</v>
      </c>
      <c r="C16" s="35">
        <v>5.8999999999999997E-2</v>
      </c>
      <c r="D16" s="36">
        <f t="shared" si="0"/>
        <v>0.72038999999999997</v>
      </c>
      <c r="E16" s="37">
        <v>115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35</v>
      </c>
      <c r="C17" s="35">
        <v>0.10199999999999999</v>
      </c>
      <c r="D17" s="36">
        <f t="shared" si="0"/>
        <v>1.24542</v>
      </c>
      <c r="E17" s="37">
        <v>82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12.21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257</v>
      </c>
      <c r="C36" s="63">
        <v>1</v>
      </c>
      <c r="D36" s="63">
        <v>257</v>
      </c>
      <c r="E36" s="54">
        <v>0.77</v>
      </c>
      <c r="F36" s="54">
        <v>0.21</v>
      </c>
      <c r="G36" s="54"/>
      <c r="H36" s="54"/>
      <c r="I36" s="52">
        <f>IFERROR(B36/A36,"")</f>
        <v>12.85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Blanc du Poitou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257</v>
      </c>
      <c r="C62" s="63">
        <v>1</v>
      </c>
      <c r="D62" s="63">
        <v>257</v>
      </c>
      <c r="E62" s="54">
        <v>0.77</v>
      </c>
      <c r="F62" s="54">
        <v>0.21</v>
      </c>
      <c r="G62" s="54"/>
      <c r="H62" s="54"/>
      <c r="I62" s="56">
        <f>IFERROR(B62/A62,"")</f>
        <v>12.85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v>195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6.5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35</v>
      </c>
      <c r="B89" s="63">
        <v>280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17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42</v>
      </c>
      <c r="B90" s="63">
        <v>417</v>
      </c>
      <c r="C90" s="63">
        <v>3</v>
      </c>
      <c r="D90" s="63">
        <v>182</v>
      </c>
      <c r="E90" s="93"/>
      <c r="F90" s="93"/>
      <c r="G90" s="93"/>
      <c r="H90" s="93"/>
      <c r="I90" s="56">
        <f t="shared" si="3"/>
        <v>19.571428571428573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43</v>
      </c>
      <c r="B91" s="63">
        <v>256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3">
        <v>361</v>
      </c>
      <c r="C92" s="63">
        <v>5</v>
      </c>
      <c r="D92" s="63">
        <v>100</v>
      </c>
      <c r="E92" s="93"/>
      <c r="F92" s="93"/>
      <c r="G92" s="93"/>
      <c r="H92" s="93"/>
      <c r="I92" s="56">
        <f t="shared" si="3"/>
        <v>17.5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278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56</v>
      </c>
      <c r="B94" s="63">
        <v>380</v>
      </c>
      <c r="C94" s="63">
        <v>7</v>
      </c>
      <c r="D94" s="63">
        <v>79</v>
      </c>
      <c r="E94" s="93"/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57</v>
      </c>
      <c r="B95" s="63">
        <v>316</v>
      </c>
      <c r="C95" s="63">
        <v>8</v>
      </c>
      <c r="D95" s="63">
        <v>0</v>
      </c>
      <c r="E95" s="93"/>
      <c r="F95" s="93"/>
      <c r="G95" s="93"/>
      <c r="H95" s="93"/>
      <c r="I95" s="56">
        <f t="shared" si="3"/>
        <v>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63</v>
      </c>
      <c r="B96" s="63">
        <v>416</v>
      </c>
      <c r="C96" s="63">
        <v>9</v>
      </c>
      <c r="D96" s="63">
        <v>79</v>
      </c>
      <c r="E96" s="93"/>
      <c r="F96" s="93"/>
      <c r="G96" s="93"/>
      <c r="H96" s="93"/>
      <c r="I96" s="56">
        <f t="shared" si="3"/>
        <v>16.666666666666668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64</v>
      </c>
      <c r="B97" s="63">
        <v>353</v>
      </c>
      <c r="C97" s="63">
        <v>10</v>
      </c>
      <c r="D97" s="63">
        <v>0</v>
      </c>
      <c r="E97" s="93"/>
      <c r="F97" s="93"/>
      <c r="G97" s="93"/>
      <c r="H97" s="93"/>
      <c r="I97" s="56">
        <f t="shared" si="3"/>
        <v>16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71</v>
      </c>
      <c r="B98" s="63">
        <v>466</v>
      </c>
      <c r="C98" s="63">
        <v>11</v>
      </c>
      <c r="D98" s="63">
        <v>91</v>
      </c>
      <c r="E98" s="93"/>
      <c r="F98" s="93"/>
      <c r="G98" s="93"/>
      <c r="H98" s="93"/>
      <c r="I98" s="56">
        <f t="shared" si="3"/>
        <v>16.142857142857142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72</v>
      </c>
      <c r="B99" s="63">
        <v>390</v>
      </c>
      <c r="C99" s="63">
        <v>12</v>
      </c>
      <c r="D99" s="63">
        <v>0</v>
      </c>
      <c r="E99" s="93"/>
      <c r="F99" s="93"/>
      <c r="G99" s="93"/>
      <c r="H99" s="93"/>
      <c r="I99" s="56">
        <f t="shared" si="3"/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79</v>
      </c>
      <c r="B100" s="63">
        <v>496</v>
      </c>
      <c r="C100" s="63">
        <v>13</v>
      </c>
      <c r="D100" s="63">
        <v>88</v>
      </c>
      <c r="E100" s="68"/>
      <c r="F100" s="68"/>
      <c r="G100" s="68"/>
      <c r="H100" s="68"/>
      <c r="I100" s="56">
        <f t="shared" si="3"/>
        <v>15.142857142857142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423</v>
      </c>
      <c r="C101" s="63">
        <v>14</v>
      </c>
      <c r="D101" s="63">
        <v>0</v>
      </c>
      <c r="E101" s="68"/>
      <c r="F101" s="68"/>
      <c r="G101" s="68"/>
      <c r="H101" s="68"/>
      <c r="I101" s="56">
        <f t="shared" si="3"/>
        <v>15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87</v>
      </c>
      <c r="B102" s="53">
        <v>522</v>
      </c>
      <c r="C102" s="63">
        <v>15</v>
      </c>
      <c r="D102" s="53">
        <v>89</v>
      </c>
      <c r="E102" s="57"/>
      <c r="F102" s="57"/>
      <c r="G102" s="57"/>
      <c r="H102" s="57"/>
      <c r="I102" s="56">
        <f t="shared" si="3"/>
        <v>14.142857142857142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88</v>
      </c>
      <c r="B103" s="53">
        <v>447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14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94</v>
      </c>
      <c r="B104" s="53">
        <v>525</v>
      </c>
      <c r="C104" s="63">
        <v>17</v>
      </c>
      <c r="D104" s="53">
        <v>0</v>
      </c>
      <c r="E104" s="57"/>
      <c r="F104" s="57"/>
      <c r="G104" s="57"/>
      <c r="H104" s="57"/>
      <c r="I104" s="56">
        <f t="shared" si="3"/>
        <v>13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95</v>
      </c>
      <c r="B105" s="53">
        <v>538</v>
      </c>
      <c r="C105" s="53">
        <v>18</v>
      </c>
      <c r="D105" s="53">
        <v>269</v>
      </c>
      <c r="E105" s="57"/>
      <c r="F105" s="57"/>
      <c r="G105" s="57"/>
      <c r="H105" s="57"/>
      <c r="I105" s="56">
        <f t="shared" si="3"/>
        <v>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96</v>
      </c>
      <c r="B106" s="53">
        <v>280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105</v>
      </c>
      <c r="B107" s="53">
        <v>357</v>
      </c>
      <c r="C107" s="53">
        <v>20</v>
      </c>
      <c r="D107" s="53">
        <v>357</v>
      </c>
      <c r="E107" s="57"/>
      <c r="F107" s="57"/>
      <c r="G107" s="57"/>
      <c r="H107" s="57"/>
      <c r="I107" s="56">
        <f t="shared" si="3"/>
        <v>8.5555555555555554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30</v>
      </c>
      <c r="B114" s="63">
        <v>65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2.1666666666666665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38</v>
      </c>
      <c r="B115" s="63">
        <v>112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5.875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46</v>
      </c>
      <c r="B116" s="63">
        <v>168</v>
      </c>
      <c r="C116" s="53">
        <v>3</v>
      </c>
      <c r="D116" s="63">
        <v>0</v>
      </c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54</v>
      </c>
      <c r="B117" s="63">
        <v>229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7.625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67</v>
      </c>
      <c r="B118" s="63">
        <v>337</v>
      </c>
      <c r="C118" s="53">
        <v>5</v>
      </c>
      <c r="D118" s="63">
        <v>122</v>
      </c>
      <c r="E118" s="54"/>
      <c r="F118" s="54"/>
      <c r="G118" s="54"/>
      <c r="H118" s="54"/>
      <c r="I118" s="56">
        <f t="shared" si="4"/>
        <v>8.3076923076923084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71</v>
      </c>
      <c r="B119" s="63">
        <v>243</v>
      </c>
      <c r="C119" s="53">
        <v>6</v>
      </c>
      <c r="D119" s="63">
        <v>0</v>
      </c>
      <c r="E119" s="54"/>
      <c r="F119" s="54"/>
      <c r="G119" s="54"/>
      <c r="H119" s="54"/>
      <c r="I119" s="56">
        <f t="shared" si="4"/>
        <v>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82</v>
      </c>
      <c r="B120" s="63">
        <v>318</v>
      </c>
      <c r="C120" s="63">
        <v>7</v>
      </c>
      <c r="D120" s="63">
        <v>92</v>
      </c>
      <c r="E120" s="93"/>
      <c r="F120" s="93"/>
      <c r="G120" s="93"/>
      <c r="H120" s="93"/>
      <c r="I120" s="56">
        <f t="shared" si="4"/>
        <v>6.8181818181818183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86</v>
      </c>
      <c r="B121" s="63">
        <v>250</v>
      </c>
      <c r="C121" s="63">
        <v>8</v>
      </c>
      <c r="D121" s="63">
        <v>0</v>
      </c>
      <c r="E121" s="93"/>
      <c r="F121" s="93"/>
      <c r="G121" s="93"/>
      <c r="H121" s="93"/>
      <c r="I121" s="56">
        <f t="shared" si="4"/>
        <v>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98</v>
      </c>
      <c r="B122" s="63">
        <v>320</v>
      </c>
      <c r="C122" s="63">
        <v>9</v>
      </c>
      <c r="D122" s="63">
        <v>64</v>
      </c>
      <c r="E122" s="93"/>
      <c r="F122" s="93"/>
      <c r="G122" s="93"/>
      <c r="H122" s="93"/>
      <c r="I122" s="56">
        <f t="shared" si="4"/>
        <v>5.833333333333333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102</v>
      </c>
      <c r="B123" s="63">
        <v>277</v>
      </c>
      <c r="C123" s="63">
        <v>10</v>
      </c>
      <c r="D123" s="63">
        <v>0</v>
      </c>
      <c r="E123" s="93"/>
      <c r="F123" s="93"/>
      <c r="G123" s="93"/>
      <c r="H123" s="93"/>
      <c r="I123" s="56">
        <f t="shared" si="4"/>
        <v>5.25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110</v>
      </c>
      <c r="B124" s="63">
        <v>318</v>
      </c>
      <c r="C124" s="63">
        <v>11</v>
      </c>
      <c r="D124" s="63">
        <v>0</v>
      </c>
      <c r="E124" s="93"/>
      <c r="F124" s="93"/>
      <c r="G124" s="93"/>
      <c r="H124" s="93"/>
      <c r="I124" s="56">
        <f t="shared" si="4"/>
        <v>5.125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115</v>
      </c>
      <c r="B125" s="63">
        <v>343</v>
      </c>
      <c r="C125" s="63">
        <v>12</v>
      </c>
      <c r="D125" s="63">
        <v>65</v>
      </c>
      <c r="E125" s="93"/>
      <c r="F125" s="93"/>
      <c r="G125" s="93"/>
      <c r="H125" s="93"/>
      <c r="I125" s="56">
        <f t="shared" si="4"/>
        <v>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119</v>
      </c>
      <c r="B126" s="63">
        <v>296</v>
      </c>
      <c r="C126" s="63">
        <v>13</v>
      </c>
      <c r="D126" s="63">
        <v>0</v>
      </c>
      <c r="E126" s="68"/>
      <c r="F126" s="68"/>
      <c r="G126" s="68"/>
      <c r="H126" s="68"/>
      <c r="I126" s="56">
        <f t="shared" si="4"/>
        <v>4.5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127</v>
      </c>
      <c r="B127" s="63">
        <v>331</v>
      </c>
      <c r="C127" s="63">
        <v>14</v>
      </c>
      <c r="D127" s="63">
        <v>0</v>
      </c>
      <c r="E127" s="68"/>
      <c r="F127" s="68"/>
      <c r="G127" s="68"/>
      <c r="H127" s="68"/>
      <c r="I127" s="56">
        <f t="shared" si="4"/>
        <v>4.375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135</v>
      </c>
      <c r="B128" s="53">
        <v>365</v>
      </c>
      <c r="C128" s="53">
        <v>15</v>
      </c>
      <c r="D128" s="53">
        <v>70</v>
      </c>
      <c r="E128" s="57"/>
      <c r="F128" s="57"/>
      <c r="G128" s="57"/>
      <c r="H128" s="57"/>
      <c r="I128" s="56">
        <f t="shared" si="4"/>
        <v>4.25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138</v>
      </c>
      <c r="B129" s="53">
        <v>307</v>
      </c>
      <c r="C129" s="53">
        <v>16</v>
      </c>
      <c r="D129" s="53">
        <v>0</v>
      </c>
      <c r="E129" s="57"/>
      <c r="F129" s="57"/>
      <c r="G129" s="57"/>
      <c r="H129" s="57"/>
      <c r="I129" s="56">
        <f t="shared" si="4"/>
        <v>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150</v>
      </c>
      <c r="B130" s="53">
        <v>350</v>
      </c>
      <c r="C130" s="53">
        <v>17</v>
      </c>
      <c r="D130" s="53">
        <v>174</v>
      </c>
      <c r="E130" s="57"/>
      <c r="F130" s="57"/>
      <c r="G130" s="57"/>
      <c r="H130" s="57"/>
      <c r="I130" s="56">
        <f t="shared" si="4"/>
        <v>3.5833333333333335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153</v>
      </c>
      <c r="B131" s="53">
        <v>187</v>
      </c>
      <c r="C131" s="53">
        <v>18</v>
      </c>
      <c r="D131" s="53">
        <v>0</v>
      </c>
      <c r="E131" s="57"/>
      <c r="F131" s="57"/>
      <c r="G131" s="57"/>
      <c r="H131" s="57"/>
      <c r="I131" s="56">
        <f t="shared" si="4"/>
        <v>3.6666666666666665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165</v>
      </c>
      <c r="B132" s="53">
        <v>215</v>
      </c>
      <c r="C132" s="53">
        <v>19</v>
      </c>
      <c r="D132" s="53">
        <v>215</v>
      </c>
      <c r="E132" s="57"/>
      <c r="F132" s="57"/>
      <c r="G132" s="57"/>
      <c r="H132" s="57"/>
      <c r="I132" s="56">
        <f t="shared" si="4"/>
        <v>2.3333333333333335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Pin noir d'Autriche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3">
        <v>98</v>
      </c>
      <c r="C140" s="53">
        <v>1</v>
      </c>
      <c r="D140" s="63">
        <v>7</v>
      </c>
      <c r="E140" s="54"/>
      <c r="F140" s="54"/>
      <c r="G140" s="54">
        <v>1</v>
      </c>
      <c r="H140" s="54"/>
      <c r="I140" s="60">
        <f>IFERROR(B140/A140,"")</f>
        <v>4.9000000000000004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225</v>
      </c>
      <c r="C141" s="53">
        <v>2</v>
      </c>
      <c r="D141" s="63">
        <v>22</v>
      </c>
      <c r="E141" s="54"/>
      <c r="F141" s="54"/>
      <c r="G141" s="54">
        <v>1</v>
      </c>
      <c r="H141" s="54"/>
      <c r="I141" s="60">
        <f t="shared" ref="I141:I159" si="5">IF(A141&lt;&gt;0,(B141-(B140-D140))/(A141-A140),"")</f>
        <v>13.4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40</v>
      </c>
      <c r="B142" s="63">
        <v>337</v>
      </c>
      <c r="C142" s="53">
        <v>3</v>
      </c>
      <c r="D142" s="63">
        <v>35</v>
      </c>
      <c r="E142" s="54"/>
      <c r="F142" s="54"/>
      <c r="G142" s="54"/>
      <c r="H142" s="54"/>
      <c r="I142" s="60">
        <f t="shared" si="5"/>
        <v>13.4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50</v>
      </c>
      <c r="B143" s="63">
        <v>424</v>
      </c>
      <c r="C143" s="53">
        <v>4</v>
      </c>
      <c r="D143" s="63">
        <v>42</v>
      </c>
      <c r="E143" s="54"/>
      <c r="F143" s="54"/>
      <c r="G143" s="54"/>
      <c r="H143" s="54"/>
      <c r="I143" s="60">
        <f t="shared" si="5"/>
        <v>12.2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60</v>
      </c>
      <c r="B144" s="63">
        <v>485</v>
      </c>
      <c r="C144" s="53">
        <v>5</v>
      </c>
      <c r="D144" s="63">
        <v>42</v>
      </c>
      <c r="E144" s="54"/>
      <c r="F144" s="54"/>
      <c r="G144" s="54"/>
      <c r="H144" s="54"/>
      <c r="I144" s="60">
        <f t="shared" si="5"/>
        <v>10.3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70</v>
      </c>
      <c r="B145" s="63">
        <v>529</v>
      </c>
      <c r="C145" s="53">
        <v>6</v>
      </c>
      <c r="D145" s="63">
        <v>39</v>
      </c>
      <c r="E145" s="54"/>
      <c r="F145" s="54"/>
      <c r="G145" s="54"/>
      <c r="H145" s="54"/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80</v>
      </c>
      <c r="B146" s="63">
        <v>562</v>
      </c>
      <c r="C146" s="53">
        <v>7</v>
      </c>
      <c r="D146" s="63">
        <v>36</v>
      </c>
      <c r="E146" s="54"/>
      <c r="F146" s="54"/>
      <c r="G146" s="54"/>
      <c r="H146" s="54"/>
      <c r="I146" s="60">
        <f t="shared" si="5"/>
        <v>7.2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90</v>
      </c>
      <c r="B147" s="63">
        <v>592</v>
      </c>
      <c r="C147" s="53">
        <v>8</v>
      </c>
      <c r="D147" s="63">
        <v>36</v>
      </c>
      <c r="E147" s="54"/>
      <c r="F147" s="54"/>
      <c r="G147" s="54"/>
      <c r="H147" s="54"/>
      <c r="I147" s="60">
        <f>IF(A147&lt;&gt;0,(B147-(B146-D146))/(A147-A146),"")</f>
        <v>6.6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100</v>
      </c>
      <c r="B148" s="63">
        <v>621</v>
      </c>
      <c r="C148" s="53">
        <v>9</v>
      </c>
      <c r="D148" s="63">
        <v>621</v>
      </c>
      <c r="E148" s="54"/>
      <c r="F148" s="54"/>
      <c r="G148" s="54"/>
      <c r="H148" s="54"/>
      <c r="I148" s="60">
        <f t="shared" si="5"/>
        <v>6.5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vert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/>
      <c r="H166" s="54">
        <v>1</v>
      </c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60</v>
      </c>
      <c r="B173" s="53">
        <v>214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80</v>
      </c>
      <c r="B177" s="53">
        <v>262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85</v>
      </c>
      <c r="B178" s="53">
        <v>269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275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95</v>
      </c>
      <c r="B180" s="53">
        <v>279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100</v>
      </c>
      <c r="B181" s="53">
        <v>282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105</v>
      </c>
      <c r="B182" s="53">
        <v>283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110</v>
      </c>
      <c r="B183" s="53">
        <v>284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115</v>
      </c>
      <c r="B184" s="53">
        <v>284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120</v>
      </c>
      <c r="B185" s="53">
        <v>284</v>
      </c>
      <c r="C185" s="53">
        <v>20</v>
      </c>
      <c r="D185" s="53">
        <v>284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Chêne chevelu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v>132</v>
      </c>
      <c r="C192" s="63">
        <v>1</v>
      </c>
      <c r="D192" s="63">
        <v>50</v>
      </c>
      <c r="E192" s="54"/>
      <c r="F192" s="54"/>
      <c r="G192" s="54"/>
      <c r="H192" s="54">
        <v>1</v>
      </c>
      <c r="I192" s="52">
        <f>IFERROR(B192/A192,"")</f>
        <v>6.6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v>143</v>
      </c>
      <c r="C193" s="63">
        <v>2</v>
      </c>
      <c r="D193" s="63">
        <v>37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12.2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v>163</v>
      </c>
      <c r="C194" s="63">
        <v>3</v>
      </c>
      <c r="D194" s="63">
        <v>37</v>
      </c>
      <c r="E194" s="54"/>
      <c r="F194" s="54"/>
      <c r="G194" s="54"/>
      <c r="H194" s="54">
        <v>1</v>
      </c>
      <c r="I194" s="52">
        <f t="shared" si="7"/>
        <v>11.4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v>179</v>
      </c>
      <c r="C195" s="63">
        <v>4</v>
      </c>
      <c r="D195" s="63">
        <v>36</v>
      </c>
      <c r="E195" s="54"/>
      <c r="F195" s="54"/>
      <c r="G195" s="54"/>
      <c r="H195" s="54"/>
      <c r="I195" s="52">
        <f t="shared" si="7"/>
        <v>10.6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v>191</v>
      </c>
      <c r="C196" s="63">
        <v>5</v>
      </c>
      <c r="D196" s="63">
        <v>33</v>
      </c>
      <c r="E196" s="54"/>
      <c r="F196" s="54"/>
      <c r="G196" s="54"/>
      <c r="H196" s="54"/>
      <c r="I196" s="52">
        <f t="shared" si="7"/>
        <v>9.6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v>201</v>
      </c>
      <c r="C197" s="63">
        <v>6</v>
      </c>
      <c r="D197" s="63">
        <v>31</v>
      </c>
      <c r="E197" s="54"/>
      <c r="F197" s="54"/>
      <c r="G197" s="54"/>
      <c r="H197" s="54"/>
      <c r="I197" s="52">
        <f t="shared" si="7"/>
        <v>8.6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v>209</v>
      </c>
      <c r="C198" s="63">
        <v>7</v>
      </c>
      <c r="D198" s="63">
        <v>28</v>
      </c>
      <c r="E198" s="54"/>
      <c r="F198" s="54"/>
      <c r="G198" s="54"/>
      <c r="H198" s="54"/>
      <c r="I198" s="52">
        <f t="shared" si="7"/>
        <v>7.8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215</v>
      </c>
      <c r="C199" s="53">
        <v>8</v>
      </c>
      <c r="D199" s="53">
        <v>25</v>
      </c>
      <c r="E199" s="54"/>
      <c r="F199" s="54"/>
      <c r="G199" s="54"/>
      <c r="H199" s="54"/>
      <c r="I199" s="52">
        <f t="shared" si="7"/>
        <v>6.8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220</v>
      </c>
      <c r="C200" s="53">
        <v>9</v>
      </c>
      <c r="D200" s="53">
        <v>22</v>
      </c>
      <c r="E200" s="54"/>
      <c r="F200" s="54"/>
      <c r="G200" s="54"/>
      <c r="H200" s="54"/>
      <c r="I200" s="52">
        <f t="shared" si="7"/>
        <v>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53">
        <v>224</v>
      </c>
      <c r="C201" s="53">
        <v>10</v>
      </c>
      <c r="D201" s="53">
        <v>20</v>
      </c>
      <c r="E201" s="54"/>
      <c r="F201" s="54"/>
      <c r="G201" s="54"/>
      <c r="H201" s="54"/>
      <c r="I201" s="52">
        <f t="shared" si="7"/>
        <v>5.2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53">
        <v>227</v>
      </c>
      <c r="C202" s="53">
        <v>11</v>
      </c>
      <c r="D202" s="53">
        <v>17</v>
      </c>
      <c r="E202" s="54"/>
      <c r="F202" s="54"/>
      <c r="G202" s="54"/>
      <c r="H202" s="54"/>
      <c r="I202" s="52">
        <f t="shared" si="7"/>
        <v>4.5999999999999996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53">
        <v>230</v>
      </c>
      <c r="C203" s="53">
        <v>12</v>
      </c>
      <c r="D203" s="53">
        <v>15</v>
      </c>
      <c r="E203" s="54"/>
      <c r="F203" s="54"/>
      <c r="G203" s="54"/>
      <c r="H203" s="54"/>
      <c r="I203" s="52">
        <f t="shared" si="7"/>
        <v>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53">
        <v>233</v>
      </c>
      <c r="C204" s="53">
        <v>13</v>
      </c>
      <c r="D204" s="53">
        <v>13</v>
      </c>
      <c r="E204" s="54"/>
      <c r="F204" s="54"/>
      <c r="G204" s="54"/>
      <c r="H204" s="54"/>
      <c r="I204" s="52">
        <f t="shared" si="7"/>
        <v>3.6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85</v>
      </c>
      <c r="B205" s="53">
        <v>235</v>
      </c>
      <c r="C205" s="53">
        <v>14</v>
      </c>
      <c r="D205" s="53">
        <v>12</v>
      </c>
      <c r="E205" s="54"/>
      <c r="F205" s="54"/>
      <c r="G205" s="54"/>
      <c r="H205" s="54"/>
      <c r="I205" s="52">
        <f t="shared" si="7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90</v>
      </c>
      <c r="B206" s="53">
        <v>236</v>
      </c>
      <c r="C206" s="53">
        <v>15</v>
      </c>
      <c r="D206" s="53">
        <v>236</v>
      </c>
      <c r="E206" s="54"/>
      <c r="F206" s="54"/>
      <c r="G206" s="54"/>
      <c r="H206" s="54"/>
      <c r="I206" s="52">
        <f t="shared" si="7"/>
        <v>2.6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Chêne pubescent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3">
        <v>73</v>
      </c>
      <c r="C218" s="53">
        <v>1</v>
      </c>
      <c r="D218" s="63">
        <v>6</v>
      </c>
      <c r="E218" s="66"/>
      <c r="F218" s="66"/>
      <c r="G218" s="66"/>
      <c r="H218" s="66">
        <v>1</v>
      </c>
      <c r="I218" s="56">
        <f>IFERROR(B218/A218,"")</f>
        <v>3.65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3">
        <v>103</v>
      </c>
      <c r="C219" s="53">
        <v>2</v>
      </c>
      <c r="D219" s="63">
        <v>28</v>
      </c>
      <c r="E219" s="66"/>
      <c r="F219" s="66"/>
      <c r="G219" s="66"/>
      <c r="H219" s="66">
        <v>1</v>
      </c>
      <c r="I219" s="56">
        <f t="shared" ref="I219:I237" si="8">IF(A219&lt;&gt;0,(B219-(B218-D218))/(A219-A218),"")</f>
        <v>7.2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3">
        <v>121</v>
      </c>
      <c r="C220" s="53">
        <v>3</v>
      </c>
      <c r="D220" s="63">
        <v>28</v>
      </c>
      <c r="E220" s="66"/>
      <c r="F220" s="66"/>
      <c r="G220" s="66"/>
      <c r="H220" s="66">
        <v>1</v>
      </c>
      <c r="I220" s="56">
        <f t="shared" si="8"/>
        <v>9.1999999999999993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35</v>
      </c>
      <c r="B221" s="58">
        <v>147</v>
      </c>
      <c r="C221" s="58">
        <v>4</v>
      </c>
      <c r="D221" s="58">
        <v>28</v>
      </c>
      <c r="E221" s="66"/>
      <c r="F221" s="66"/>
      <c r="G221" s="66"/>
      <c r="H221" s="66"/>
      <c r="I221" s="56">
        <f t="shared" si="8"/>
        <v>10.8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40</v>
      </c>
      <c r="B222" s="58">
        <v>175</v>
      </c>
      <c r="C222" s="58">
        <v>5</v>
      </c>
      <c r="D222" s="58">
        <v>28</v>
      </c>
      <c r="E222" s="66"/>
      <c r="F222" s="66"/>
      <c r="G222" s="66"/>
      <c r="H222" s="66"/>
      <c r="I222" s="56">
        <f t="shared" si="8"/>
        <v>11.2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45</v>
      </c>
      <c r="B223" s="58">
        <v>204</v>
      </c>
      <c r="C223" s="58">
        <v>6</v>
      </c>
      <c r="D223" s="58">
        <v>28</v>
      </c>
      <c r="E223" s="66"/>
      <c r="F223" s="66"/>
      <c r="G223" s="66"/>
      <c r="H223" s="66"/>
      <c r="I223" s="56">
        <f t="shared" si="8"/>
        <v>11.4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50</v>
      </c>
      <c r="B224" s="58">
        <v>231</v>
      </c>
      <c r="C224" s="58">
        <v>7</v>
      </c>
      <c r="D224" s="58">
        <v>28</v>
      </c>
      <c r="E224" s="66"/>
      <c r="F224" s="66"/>
      <c r="G224" s="66"/>
      <c r="H224" s="66"/>
      <c r="I224" s="56">
        <f t="shared" si="8"/>
        <v>11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55</v>
      </c>
      <c r="B225" s="58">
        <v>254</v>
      </c>
      <c r="C225" s="58">
        <v>8</v>
      </c>
      <c r="D225" s="58">
        <v>28</v>
      </c>
      <c r="E225" s="66"/>
      <c r="F225" s="66"/>
      <c r="G225" s="66"/>
      <c r="H225" s="66"/>
      <c r="I225" s="56">
        <f t="shared" si="8"/>
        <v>10.199999999999999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60</v>
      </c>
      <c r="B226" s="58">
        <v>273</v>
      </c>
      <c r="C226" s="58">
        <v>9</v>
      </c>
      <c r="D226" s="58">
        <v>28</v>
      </c>
      <c r="E226" s="66"/>
      <c r="F226" s="66"/>
      <c r="G226" s="66"/>
      <c r="H226" s="66"/>
      <c r="I226" s="56">
        <f t="shared" si="8"/>
        <v>9.4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65</v>
      </c>
      <c r="B227" s="58">
        <v>289</v>
      </c>
      <c r="C227" s="58">
        <v>10</v>
      </c>
      <c r="D227" s="58">
        <v>28</v>
      </c>
      <c r="E227" s="66"/>
      <c r="F227" s="66"/>
      <c r="G227" s="66"/>
      <c r="H227" s="66"/>
      <c r="I227" s="56">
        <f t="shared" si="8"/>
        <v>8.8000000000000007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70</v>
      </c>
      <c r="B228" s="58">
        <v>302</v>
      </c>
      <c r="C228" s="58">
        <v>11</v>
      </c>
      <c r="D228" s="58">
        <v>28</v>
      </c>
      <c r="E228" s="66"/>
      <c r="F228" s="66"/>
      <c r="G228" s="66"/>
      <c r="H228" s="66"/>
      <c r="I228" s="56">
        <f t="shared" si="8"/>
        <v>8.1999999999999993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75</v>
      </c>
      <c r="B229" s="58">
        <v>312</v>
      </c>
      <c r="C229" s="58">
        <v>12</v>
      </c>
      <c r="D229" s="58">
        <v>28</v>
      </c>
      <c r="E229" s="66"/>
      <c r="F229" s="66"/>
      <c r="G229" s="66"/>
      <c r="H229" s="66"/>
      <c r="I229" s="56">
        <f t="shared" si="8"/>
        <v>7.6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80</v>
      </c>
      <c r="B230" s="58">
        <v>320</v>
      </c>
      <c r="C230" s="58">
        <v>13</v>
      </c>
      <c r="D230" s="58">
        <v>28</v>
      </c>
      <c r="E230" s="67"/>
      <c r="F230" s="67"/>
      <c r="G230" s="67"/>
      <c r="H230" s="67"/>
      <c r="I230" s="56">
        <f t="shared" si="8"/>
        <v>7.2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>
        <v>85</v>
      </c>
      <c r="B231" s="63">
        <v>326</v>
      </c>
      <c r="C231" s="94">
        <v>14</v>
      </c>
      <c r="D231" s="63">
        <v>28</v>
      </c>
      <c r="E231" s="57"/>
      <c r="F231" s="57"/>
      <c r="G231" s="57"/>
      <c r="H231" s="57"/>
      <c r="I231" s="56">
        <f t="shared" si="8"/>
        <v>6.8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90</v>
      </c>
      <c r="B232" s="53">
        <v>330</v>
      </c>
      <c r="C232" s="53">
        <v>15</v>
      </c>
      <c r="D232" s="53">
        <v>28</v>
      </c>
      <c r="E232" s="57"/>
      <c r="F232" s="57"/>
      <c r="G232" s="57"/>
      <c r="H232" s="57"/>
      <c r="I232" s="56">
        <f t="shared" si="8"/>
        <v>6.4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95</v>
      </c>
      <c r="B233" s="53">
        <v>332</v>
      </c>
      <c r="C233" s="53">
        <v>16</v>
      </c>
      <c r="D233" s="53">
        <v>28</v>
      </c>
      <c r="E233" s="57"/>
      <c r="F233" s="57"/>
      <c r="G233" s="57"/>
      <c r="H233" s="57"/>
      <c r="I233" s="56">
        <f t="shared" si="8"/>
        <v>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100</v>
      </c>
      <c r="B234" s="53">
        <v>333</v>
      </c>
      <c r="C234" s="53">
        <v>17</v>
      </c>
      <c r="D234" s="53">
        <v>27</v>
      </c>
      <c r="E234" s="57"/>
      <c r="F234" s="57"/>
      <c r="G234" s="57"/>
      <c r="H234" s="57"/>
      <c r="I234" s="56">
        <f t="shared" si="8"/>
        <v>5.8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105</v>
      </c>
      <c r="B235" s="53">
        <v>333</v>
      </c>
      <c r="C235" s="53">
        <v>18</v>
      </c>
      <c r="D235" s="53">
        <v>26</v>
      </c>
      <c r="E235" s="57"/>
      <c r="F235" s="57"/>
      <c r="G235" s="57"/>
      <c r="H235" s="57"/>
      <c r="I235" s="56">
        <f t="shared" si="8"/>
        <v>5.4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110</v>
      </c>
      <c r="B236" s="53">
        <v>332</v>
      </c>
      <c r="C236" s="53">
        <v>19</v>
      </c>
      <c r="D236" s="53">
        <v>25</v>
      </c>
      <c r="E236" s="57"/>
      <c r="F236" s="57"/>
      <c r="G236" s="57"/>
      <c r="H236" s="57"/>
      <c r="I236" s="56">
        <f t="shared" si="8"/>
        <v>5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115</v>
      </c>
      <c r="B237" s="53">
        <v>330</v>
      </c>
      <c r="C237" s="53">
        <v>20</v>
      </c>
      <c r="D237" s="53">
        <v>330</v>
      </c>
      <c r="E237" s="57"/>
      <c r="F237" s="57"/>
      <c r="G237" s="57"/>
      <c r="H237" s="57"/>
      <c r="I237" s="56">
        <f t="shared" si="8"/>
        <v>4.5999999999999996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Pin laricio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22</v>
      </c>
      <c r="B244" s="63">
        <v>123</v>
      </c>
      <c r="C244" s="63">
        <v>1</v>
      </c>
      <c r="D244" s="63">
        <v>16</v>
      </c>
      <c r="E244" s="54"/>
      <c r="F244" s="54"/>
      <c r="G244" s="54">
        <v>1</v>
      </c>
      <c r="H244" s="66"/>
      <c r="I244" s="56">
        <f>IFERROR(B244/A244,"")</f>
        <v>5.5909090909090908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25</v>
      </c>
      <c r="B245" s="63">
        <v>144</v>
      </c>
      <c r="C245" s="63">
        <v>2</v>
      </c>
      <c r="D245" s="63">
        <v>17</v>
      </c>
      <c r="E245" s="66"/>
      <c r="F245" s="66"/>
      <c r="G245" s="66">
        <v>1</v>
      </c>
      <c r="H245" s="66"/>
      <c r="I245" s="56">
        <f>IF(A245&lt;&gt;0,(B245-(B244-D244))/(A245-A244),"")</f>
        <v>12.333333333333334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30</v>
      </c>
      <c r="B246" s="63">
        <v>194</v>
      </c>
      <c r="C246" s="63">
        <v>3</v>
      </c>
      <c r="D246" s="63">
        <v>34</v>
      </c>
      <c r="E246" s="66"/>
      <c r="F246" s="66"/>
      <c r="G246" s="66">
        <v>1</v>
      </c>
      <c r="H246" s="66"/>
      <c r="I246" s="56">
        <f>IF(A246&lt;&gt;0,(B246-(B245-D245))/(A246-A245),"")</f>
        <v>13.4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35</v>
      </c>
      <c r="B247" s="63">
        <v>233</v>
      </c>
      <c r="C247" s="63">
        <v>4</v>
      </c>
      <c r="D247" s="63">
        <v>41</v>
      </c>
      <c r="E247" s="66"/>
      <c r="F247" s="66"/>
      <c r="G247" s="66"/>
      <c r="H247" s="66"/>
      <c r="I247" s="56">
        <f t="shared" ref="I247:I263" si="9">IF(A247&lt;&gt;0,(B247-(B246-D246))/(A247-A246),"")</f>
        <v>14.6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40</v>
      </c>
      <c r="B248" s="63">
        <v>264</v>
      </c>
      <c r="C248" s="63">
        <v>5</v>
      </c>
      <c r="D248" s="63">
        <v>41</v>
      </c>
      <c r="E248" s="66"/>
      <c r="F248" s="66"/>
      <c r="G248" s="66"/>
      <c r="H248" s="66"/>
      <c r="I248" s="56">
        <f t="shared" si="9"/>
        <v>14.4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45</v>
      </c>
      <c r="B249" s="63">
        <v>306</v>
      </c>
      <c r="C249" s="63">
        <v>6</v>
      </c>
      <c r="D249" s="63">
        <v>53</v>
      </c>
      <c r="E249" s="66"/>
      <c r="F249" s="66"/>
      <c r="G249" s="66"/>
      <c r="H249" s="66"/>
      <c r="I249" s="56">
        <f t="shared" si="9"/>
        <v>16.600000000000001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50</v>
      </c>
      <c r="B250" s="63">
        <v>340</v>
      </c>
      <c r="C250" s="63">
        <v>7</v>
      </c>
      <c r="D250" s="63">
        <v>53</v>
      </c>
      <c r="E250" s="66"/>
      <c r="F250" s="66"/>
      <c r="G250" s="66"/>
      <c r="H250" s="66"/>
      <c r="I250" s="56">
        <f t="shared" si="9"/>
        <v>17.399999999999999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>
        <v>58</v>
      </c>
      <c r="B251" s="58">
        <v>428</v>
      </c>
      <c r="C251" s="58">
        <v>8</v>
      </c>
      <c r="D251" s="58">
        <v>78</v>
      </c>
      <c r="E251" s="66"/>
      <c r="F251" s="66"/>
      <c r="G251" s="66"/>
      <c r="H251" s="66"/>
      <c r="I251" s="56">
        <f t="shared" si="9"/>
        <v>17.625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>
        <v>66</v>
      </c>
      <c r="B252" s="58">
        <v>483</v>
      </c>
      <c r="C252" s="58">
        <v>9</v>
      </c>
      <c r="D252" s="58">
        <v>65</v>
      </c>
      <c r="E252" s="66"/>
      <c r="F252" s="66"/>
      <c r="G252" s="66"/>
      <c r="H252" s="66"/>
      <c r="I252" s="56">
        <f t="shared" si="9"/>
        <v>16.625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>
        <v>74</v>
      </c>
      <c r="B253" s="58">
        <v>521</v>
      </c>
      <c r="C253" s="58">
        <v>10</v>
      </c>
      <c r="D253" s="58">
        <v>37</v>
      </c>
      <c r="E253" s="66"/>
      <c r="F253" s="66"/>
      <c r="G253" s="66"/>
      <c r="H253" s="66"/>
      <c r="I253" s="56">
        <f t="shared" si="9"/>
        <v>12.875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>
        <v>82</v>
      </c>
      <c r="B254" s="58">
        <v>555</v>
      </c>
      <c r="C254" s="58">
        <v>11</v>
      </c>
      <c r="D254" s="58">
        <v>555</v>
      </c>
      <c r="E254" s="66"/>
      <c r="F254" s="66"/>
      <c r="G254" s="66"/>
      <c r="H254" s="66"/>
      <c r="I254" s="56">
        <f t="shared" si="9"/>
        <v>8.875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6" sqref="F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Peuplier Koster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Peuplier Blanc du Poitou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Cèdre de l'Atlas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Cèdre de l'Atlas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>Pin noir d'Autriche</v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>Chêne vert</v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>Chêne chevelu</v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>Chêne pubescent</v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>Pin laricio</v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73.098184695482075</v>
      </c>
      <c r="T3" s="62">
        <f>IF('Données projet'!E9&gt;30,$R$33-$H$33,LOOKUP('Données projet'!$E$9,$A$3:$A$203,R3:R203)-LOOKUP('Données projet'!$E$9,$A$3:$A$203,$H$3:$H$203))</f>
        <v>334.38551711782793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70.520400819593021</v>
      </c>
      <c r="AO3" s="62">
        <f>IF('Données projet'!E10&gt;30,$AM$33-$H$33,LOOKUP('Données projet'!$E$10,$A$3:$A$203,AM3:AM203)-LOOKUP('Données projet'!$E$10,$A$3:$A$203,$H$3:$H$203))</f>
        <v>321.48616153644309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374.62597460242665</v>
      </c>
      <c r="BJ3" s="62">
        <f>IF('Données projet'!E11&gt;30,$BH$33-$H$33,LOOKUP('Données projet'!$E$11,$A$3:$A$203,BH3:BH203)-LOOKUP('Données projet'!$E$11,$A$3:$A$203,$H$3:$H$203))</f>
        <v>277.50105097454616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329.79342219561465</v>
      </c>
      <c r="CE3" s="62">
        <f>IF('Données projet'!E12&gt;30,$CC$33-$H$33,LOOKUP('Données projet'!$E$12,$A$3:$A$203,CC3:CC203)-LOOKUP('Données projet'!$E$12,$A$3:$A$203,$H$3:$H$203))</f>
        <v>144.63206563329757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117.33333333333333</v>
      </c>
      <c r="CY3" s="62">
        <f ca="1">AVERAGE(OFFSET($CX$3,0,0,'Données projet'!$E$13+1,1))-AVERAGE(OFFSET($H$3,0,0,'Données projet'!$E$13+1,1))</f>
        <v>530.27599556821826</v>
      </c>
      <c r="CZ3" s="62">
        <f>IF('Données projet'!E13&gt;30,$CX$33-$H$33,LOOKUP('Données projet'!$E$13,$A$3:$A$203,CX3:CX203)-LOOKUP('Données projet'!$E$13,$A$3:$A$203,$H$3:$H$203))</f>
        <v>370.62231794492129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117.33333333333333</v>
      </c>
      <c r="DT3" s="62">
        <f ca="1">AVERAGE(OFFSET($DS$3,0,0,'Données projet'!$E$14+1,1))-AVERAGE(OFFSET($H$3,0,0,'Données projet'!$E$14+1,1))</f>
        <v>520.23742527061836</v>
      </c>
      <c r="DU3" s="62">
        <f>IF('Données projet'!E14&gt;30,$DS$33-$H$33,LOOKUP('Données projet'!$E$14,$A$3:$A$203,DS3:DS203)-LOOKUP('Données projet'!$E$14,$A$3:$A$203,$H$3:$H$203))</f>
        <v>321.35925479331274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117.33333333333333</v>
      </c>
      <c r="EO3" s="62">
        <f ca="1">AVERAGE(OFFSET($EN$3,0,0,'Données projet'!$E$15+1,1))-AVERAGE(OFFSET($H$3,0,0,'Données projet'!$E$15+1,1))</f>
        <v>435.44444011810265</v>
      </c>
      <c r="EP3" s="62">
        <f>IF('Données projet'!E15&gt;30,$EN$33-$H$33,LOOKUP('Données projet'!$E$15,$A$3:$A$203,EN3:EN203)-LOOKUP('Données projet'!$E$15,$A$3:$A$203,$H$3:$H$203))</f>
        <v>447.15868732689762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117.33333333333333</v>
      </c>
      <c r="FJ3" s="62">
        <f ca="1">AVERAGE(OFFSET($FI$3,0,0,'Données projet'!$E$16+1,1))-AVERAGE(OFFSET($H$3,0,0,'Données projet'!$E$16+1,1))</f>
        <v>547.89540791313675</v>
      </c>
      <c r="FK3" s="62">
        <f>IF('Données projet'!E16&gt;30,$FI$33-$H$33,LOOKUP('Données projet'!$E$16,$A$3:$A$203,FI3:FI203)-LOOKUP('Données projet'!$E$16,$A$3:$A$203,$H$3:$H$203))</f>
        <v>345.19555189302378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117.33333333333333</v>
      </c>
      <c r="GE3" s="62">
        <f ca="1">AVERAGE(OFFSET($GD$3,0,0,'Données projet'!$E$17+1,1))-AVERAGE(OFFSET($H$3,0,0,'Données projet'!$E$17+1,1))</f>
        <v>409.68685886029164</v>
      </c>
      <c r="GF3" s="62">
        <f>IF('Données projet'!E17&gt;30,$GD$33-$H$33,LOOKUP('Données projet'!$E$17,$A$3:$A$203,GD3:GD203)-LOOKUP('Données projet'!$E$17,$A$3:$A$203,$H$3:$H$203))</f>
        <v>330.8416508650887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12.85</v>
      </c>
      <c r="N4" s="14">
        <f>IF('Données projet'!$A$36&gt;35,N3+M4-V3,IF(A4&lt;'Données projet'!$A$36,$K$205^A4,IF(A4='Données projet'!$A$36,'Données projet'!$B$36,N3+M4-V3)))</f>
        <v>1.319765150187665</v>
      </c>
      <c r="O4" s="14">
        <f>N4*VLOOKUP('Données projet'!$B$9,Paramètres!$A$1:$I$89,3,0)*VLOOKUP('Données projet'!$B$9,Paramètres!$A$1:$I$89,5,0)</f>
        <v>0.67117976477943897</v>
      </c>
      <c r="P4" s="14">
        <f>EXP(-1.0587+0.8836*LN(O4)+0.284)</f>
        <v>0.32400139254012045</v>
      </c>
      <c r="Q4" s="22">
        <f t="shared" ref="Q4:Q34" si="2">(O4+P4)*0.475*44/12</f>
        <v>1.7332738489982329</v>
      </c>
      <c r="R4" s="62">
        <f t="shared" si="0"/>
        <v>122.70595123522027</v>
      </c>
      <c r="S4" s="62">
        <f ca="1">AVERAGE(OFFSET($R$3,0,0,'Données projet'!$E$9+1,1))-AVERAGE(OFFSET($H$3,0,0,'Données projet'!$E$9+1,1))</f>
        <v>73.098184695482075</v>
      </c>
      <c r="T4" s="62">
        <f>$T$3</f>
        <v>334.38551711782793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12.85</v>
      </c>
      <c r="AI4" s="14">
        <f>IF('Données projet'!$A$62&gt;35,AI3+AH4-AQ3,IF(A4&lt;'Données projet'!$A$62,$AF$205^A4,IF(A4='Données projet'!$A$62,'Données projet'!$B$62,AI3+AH4-AQ3)))</f>
        <v>1.319765150187665</v>
      </c>
      <c r="AJ4" s="14">
        <f>AI4*VLOOKUP('Données projet'!$B$10,Paramètres!$A$1:$I$89,3,0)*VLOOKUP('Données projet'!$B$10,Paramètres!$A$1:$I$89,5,0)</f>
        <v>0.64029726026504752</v>
      </c>
      <c r="AK4" s="14">
        <f>EXP(-1.0587+0.8836*LN(AJ4)+0.284)</f>
        <v>0.31079275417994096</v>
      </c>
      <c r="AL4" s="22">
        <f t="shared" ref="AL4:AL67" si="4">(AJ4+AK4)*0.475*44/12</f>
        <v>1.6564817751583549</v>
      </c>
      <c r="AM4" s="62">
        <f t="shared" ref="AM4:AM67" si="5">AL4+(AD4+AE4)*44/12</f>
        <v>122.62915916138039</v>
      </c>
      <c r="AN4" s="62">
        <f ca="1">AVERAGE(OFFSET($AM$3,0,0,'Données projet'!$E$10+1,1))-AVERAGE(OFFSET($H$3,0,0,'Données projet'!$E$10+1,1))</f>
        <v>70.520400819593021</v>
      </c>
      <c r="AO4" s="62">
        <f>$AO$3</f>
        <v>321.48616153644309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</v>
      </c>
      <c r="BD4" s="13">
        <f>IF('Données projet'!$A$88&gt;35,BD3+BC4-BL3,IF(A4&lt;'Données projet'!$A$88,$BA$205^A4,IF(A4='Données projet'!$A$88,'Données projet'!$B$88,BD3+BC4-BL3)))</f>
        <v>1.1921598380198544</v>
      </c>
      <c r="BE4" s="14">
        <f>BD4*VLOOKUP('Données projet'!$B$11,Paramètres!$A$1:$I$89,3,0)*VLOOKUP('Données projet'!$B$11,Paramètres!$A$1:$I$89,5,0)</f>
        <v>0.55793080419329188</v>
      </c>
      <c r="BF4" s="14">
        <f>EXP(-1.0587+0.8836*LN(BE4)+0.284)</f>
        <v>0.27518860925423011</v>
      </c>
      <c r="BG4" s="22">
        <f t="shared" ref="BG4:BG67" si="7">(BE4+BF4)*0.475*44/12</f>
        <v>1.4510163117544339</v>
      </c>
      <c r="BH4" s="62">
        <f t="shared" ref="BH4:BH67" si="8">BG4+(AY4+AZ4)*44/12</f>
        <v>122.42369369797646</v>
      </c>
      <c r="BI4" s="62">
        <f ca="1">AVERAGE(OFFSET($BH$3,0,0,'Données projet'!$E$11+1,1))-AVERAGE(OFFSET($H$3,0,0,'Données projet'!$E$11+1,1))</f>
        <v>374.62597460242665</v>
      </c>
      <c r="BJ4" s="62">
        <f>$BJ$3</f>
        <v>277.50105097454616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2.1666666666666665</v>
      </c>
      <c r="BY4" s="13">
        <f>IF('Données projet'!$A$114&gt;35,BY3+BX4-CG3,IF(A4&lt;'Données projet'!$A$114,$BV$205^A4,IF(A4='Données projet'!$A$114,'Données projet'!$B$114,BY3+BX4-CG3)))</f>
        <v>1.1492921628779353</v>
      </c>
      <c r="BZ4" s="14">
        <f>BY4*VLOOKUP('Données projet'!$B$12,Paramètres!$A$1:$I$89,3,0)*VLOOKUP('Données projet'!$B$12,Paramètres!$A$1:$I$89,5,0)</f>
        <v>0.5378687322268737</v>
      </c>
      <c r="CA4" s="14">
        <f>EXP(-1.0587+0.8836*LN(BZ4)+0.284)</f>
        <v>0.26642663648381992</v>
      </c>
      <c r="CB4" s="22">
        <f t="shared" ref="CB4:CB67" si="10">(BZ4+CA4)*0.475*44/12</f>
        <v>1.4008144338377913</v>
      </c>
      <c r="CC4" s="62">
        <f t="shared" ref="CC4:CC67" si="11">CB4+(BT4+BU4)*44/12</f>
        <v>122.37349182005983</v>
      </c>
      <c r="CD4" s="62">
        <f ca="1">AVERAGE(OFFSET($CC$3,0,0,'Données projet'!$E$12+1,1))-AVERAGE(OFFSET($H$3,0,0,'Données projet'!$E$12+1,1))</f>
        <v>329.79342219561465</v>
      </c>
      <c r="CE4" s="62">
        <f>$CE$3</f>
        <v>144.63206563329757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4.9000000000000004</v>
      </c>
      <c r="CT4" s="13">
        <f>IF('Données projet'!$A$140&gt;35,CT3+CS4-DB3,IF(A4&lt;'Données projet'!$A$140,$CQ$205^A4,IF(A4='Données projet'!$A$140,'Données projet'!$B$140,CT3+CS4-DB3)))</f>
        <v>1.2576543687835404</v>
      </c>
      <c r="CU4" s="18">
        <f>CT4*VLOOKUP('Données projet'!$B$13,Paramètres!$A$1:$I$89,3,0)*VLOOKUP('Données projet'!$B$13,Paramètres!$A$1:$I$89,5,0)</f>
        <v>0.75207731253255727</v>
      </c>
      <c r="CV4" s="14">
        <f>EXP(-1.0587+0.8836*LN(CU4)+0.284)</f>
        <v>0.3582759028282807</v>
      </c>
      <c r="CW4" s="22">
        <f t="shared" ref="CW4:CW67" si="13">(CU4+CV4)*0.475*44/12</f>
        <v>1.9338651834201261</v>
      </c>
      <c r="CX4" s="62">
        <f t="shared" ref="CX4:CX67" si="14">CW4+(CO4+CP4)*44/12</f>
        <v>122.90654256964216</v>
      </c>
      <c r="CY4" s="62">
        <f ca="1">AVERAGE(OFFSET($CX$3,0,0,'Données projet'!$E$13+1,1))-AVERAGE(OFFSET($H$3,0,0,'Données projet'!$E$13+1,1))</f>
        <v>530.27599556821826</v>
      </c>
      <c r="CZ4" s="62">
        <f>$CZ$3</f>
        <v>370.62231794492129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1.3505099630167439</v>
      </c>
      <c r="DQ4" s="14">
        <f>EXP(-1.0587+0.8836*LN(DP4)+0.284)</f>
        <v>0.60097985454559089</v>
      </c>
      <c r="DR4" s="22">
        <f t="shared" ref="DR4:DR67" si="16">(DP4+DQ4)*0.475*44/12</f>
        <v>3.3988447655877327</v>
      </c>
      <c r="DS4" s="62">
        <f t="shared" ref="DS4:DS67" si="17">DR4+(DJ4+DK4)*44/12</f>
        <v>124.37152215180977</v>
      </c>
      <c r="DT4" s="62">
        <f ca="1">AVERAGE(OFFSET($DS$3,0,0,'Données projet'!$E$14+1,1))-AVERAGE(OFFSET($H$3,0,0,'Données projet'!$E$14+1,1))</f>
        <v>520.23742527061836</v>
      </c>
      <c r="DU4" s="62">
        <f>$DU$3</f>
        <v>321.35925479331274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6.6</v>
      </c>
      <c r="EJ4" s="13">
        <f>IF('Données projet'!$A$192&gt;35,EJ3+EI4-ER3,IF(A4&lt;'Données projet'!$A$192,$EG$205^A4,IF(A4='Données projet'!$A$192,'Données projet'!$B$192,EJ3+EI4-ER3)))</f>
        <v>1.2765231539157764</v>
      </c>
      <c r="EK4" s="18">
        <f>EJ4*VLOOKUP('Données projet'!$B$15,Paramètres!$A$1:$I$89,3,0)*VLOOKUP('Données projet'!$B$15,Paramètres!$A$1:$I$89,5,0)</f>
        <v>1.3342220004727696</v>
      </c>
      <c r="EL4" s="14">
        <f>EXP(-1.0587+0.8836*LN(EK4)+0.284)</f>
        <v>0.59457084817791639</v>
      </c>
      <c r="EM4" s="22">
        <f t="shared" ref="EM4:EM67" si="19">(EK4+EL4)*0.475*44/12</f>
        <v>3.3593142113999446</v>
      </c>
      <c r="EN4" s="62">
        <f t="shared" ref="EN4:EN67" si="20">EM4+(EE4+EF4)*44/12</f>
        <v>124.33199159762198</v>
      </c>
      <c r="EO4" s="62">
        <f ca="1">AVERAGE(OFFSET($EN$3,0,0,'Données projet'!$E$15+1,1))-AVERAGE(OFFSET($H$3,0,0,'Données projet'!$E$15+1,1))</f>
        <v>435.44444011810265</v>
      </c>
      <c r="EP4" s="62">
        <f>$EP$3</f>
        <v>447.15868732689762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3.65</v>
      </c>
      <c r="FE4" s="13">
        <f>IF('Données projet'!$A$218&gt;35,FE3+FD4-FM3,IF(A4&lt;'Données projet'!$A$218,$FB$205^A4,IF(A4='Données projet'!$A$218,'Données projet'!$B$218,FE3+FD4-FM3)))</f>
        <v>1.2392705892426346</v>
      </c>
      <c r="FF4" s="18">
        <f>FE4*VLOOKUP('Données projet'!$B$16,Paramètres!$A$1:$I$89,3,0)*VLOOKUP('Données projet'!$B$16,Paramètres!$A$1:$I$89,5,0)</f>
        <v>1.2566203774920315</v>
      </c>
      <c r="FG4" s="14">
        <f>EXP(-1.0587+0.8836*LN(FF4)+0.284)</f>
        <v>0.56390871417545174</v>
      </c>
      <c r="FH4" s="22">
        <f t="shared" ref="FH4:FH67" si="22">(FF4+FG4)*0.475*44/12</f>
        <v>3.1707548346542</v>
      </c>
      <c r="FI4" s="62">
        <f t="shared" ref="FI4:FI67" si="23">FH4+(EZ4+FA4)*44/12</f>
        <v>124.14343222087624</v>
      </c>
      <c r="FJ4" s="62">
        <f ca="1">AVERAGE(OFFSET($FI$3,0,0,'Données projet'!$E$16+1,1))-AVERAGE(OFFSET($H$3,0,0,'Données projet'!$E$16+1,1))</f>
        <v>547.89540791313675</v>
      </c>
      <c r="FK4" s="62">
        <f>$FK$3</f>
        <v>345.19555189302378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5.5909090909090908</v>
      </c>
      <c r="FZ4" s="13">
        <f>IF('Données projet'!$A$244&gt;35,FZ3+FY4-GH3,IF(A4&lt;'Données projet'!$A$244,$FW$205^A4,IF(A4='Données projet'!$A$244,'Données projet'!$B$244,FZ3+FY4-GH3)))</f>
        <v>1.244502252163008</v>
      </c>
      <c r="GA4" s="18">
        <f>FZ4*VLOOKUP('Données projet'!$B$17,Paramètres!$A$1:$I$89,3,0)*VLOOKUP('Données projet'!$B$17,Paramètres!$A$1:$I$89,5,0)</f>
        <v>0.74421234679347892</v>
      </c>
      <c r="GB4" s="14">
        <f>EXP(-1.0587+0.8836*LN(GA4)+0.284)</f>
        <v>0.3549632728022305</v>
      </c>
      <c r="GC4" s="22">
        <f t="shared" ref="GC4:GC67" si="25">(GA4+GB4)*0.475*44/12</f>
        <v>1.9143975374625271</v>
      </c>
      <c r="GD4" s="62">
        <f t="shared" ref="GD4:GD67" si="26">GC4+(FU4+FV4)*44/12</f>
        <v>122.88707492368457</v>
      </c>
      <c r="GE4" s="62">
        <f ca="1">AVERAGE(OFFSET($GD$3,0,0,'Données projet'!$E$17+1,1))-AVERAGE(OFFSET($H$3,0,0,'Données projet'!$E$17+1,1))</f>
        <v>409.68685886029164</v>
      </c>
      <c r="GF4" s="62">
        <f>$GF$3</f>
        <v>330.8416508650887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12.85</v>
      </c>
      <c r="N5" s="14">
        <f>IF('Données projet'!$A$36&gt;35,N4+M5-V4,IF(A5&lt;'Données projet'!$A$36,$K$205^A5,IF(A5='Données projet'!$A$36,'Données projet'!$B$36,N4+M5-V4)))</f>
        <v>1.74178005164987</v>
      </c>
      <c r="O5" s="14">
        <f>N5*VLOOKUP('Données projet'!$B$9,Paramètres!$A$1:$I$89,3,0)*VLOOKUP('Données projet'!$B$9,Paramètres!$A$1:$I$89,5,0)</f>
        <v>0.88579966306705793</v>
      </c>
      <c r="P5" s="14">
        <f t="shared" ref="P5:P68" si="33">EXP(-1.0587+0.8836*LN(O5)+0.284)</f>
        <v>0.41401656917119678</v>
      </c>
      <c r="Q5" s="22">
        <f t="shared" si="2"/>
        <v>2.2638466044816266</v>
      </c>
      <c r="R5" s="62">
        <f t="shared" si="0"/>
        <v>126.83393638370515</v>
      </c>
      <c r="S5" s="62">
        <f ca="1">AVERAGE(OFFSET($R$3,0,0,'Données projet'!$E$9+1,1))-AVERAGE(OFFSET($H$3,0,0,'Données projet'!$E$9+1,1))</f>
        <v>73.098184695482075</v>
      </c>
      <c r="T5" s="62">
        <f t="shared" ref="T5:T68" si="34">$T$3</f>
        <v>334.38551711782793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12.85</v>
      </c>
      <c r="AI5" s="14">
        <f>IF('Données projet'!$A$62&gt;35,AI4+AH5-AQ4,IF(A5&lt;'Données projet'!$A$62,$AF$205^A5,IF(A5='Données projet'!$A$62,'Données projet'!$B$62,AI4+AH5-AQ4)))</f>
        <v>1.74178005164987</v>
      </c>
      <c r="AJ5" s="14">
        <f>AI5*VLOOKUP('Données projet'!$B$10,Paramètres!$A$1:$I$89,3,0)*VLOOKUP('Données projet'!$B$10,Paramètres!$A$1:$I$89,5,0)</f>
        <v>0.84504200985845102</v>
      </c>
      <c r="AK5" s="14">
        <f t="shared" ref="AK5:AK68" si="35">EXP(-1.0587+0.8836*LN(AJ5)+0.284)</f>
        <v>0.3971382616601345</v>
      </c>
      <c r="AL5" s="22">
        <f t="shared" si="4"/>
        <v>2.1634639728948697</v>
      </c>
      <c r="AM5" s="62">
        <f t="shared" si="5"/>
        <v>126.7335537521184</v>
      </c>
      <c r="AN5" s="62">
        <f ca="1">AVERAGE(OFFSET($AM$3,0,0,'Données projet'!$E$10+1,1))-AVERAGE(OFFSET($H$3,0,0,'Données projet'!$E$10+1,1))</f>
        <v>70.520400819593021</v>
      </c>
      <c r="AO5" s="62">
        <f t="shared" ref="AO5:AO68" si="36">$AO$3</f>
        <v>321.48616153644309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</v>
      </c>
      <c r="BD5" s="13">
        <f>IF('Données projet'!$A$88&gt;35,BD4+BC5-BL4,IF(A5&lt;'Données projet'!$A$88,$BA$205^A5,IF(A5='Données projet'!$A$88,'Données projet'!$B$88,BD4+BC5-BL4)))</f>
        <v>1.4212450793875253</v>
      </c>
      <c r="BE5" s="14">
        <f>BD5*VLOOKUP('Données projet'!$B$11,Paramètres!$A$1:$I$89,3,0)*VLOOKUP('Données projet'!$B$11,Paramètres!$A$1:$I$89,5,0)</f>
        <v>0.66514269715336183</v>
      </c>
      <c r="BF5" s="14">
        <f t="shared" ref="BF5:BF68" si="37">EXP(-1.0587+0.8836*LN(BE5)+0.284)</f>
        <v>0.3214249656415451</v>
      </c>
      <c r="BG5" s="22">
        <f t="shared" si="7"/>
        <v>1.7182720127011295</v>
      </c>
      <c r="BH5" s="62">
        <f t="shared" si="8"/>
        <v>126.28836179192466</v>
      </c>
      <c r="BI5" s="62">
        <f ca="1">AVERAGE(OFFSET($BH$3,0,0,'Données projet'!$E$11+1,1))-AVERAGE(OFFSET($H$3,0,0,'Données projet'!$E$11+1,1))</f>
        <v>374.62597460242665</v>
      </c>
      <c r="BJ5" s="62">
        <f t="shared" ref="BJ5:BJ68" si="38">$BJ$3</f>
        <v>277.50105097454616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2.1666666666666665</v>
      </c>
      <c r="BY5" s="13">
        <f>IF('Données projet'!$A$114&gt;35,BY4+BX5-CG4,IF(A5&lt;'Données projet'!$A$114,$BV$205^A5,IF(A5='Données projet'!$A$114,'Données projet'!$B$114,BY4+BX5-CG4)))</f>
        <v>1.3208724756526427</v>
      </c>
      <c r="BZ5" s="14">
        <f>BY5*VLOOKUP('Données projet'!$B$12,Paramètres!$A$1:$I$89,3,0)*VLOOKUP('Données projet'!$B$12,Paramètres!$A$1:$I$89,5,0)</f>
        <v>0.61816831860543675</v>
      </c>
      <c r="CA5" s="14">
        <f t="shared" ref="CA5:CA68" si="39">EXP(-1.0587+0.8836*LN(BZ5)+0.284)</f>
        <v>0.30128255344403165</v>
      </c>
      <c r="CB5" s="22">
        <f t="shared" si="10"/>
        <v>1.6013769354861573</v>
      </c>
      <c r="CC5" s="62">
        <f t="shared" si="11"/>
        <v>126.17146671470968</v>
      </c>
      <c r="CD5" s="62">
        <f ca="1">AVERAGE(OFFSET($CC$3,0,0,'Données projet'!$E$12+1,1))-AVERAGE(OFFSET($H$3,0,0,'Données projet'!$E$12+1,1))</f>
        <v>329.79342219561465</v>
      </c>
      <c r="CE5" s="62">
        <f t="shared" ref="CE5:CE68" si="40">$CE$3</f>
        <v>144.63206563329757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4.9000000000000004</v>
      </c>
      <c r="CT5" s="13">
        <f>IF('Données projet'!$A$140&gt;35,CT4+CS5-DB4,IF(A5&lt;'Données projet'!$A$140,$CQ$205^A5,IF(A5='Données projet'!$A$140,'Données projet'!$B$140,CT4+CS5-DB4)))</f>
        <v>1.5816945113203256</v>
      </c>
      <c r="CU5" s="18">
        <f>CT5*VLOOKUP('Données projet'!$B$13,Paramètres!$A$1:$I$89,3,0)*VLOOKUP('Données projet'!$B$13,Paramètres!$A$1:$I$89,5,0)</f>
        <v>0.94585331776955472</v>
      </c>
      <c r="CV5" s="14">
        <f t="shared" ref="CV5:CV68" si="41">EXP(-1.0587+0.8836*LN(CU5)+0.284)</f>
        <v>0.43872255980954428</v>
      </c>
      <c r="CW5" s="22">
        <f t="shared" si="13"/>
        <v>2.411469653450264</v>
      </c>
      <c r="CX5" s="62">
        <f t="shared" si="14"/>
        <v>126.98155943267379</v>
      </c>
      <c r="CY5" s="62">
        <f ca="1">AVERAGE(OFFSET($CX$3,0,0,'Données projet'!$E$13+1,1))-AVERAGE(OFFSET($H$3,0,0,'Données projet'!$E$13+1,1))</f>
        <v>530.27599556821826</v>
      </c>
      <c r="CZ5" s="62">
        <f t="shared" ref="CZ5:CZ68" si="42">$CZ$3</f>
        <v>370.62231794492129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1.6015781174986712</v>
      </c>
      <c r="DQ5" s="14">
        <f t="shared" ref="DQ5:DQ68" si="43">EXP(-1.0587+0.8836*LN(DP5)+0.284)</f>
        <v>0.6987000741308742</v>
      </c>
      <c r="DR5" s="22">
        <f t="shared" si="16"/>
        <v>4.0063178504214578</v>
      </c>
      <c r="DS5" s="62">
        <f t="shared" si="17"/>
        <v>128.57640762964499</v>
      </c>
      <c r="DT5" s="62">
        <f ca="1">AVERAGE(OFFSET($DS$3,0,0,'Données projet'!$E$14+1,1))-AVERAGE(OFFSET($H$3,0,0,'Données projet'!$E$14+1,1))</f>
        <v>520.23742527061836</v>
      </c>
      <c r="DU5" s="62">
        <f t="shared" ref="DU5:DU68" si="44">$DU$3</f>
        <v>321.35925479331274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6.6</v>
      </c>
      <c r="EJ5" s="13">
        <f>IF('Données projet'!$A$192&gt;35,EJ4+EI5-ER4,IF(A5&lt;'Données projet'!$A$192,$EG$205^A5,IF(A5='Données projet'!$A$192,'Données projet'!$B$192,EJ4+EI5-ER4)))</f>
        <v>1.629511362483081</v>
      </c>
      <c r="EK5" s="18">
        <f>EJ5*VLOOKUP('Données projet'!$B$15,Paramètres!$A$1:$I$89,3,0)*VLOOKUP('Données projet'!$B$15,Paramètres!$A$1:$I$89,5,0)</f>
        <v>1.7031652760673166</v>
      </c>
      <c r="EL5" s="14">
        <f t="shared" ref="EL5:EL68" si="45">EXP(-1.0587+0.8836*LN(EK5)+0.284)</f>
        <v>0.73771831937886023</v>
      </c>
      <c r="EM5" s="22">
        <f t="shared" si="19"/>
        <v>4.2512055954020909</v>
      </c>
      <c r="EN5" s="62">
        <f t="shared" si="20"/>
        <v>128.82129537462561</v>
      </c>
      <c r="EO5" s="62">
        <f ca="1">AVERAGE(OFFSET($EN$3,0,0,'Données projet'!$E$15+1,1))-AVERAGE(OFFSET($H$3,0,0,'Données projet'!$E$15+1,1))</f>
        <v>435.44444011810265</v>
      </c>
      <c r="EP5" s="62">
        <f t="shared" ref="EP5:EP68" si="46">$EP$3</f>
        <v>447.15868732689762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3.65</v>
      </c>
      <c r="FE5" s="13">
        <f>IF('Données projet'!$A$218&gt;35,FE4+FD5-FM4,IF(A5&lt;'Données projet'!$A$218,$FB$205^A5,IF(A5='Données projet'!$A$218,'Données projet'!$B$218,FE4+FD5-FM4)))</f>
        <v>1.5357915933617867</v>
      </c>
      <c r="FF5" s="18">
        <f>FE5*VLOOKUP('Données projet'!$B$16,Paramètres!$A$1:$I$89,3,0)*VLOOKUP('Données projet'!$B$16,Paramètres!$A$1:$I$89,5,0)</f>
        <v>1.5572926756688519</v>
      </c>
      <c r="FG5" s="14">
        <f t="shared" ref="FG5:FG68" si="47">EXP(-1.0587+0.8836*LN(FF5)+0.284)</f>
        <v>0.68160129960402205</v>
      </c>
      <c r="FH5" s="22">
        <f t="shared" si="22"/>
        <v>3.8994070069335893</v>
      </c>
      <c r="FI5" s="62">
        <f t="shared" si="23"/>
        <v>128.46949678615712</v>
      </c>
      <c r="FJ5" s="62">
        <f ca="1">AVERAGE(OFFSET($FI$3,0,0,'Données projet'!$E$16+1,1))-AVERAGE(OFFSET($H$3,0,0,'Données projet'!$E$16+1,1))</f>
        <v>547.89540791313675</v>
      </c>
      <c r="FK5" s="62">
        <f t="shared" ref="FK5:FK68" si="48">$FK$3</f>
        <v>345.19555189302378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5.5909090909090908</v>
      </c>
      <c r="FZ5" s="13">
        <f>IF('Données projet'!$A$244&gt;35,FZ4+FY5-GH4,IF(A5&lt;'Données projet'!$A$244,$FW$205^A5,IF(A5='Données projet'!$A$244,'Données projet'!$B$244,FZ4+FY5-GH4)))</f>
        <v>1.5487858556387992</v>
      </c>
      <c r="GA5" s="18">
        <f>FZ5*VLOOKUP('Données projet'!$B$17,Paramètres!$A$1:$I$89,3,0)*VLOOKUP('Données projet'!$B$17,Paramètres!$A$1:$I$89,5,0)</f>
        <v>0.92617394167200195</v>
      </c>
      <c r="GB5" s="14">
        <f t="shared" ref="GB5:GB68" si="49">EXP(-1.0587+0.8836*LN(GA5)+0.284)</f>
        <v>0.43064718121421069</v>
      </c>
      <c r="GC5" s="22">
        <f t="shared" si="25"/>
        <v>2.3631301223601535</v>
      </c>
      <c r="GD5" s="62">
        <f t="shared" si="26"/>
        <v>126.93321990158367</v>
      </c>
      <c r="GE5" s="62">
        <f ca="1">AVERAGE(OFFSET($GD$3,0,0,'Données projet'!$E$17+1,1))-AVERAGE(OFFSET($H$3,0,0,'Données projet'!$E$17+1,1))</f>
        <v>409.68685886029164</v>
      </c>
      <c r="GF5" s="62">
        <f t="shared" ref="GF5:GF68" si="50">$GF$3</f>
        <v>330.8416508650887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12.85</v>
      </c>
      <c r="N6" s="14">
        <f>IF('Données projet'!$A$36&gt;35,N5+M6-V5,IF(A6&lt;'Données projet'!$A$36,$K$205^A6,IF(A6='Données projet'!$A$36,'Données projet'!$B$36,N5+M6-V5)))</f>
        <v>2.2987406114595696</v>
      </c>
      <c r="O6" s="14">
        <f>N6*VLOOKUP('Données projet'!$B$9,Paramètres!$A$1:$I$89,3,0)*VLOOKUP('Données projet'!$B$9,Paramètres!$A$1:$I$89,5,0)</f>
        <v>1.1690475253638788</v>
      </c>
      <c r="P6" s="14">
        <f t="shared" si="33"/>
        <v>0.529040070490015</v>
      </c>
      <c r="Q6" s="22">
        <f t="shared" si="2"/>
        <v>2.9575025627788651</v>
      </c>
      <c r="R6" s="62">
        <f t="shared" si="0"/>
        <v>131.08380049567057</v>
      </c>
      <c r="S6" s="62">
        <f ca="1">AVERAGE(OFFSET($R$3,0,0,'Données projet'!$E$9+1,1))-AVERAGE(OFFSET($H$3,0,0,'Données projet'!$E$9+1,1))</f>
        <v>73.098184695482075</v>
      </c>
      <c r="T6" s="62">
        <f t="shared" si="34"/>
        <v>334.38551711782793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12.85</v>
      </c>
      <c r="AI6" s="14">
        <f>IF('Données projet'!$A$62&gt;35,AI5+AH6-AQ5,IF(A6&lt;'Données projet'!$A$62,$AF$205^A6,IF(A6='Données projet'!$A$62,'Données projet'!$B$62,AI5+AH6-AQ5)))</f>
        <v>2.2987406114595696</v>
      </c>
      <c r="AJ6" s="14">
        <f>AI6*VLOOKUP('Données projet'!$B$10,Paramètres!$A$1:$I$89,3,0)*VLOOKUP('Données projet'!$B$10,Paramètres!$A$1:$I$89,5,0)</f>
        <v>1.115256995055725</v>
      </c>
      <c r="AK6" s="14">
        <f t="shared" si="35"/>
        <v>0.50747257377537924</v>
      </c>
      <c r="AL6" s="22">
        <f t="shared" si="4"/>
        <v>2.826253999047506</v>
      </c>
      <c r="AM6" s="62">
        <f t="shared" si="5"/>
        <v>130.95255193193921</v>
      </c>
      <c r="AN6" s="62">
        <f ca="1">AVERAGE(OFFSET($AM$3,0,0,'Données projet'!$E$10+1,1))-AVERAGE(OFFSET($H$3,0,0,'Données projet'!$E$10+1,1))</f>
        <v>70.520400819593021</v>
      </c>
      <c r="AO6" s="62">
        <f t="shared" si="36"/>
        <v>321.48616153644309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</v>
      </c>
      <c r="BD6" s="13">
        <f>IF('Données projet'!$A$88&gt;35,BD5+BC6-BL5,IF(A6&lt;'Données projet'!$A$88,$BA$205^A6,IF(A6='Données projet'!$A$88,'Données projet'!$B$88,BD5+BC6-BL5)))</f>
        <v>1.6943513036291473</v>
      </c>
      <c r="BE6" s="14">
        <f>BD6*VLOOKUP('Données projet'!$B$11,Paramètres!$A$1:$I$89,3,0)*VLOOKUP('Données projet'!$B$11,Paramètres!$A$1:$I$89,5,0)</f>
        <v>0.79295641009844098</v>
      </c>
      <c r="BF6" s="14">
        <f t="shared" si="37"/>
        <v>0.37542981454665864</v>
      </c>
      <c r="BG6" s="22">
        <f t="shared" si="7"/>
        <v>2.0349393412568815</v>
      </c>
      <c r="BH6" s="62">
        <f t="shared" si="8"/>
        <v>130.16123727414859</v>
      </c>
      <c r="BI6" s="62">
        <f ca="1">AVERAGE(OFFSET($BH$3,0,0,'Données projet'!$E$11+1,1))-AVERAGE(OFFSET($H$3,0,0,'Données projet'!$E$11+1,1))</f>
        <v>374.62597460242665</v>
      </c>
      <c r="BJ6" s="62">
        <f t="shared" si="38"/>
        <v>277.50105097454616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2.1666666666666665</v>
      </c>
      <c r="BY6" s="13">
        <f>IF('Données projet'!$A$114&gt;35,BY5+BX6-CG5,IF(A6&lt;'Données projet'!$A$114,$BV$205^A6,IF(A6='Données projet'!$A$114,'Données projet'!$B$114,BY5+BX6-CG5)))</f>
        <v>1.5180683844287586</v>
      </c>
      <c r="BZ6" s="14">
        <f>BY6*VLOOKUP('Données projet'!$B$12,Paramètres!$A$1:$I$89,3,0)*VLOOKUP('Données projet'!$B$12,Paramètres!$A$1:$I$89,5,0)</f>
        <v>0.71045600391265895</v>
      </c>
      <c r="CA6" s="14">
        <f t="shared" si="39"/>
        <v>0.34069858107174766</v>
      </c>
      <c r="CB6" s="22">
        <f t="shared" si="10"/>
        <v>1.8307609021811748</v>
      </c>
      <c r="CC6" s="62">
        <f t="shared" si="11"/>
        <v>129.95705883507287</v>
      </c>
      <c r="CD6" s="62">
        <f ca="1">AVERAGE(OFFSET($CC$3,0,0,'Données projet'!$E$12+1,1))-AVERAGE(OFFSET($H$3,0,0,'Données projet'!$E$12+1,1))</f>
        <v>329.79342219561465</v>
      </c>
      <c r="CE6" s="62">
        <f t="shared" si="40"/>
        <v>144.63206563329757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4.9000000000000004</v>
      </c>
      <c r="CT6" s="13">
        <f>IF('Données projet'!$A$140&gt;35,CT5+CS6-DB5,IF(A6&lt;'Données projet'!$A$140,$CQ$205^A6,IF(A6='Données projet'!$A$140,'Données projet'!$B$140,CT5+CS6-DB5)))</f>
        <v>1.9892250122429544</v>
      </c>
      <c r="CU6" s="18">
        <f>CT6*VLOOKUP('Données projet'!$B$13,Paramètres!$A$1:$I$89,3,0)*VLOOKUP('Données projet'!$B$13,Paramètres!$A$1:$I$89,5,0)</f>
        <v>1.1895565573212867</v>
      </c>
      <c r="CV6" s="14">
        <f t="shared" si="41"/>
        <v>0.53723257122902957</v>
      </c>
      <c r="CW6" s="22">
        <f t="shared" si="13"/>
        <v>3.0074910655584675</v>
      </c>
      <c r="CX6" s="62">
        <f t="shared" si="14"/>
        <v>131.13378899845017</v>
      </c>
      <c r="CY6" s="62">
        <f ca="1">AVERAGE(OFFSET($CX$3,0,0,'Données projet'!$E$13+1,1))-AVERAGE(OFFSET($H$3,0,0,'Données projet'!$E$13+1,1))</f>
        <v>530.27599556821826</v>
      </c>
      <c r="CZ6" s="62">
        <f t="shared" si="42"/>
        <v>370.62231794492129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1.8993213946536327</v>
      </c>
      <c r="DQ6" s="14">
        <f t="shared" si="43"/>
        <v>0.81230974698745961</v>
      </c>
      <c r="DR6" s="22">
        <f t="shared" si="16"/>
        <v>4.7227575716915684</v>
      </c>
      <c r="DS6" s="62">
        <f t="shared" si="17"/>
        <v>132.84905550458328</v>
      </c>
      <c r="DT6" s="62">
        <f ca="1">AVERAGE(OFFSET($DS$3,0,0,'Données projet'!$E$14+1,1))-AVERAGE(OFFSET($H$3,0,0,'Données projet'!$E$14+1,1))</f>
        <v>520.23742527061836</v>
      </c>
      <c r="DU6" s="62">
        <f t="shared" si="44"/>
        <v>321.35925479331274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6.6</v>
      </c>
      <c r="EJ6" s="13">
        <f>IF('Données projet'!$A$192&gt;35,EJ5+EI6-ER5,IF(A6&lt;'Données projet'!$A$192,$EG$205^A6,IF(A6='Données projet'!$A$192,'Données projet'!$B$192,EJ5+EI6-ER5)))</f>
        <v>2.0801089837784965</v>
      </c>
      <c r="EK6" s="18">
        <f>EJ6*VLOOKUP('Données projet'!$B$15,Paramètres!$A$1:$I$89,3,0)*VLOOKUP('Données projet'!$B$15,Paramètres!$A$1:$I$89,5,0)</f>
        <v>2.1741299098452846</v>
      </c>
      <c r="EL6" s="14">
        <f t="shared" si="45"/>
        <v>0.91532963719122296</v>
      </c>
      <c r="EM6" s="22">
        <f t="shared" si="19"/>
        <v>5.3808087110885836</v>
      </c>
      <c r="EN6" s="62">
        <f t="shared" si="20"/>
        <v>133.50710664398028</v>
      </c>
      <c r="EO6" s="62">
        <f ca="1">AVERAGE(OFFSET($EN$3,0,0,'Données projet'!$E$15+1,1))-AVERAGE(OFFSET($H$3,0,0,'Données projet'!$E$15+1,1))</f>
        <v>435.44444011810265</v>
      </c>
      <c r="EP6" s="62">
        <f t="shared" si="46"/>
        <v>447.15868732689762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3.65</v>
      </c>
      <c r="FE6" s="13">
        <f>IF('Données projet'!$A$218&gt;35,FE5+FD6-FM5,IF(A6&lt;'Données projet'!$A$218,$FB$205^A6,IF(A6='Données projet'!$A$218,'Données projet'!$B$218,FE5+FD6-FM5)))</f>
        <v>1.9032613528593461</v>
      </c>
      <c r="FF6" s="18">
        <f>FE6*VLOOKUP('Données projet'!$B$16,Paramètres!$A$1:$I$89,3,0)*VLOOKUP('Données projet'!$B$16,Paramètres!$A$1:$I$89,5,0)</f>
        <v>1.9299070117993768</v>
      </c>
      <c r="FG6" s="14">
        <f t="shared" si="47"/>
        <v>0.82385733708903885</v>
      </c>
      <c r="FH6" s="22">
        <f t="shared" si="22"/>
        <v>4.7961395743139903</v>
      </c>
      <c r="FI6" s="62">
        <f t="shared" si="23"/>
        <v>132.9224375072057</v>
      </c>
      <c r="FJ6" s="62">
        <f ca="1">AVERAGE(OFFSET($FI$3,0,0,'Données projet'!$E$16+1,1))-AVERAGE(OFFSET($H$3,0,0,'Données projet'!$E$16+1,1))</f>
        <v>547.89540791313675</v>
      </c>
      <c r="FK6" s="62">
        <f t="shared" si="48"/>
        <v>345.19555189302378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5.5909090909090908</v>
      </c>
      <c r="FZ6" s="13">
        <f>IF('Données projet'!$A$244&gt;35,FZ5+FY6-GH5,IF(A6&lt;'Données projet'!$A$244,$FW$205^A6,IF(A6='Données projet'!$A$244,'Données projet'!$B$244,FZ5+FY6-GH5)))</f>
        <v>1.927467485460697</v>
      </c>
      <c r="GA6" s="18">
        <f>FZ6*VLOOKUP('Données projet'!$B$17,Paramètres!$A$1:$I$89,3,0)*VLOOKUP('Données projet'!$B$17,Paramètres!$A$1:$I$89,5,0)</f>
        <v>1.152625556305497</v>
      </c>
      <c r="GB6" s="14">
        <f t="shared" si="49"/>
        <v>0.52246812247269758</v>
      </c>
      <c r="GC6" s="22">
        <f t="shared" si="25"/>
        <v>2.9174548238720219</v>
      </c>
      <c r="GD6" s="62">
        <f t="shared" si="26"/>
        <v>131.04375275676372</v>
      </c>
      <c r="GE6" s="62">
        <f ca="1">AVERAGE(OFFSET($GD$3,0,0,'Données projet'!$E$17+1,1))-AVERAGE(OFFSET($H$3,0,0,'Données projet'!$E$17+1,1))</f>
        <v>409.68685886029164</v>
      </c>
      <c r="GF6" s="62">
        <f t="shared" si="50"/>
        <v>330.8416508650887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12.85</v>
      </c>
      <c r="N7" s="14">
        <f>IF('Données projet'!$A$36&gt;35,N6+M7-V6,IF(A7&lt;'Données projet'!$A$36,$K$205^A7,IF(A7='Données projet'!$A$36,'Données projet'!$B$36,N6+M7-V6)))</f>
        <v>3.0337977483254241</v>
      </c>
      <c r="O7" s="14">
        <f>N7*VLOOKUP('Données projet'!$B$9,Paramètres!$A$1:$I$89,3,0)*VLOOKUP('Données projet'!$B$9,Paramètres!$A$1:$I$89,5,0)</f>
        <v>1.5428681828883777</v>
      </c>
      <c r="P7" s="14">
        <f t="shared" si="33"/>
        <v>0.67601979491875774</v>
      </c>
      <c r="Q7" s="22">
        <f t="shared" si="2"/>
        <v>3.8645632280140938</v>
      </c>
      <c r="R7" s="62">
        <f t="shared" si="0"/>
        <v>135.50657987667421</v>
      </c>
      <c r="S7" s="62">
        <f ca="1">AVERAGE(OFFSET($R$3,0,0,'Données projet'!$E$9+1,1))-AVERAGE(OFFSET($H$3,0,0,'Données projet'!$E$9+1,1))</f>
        <v>73.098184695482075</v>
      </c>
      <c r="T7" s="62">
        <f t="shared" si="34"/>
        <v>334.38551711782793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12.85</v>
      </c>
      <c r="AI7" s="14">
        <f>IF('Données projet'!$A$62&gt;35,AI6+AH7-AQ6,IF(A7&lt;'Données projet'!$A$62,$AF$205^A7,IF(A7='Données projet'!$A$62,'Données projet'!$B$62,AI6+AH7-AQ6)))</f>
        <v>3.0337977483254241</v>
      </c>
      <c r="AJ7" s="14">
        <f>AI7*VLOOKUP('Données projet'!$B$10,Paramètres!$A$1:$I$89,3,0)*VLOOKUP('Données projet'!$B$10,Paramètres!$A$1:$I$89,5,0)</f>
        <v>1.4718773155775629</v>
      </c>
      <c r="AK7" s="14">
        <f t="shared" si="35"/>
        <v>0.64846034239480332</v>
      </c>
      <c r="AL7" s="22">
        <f t="shared" si="4"/>
        <v>3.692921420968537</v>
      </c>
      <c r="AM7" s="62">
        <f t="shared" si="5"/>
        <v>135.33493806962863</v>
      </c>
      <c r="AN7" s="62">
        <f ca="1">AVERAGE(OFFSET($AM$3,0,0,'Données projet'!$E$10+1,1))-AVERAGE(OFFSET($H$3,0,0,'Données projet'!$E$10+1,1))</f>
        <v>70.520400819593021</v>
      </c>
      <c r="AO7" s="62">
        <f t="shared" si="36"/>
        <v>321.48616153644309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</v>
      </c>
      <c r="BD7" s="13">
        <f>IF('Données projet'!$A$88&gt;35,BD6+BC7-BL6,IF(A7&lt;'Données projet'!$A$88,$BA$205^A7,IF(A7='Données projet'!$A$88,'Données projet'!$B$88,BD6+BC7-BL6)))</f>
        <v>2.0199375756832532</v>
      </c>
      <c r="BE7" s="14">
        <f>BD7*VLOOKUP('Données projet'!$B$11,Paramètres!$A$1:$I$89,3,0)*VLOOKUP('Données projet'!$B$11,Paramètres!$A$1:$I$89,5,0)</f>
        <v>0.94533078541976245</v>
      </c>
      <c r="BF7" s="14">
        <f t="shared" si="37"/>
        <v>0.43850839454619067</v>
      </c>
      <c r="BG7" s="22">
        <f t="shared" si="7"/>
        <v>2.4101865717740352</v>
      </c>
      <c r="BH7" s="62">
        <f t="shared" si="8"/>
        <v>134.05220322043414</v>
      </c>
      <c r="BI7" s="62">
        <f ca="1">AVERAGE(OFFSET($BH$3,0,0,'Données projet'!$E$11+1,1))-AVERAGE(OFFSET($H$3,0,0,'Données projet'!$E$11+1,1))</f>
        <v>374.62597460242665</v>
      </c>
      <c r="BJ7" s="62">
        <f t="shared" si="38"/>
        <v>277.50105097454616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2.1666666666666665</v>
      </c>
      <c r="BY7" s="13">
        <f>IF('Données projet'!$A$114&gt;35,BY6+BX7-CG6,IF(A7&lt;'Données projet'!$A$114,$BV$205^A7,IF(A7='Données projet'!$A$114,'Données projet'!$B$114,BY6+BX7-CG6)))</f>
        <v>1.7447040969367411</v>
      </c>
      <c r="BZ7" s="14">
        <f>BY7*VLOOKUP('Données projet'!$B$12,Paramètres!$A$1:$I$89,3,0)*VLOOKUP('Données projet'!$B$12,Paramètres!$A$1:$I$89,5,0)</f>
        <v>0.81652151736639489</v>
      </c>
      <c r="CA7" s="14">
        <f t="shared" si="39"/>
        <v>0.3852713070087056</v>
      </c>
      <c r="CB7" s="22">
        <f t="shared" si="10"/>
        <v>2.0931225024533</v>
      </c>
      <c r="CC7" s="62">
        <f t="shared" si="11"/>
        <v>133.7351391511134</v>
      </c>
      <c r="CD7" s="62">
        <f ca="1">AVERAGE(OFFSET($CC$3,0,0,'Données projet'!$E$12+1,1))-AVERAGE(OFFSET($H$3,0,0,'Données projet'!$E$12+1,1))</f>
        <v>329.79342219561465</v>
      </c>
      <c r="CE7" s="62">
        <f t="shared" si="40"/>
        <v>144.63206563329757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4.9000000000000004</v>
      </c>
      <c r="CT7" s="13">
        <f>IF('Données projet'!$A$140&gt;35,CT6+CS7-DB6,IF(A7&lt;'Données projet'!$A$140,$CQ$205^A7,IF(A7='Données projet'!$A$140,'Données projet'!$B$140,CT6+CS7-DB6)))</f>
        <v>2.5017575271408434</v>
      </c>
      <c r="CU7" s="18">
        <f>CT7*VLOOKUP('Données projet'!$B$13,Paramètres!$A$1:$I$89,3,0)*VLOOKUP('Données projet'!$B$13,Paramètres!$A$1:$I$89,5,0)</f>
        <v>1.4960510012302246</v>
      </c>
      <c r="CV7" s="14">
        <f t="shared" si="41"/>
        <v>0.65786185172389555</v>
      </c>
      <c r="CW7" s="22">
        <f t="shared" si="13"/>
        <v>3.7513982188950923</v>
      </c>
      <c r="CX7" s="62">
        <f t="shared" si="14"/>
        <v>135.39341486755521</v>
      </c>
      <c r="CY7" s="62">
        <f ca="1">AVERAGE(OFFSET($CX$3,0,0,'Données projet'!$E$13+1,1))-AVERAGE(OFFSET($H$3,0,0,'Données projet'!$E$13+1,1))</f>
        <v>530.27599556821826</v>
      </c>
      <c r="CZ7" s="62">
        <f t="shared" si="42"/>
        <v>370.62231794492129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2.2524169884532732</v>
      </c>
      <c r="DQ7" s="14">
        <f t="shared" si="43"/>
        <v>0.94439252188662837</v>
      </c>
      <c r="DR7" s="22">
        <f t="shared" si="16"/>
        <v>5.5677765638419956</v>
      </c>
      <c r="DS7" s="62">
        <f t="shared" si="17"/>
        <v>137.20979321250209</v>
      </c>
      <c r="DT7" s="62">
        <f ca="1">AVERAGE(OFFSET($DS$3,0,0,'Données projet'!$E$14+1,1))-AVERAGE(OFFSET($H$3,0,0,'Données projet'!$E$14+1,1))</f>
        <v>520.23742527061836</v>
      </c>
      <c r="DU7" s="62">
        <f t="shared" si="44"/>
        <v>321.35925479331274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6.6</v>
      </c>
      <c r="EJ7" s="13">
        <f>IF('Données projet'!$A$192&gt;35,EJ6+EI7-ER6,IF(A7&lt;'Données projet'!$A$192,$EG$205^A7,IF(A7='Données projet'!$A$192,'Données projet'!$B$192,EJ6+EI7-ER6)))</f>
        <v>2.655307280461467</v>
      </c>
      <c r="EK7" s="18">
        <f>EJ7*VLOOKUP('Données projet'!$B$15,Paramètres!$A$1:$I$89,3,0)*VLOOKUP('Données projet'!$B$15,Paramètres!$A$1:$I$89,5,0)</f>
        <v>2.7753271695383255</v>
      </c>
      <c r="EL7" s="14">
        <f t="shared" si="45"/>
        <v>1.1357022358154885</v>
      </c>
      <c r="EM7" s="22">
        <f t="shared" si="19"/>
        <v>6.8117095476578911</v>
      </c>
      <c r="EN7" s="62">
        <f t="shared" si="20"/>
        <v>138.453726196318</v>
      </c>
      <c r="EO7" s="62">
        <f ca="1">AVERAGE(OFFSET($EN$3,0,0,'Données projet'!$E$15+1,1))-AVERAGE(OFFSET($H$3,0,0,'Données projet'!$E$15+1,1))</f>
        <v>435.44444011810265</v>
      </c>
      <c r="EP7" s="62">
        <f t="shared" si="46"/>
        <v>447.15868732689762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3.65</v>
      </c>
      <c r="FE7" s="13">
        <f>IF('Données projet'!$A$218&gt;35,FE6+FD7-FM6,IF(A7&lt;'Données projet'!$A$218,$FB$205^A7,IF(A7='Données projet'!$A$218,'Données projet'!$B$218,FE6+FD7-FM6)))</f>
        <v>2.3586558182407358</v>
      </c>
      <c r="FF7" s="18">
        <f>FE7*VLOOKUP('Données projet'!$B$16,Paramètres!$A$1:$I$89,3,0)*VLOOKUP('Données projet'!$B$16,Paramètres!$A$1:$I$89,5,0)</f>
        <v>2.3916769996961063</v>
      </c>
      <c r="FG7" s="14">
        <f t="shared" si="47"/>
        <v>0.9958034297612971</v>
      </c>
      <c r="FH7" s="22">
        <f t="shared" si="22"/>
        <v>5.8998617479716442</v>
      </c>
      <c r="FI7" s="62">
        <f t="shared" si="23"/>
        <v>137.54187839663174</v>
      </c>
      <c r="FJ7" s="62">
        <f ca="1">AVERAGE(OFFSET($FI$3,0,0,'Données projet'!$E$16+1,1))-AVERAGE(OFFSET($H$3,0,0,'Données projet'!$E$16+1,1))</f>
        <v>547.89540791313675</v>
      </c>
      <c r="FK7" s="62">
        <f t="shared" si="48"/>
        <v>345.19555189302378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5.5909090909090908</v>
      </c>
      <c r="FZ7" s="13">
        <f>IF('Données projet'!$A$244&gt;35,FZ6+FY7-GH6,IF(A7&lt;'Données projet'!$A$244,$FW$205^A7,IF(A7='Données projet'!$A$244,'Données projet'!$B$244,FZ6+FY7-GH6)))</f>
        <v>2.3987376266268075</v>
      </c>
      <c r="GA7" s="18">
        <f>FZ7*VLOOKUP('Données projet'!$B$17,Paramètres!$A$1:$I$89,3,0)*VLOOKUP('Données projet'!$B$17,Paramètres!$A$1:$I$89,5,0)</f>
        <v>1.4344451007228309</v>
      </c>
      <c r="GB7" s="14">
        <f t="shared" si="49"/>
        <v>0.63386677286612625</v>
      </c>
      <c r="GC7" s="22">
        <f t="shared" si="25"/>
        <v>3.6023098465007668</v>
      </c>
      <c r="GD7" s="62">
        <f t="shared" si="26"/>
        <v>135.24432649516086</v>
      </c>
      <c r="GE7" s="62">
        <f ca="1">AVERAGE(OFFSET($GD$3,0,0,'Données projet'!$E$17+1,1))-AVERAGE(OFFSET($H$3,0,0,'Données projet'!$E$17+1,1))</f>
        <v>409.68685886029164</v>
      </c>
      <c r="GF7" s="62">
        <f t="shared" si="50"/>
        <v>330.8416508650887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12.85</v>
      </c>
      <c r="N8" s="14">
        <f>IF('Données projet'!$A$36&gt;35,N7+M8-V7,IF(A8&lt;'Données projet'!$A$36,$K$205^A8,IF(A8='Données projet'!$A$36,'Données projet'!$B$36,N7+M8-V7)))</f>
        <v>4.0039005409577033</v>
      </c>
      <c r="O8" s="14">
        <f>N8*VLOOKUP('Données projet'!$B$9,Paramètres!$A$1:$I$89,3,0)*VLOOKUP('Données projet'!$B$9,Paramètres!$A$1:$I$89,5,0)</f>
        <v>2.0362236591094498</v>
      </c>
      <c r="P8" s="14">
        <f t="shared" si="33"/>
        <v>0.86383392981689977</v>
      </c>
      <c r="Q8" s="22">
        <f t="shared" si="2"/>
        <v>5.0509336340467259</v>
      </c>
      <c r="R8" s="62">
        <f t="shared" si="0"/>
        <v>140.16888196180221</v>
      </c>
      <c r="S8" s="62">
        <f ca="1">AVERAGE(OFFSET($R$3,0,0,'Données projet'!$E$9+1,1))-AVERAGE(OFFSET($H$3,0,0,'Données projet'!$E$9+1,1))</f>
        <v>73.098184695482075</v>
      </c>
      <c r="T8" s="62">
        <f t="shared" si="34"/>
        <v>334.38551711782793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12.85</v>
      </c>
      <c r="AI8" s="14">
        <f>IF('Données projet'!$A$62&gt;35,AI7+AH8-AQ7,IF(A8&lt;'Données projet'!$A$62,$AF$205^A8,IF(A8='Données projet'!$A$62,'Données projet'!$B$62,AI7+AH8-AQ7)))</f>
        <v>4.0039005409577033</v>
      </c>
      <c r="AJ8" s="14">
        <f>AI8*VLOOKUP('Données projet'!$B$10,Paramètres!$A$1:$I$89,3,0)*VLOOKUP('Données projet'!$B$10,Paramètres!$A$1:$I$89,5,0)</f>
        <v>1.9425323864510393</v>
      </c>
      <c r="AK8" s="14">
        <f t="shared" si="35"/>
        <v>0.82861781579729321</v>
      </c>
      <c r="AL8" s="22">
        <f t="shared" si="4"/>
        <v>4.8264199355825115</v>
      </c>
      <c r="AM8" s="62">
        <f t="shared" si="5"/>
        <v>139.94436826333802</v>
      </c>
      <c r="AN8" s="62">
        <f ca="1">AVERAGE(OFFSET($AM$3,0,0,'Données projet'!$E$10+1,1))-AVERAGE(OFFSET($H$3,0,0,'Données projet'!$E$10+1,1))</f>
        <v>70.520400819593021</v>
      </c>
      <c r="AO8" s="62">
        <f t="shared" si="36"/>
        <v>321.48616153644309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</v>
      </c>
      <c r="BD8" s="13">
        <f>IF('Données projet'!$A$88&gt;35,BD7+BC8-BL7,IF(A8&lt;'Données projet'!$A$88,$BA$205^A8,IF(A8='Données projet'!$A$88,'Données projet'!$B$88,BD7+BC8-BL7)))</f>
        <v>2.4080884530367643</v>
      </c>
      <c r="BE8" s="14">
        <f>BD8*VLOOKUP('Données projet'!$B$11,Paramètres!$A$1:$I$89,3,0)*VLOOKUP('Données projet'!$B$11,Paramètres!$A$1:$I$89,5,0)</f>
        <v>1.1269853960212057</v>
      </c>
      <c r="BF8" s="14">
        <f t="shared" si="37"/>
        <v>0.51218524644792107</v>
      </c>
      <c r="BG8" s="22">
        <f t="shared" si="7"/>
        <v>2.8548888689670626</v>
      </c>
      <c r="BH8" s="62">
        <f t="shared" si="8"/>
        <v>137.97283719672257</v>
      </c>
      <c r="BI8" s="62">
        <f ca="1">AVERAGE(OFFSET($BH$3,0,0,'Données projet'!$E$11+1,1))-AVERAGE(OFFSET($H$3,0,0,'Données projet'!$E$11+1,1))</f>
        <v>374.62597460242665</v>
      </c>
      <c r="BJ8" s="62">
        <f t="shared" si="38"/>
        <v>277.50105097454616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2.1666666666666665</v>
      </c>
      <c r="BY8" s="13">
        <f>IF('Données projet'!$A$114&gt;35,BY7+BX8-CG7,IF(A8&lt;'Données projet'!$A$114,$BV$205^A8,IF(A8='Données projet'!$A$114,'Données projet'!$B$114,BY7+BX8-CG7)))</f>
        <v>2.005174745150422</v>
      </c>
      <c r="BZ8" s="14">
        <f>BY8*VLOOKUP('Données projet'!$B$12,Paramètres!$A$1:$I$89,3,0)*VLOOKUP('Données projet'!$B$12,Paramètres!$A$1:$I$89,5,0)</f>
        <v>0.9384217807303975</v>
      </c>
      <c r="CA8" s="14">
        <f t="shared" si="39"/>
        <v>0.43567536893538611</v>
      </c>
      <c r="CB8" s="22">
        <f t="shared" si="10"/>
        <v>2.3932192023345733</v>
      </c>
      <c r="CC8" s="62">
        <f t="shared" si="11"/>
        <v>137.51116753009006</v>
      </c>
      <c r="CD8" s="62">
        <f ca="1">AVERAGE(OFFSET($CC$3,0,0,'Données projet'!$E$12+1,1))-AVERAGE(OFFSET($H$3,0,0,'Données projet'!$E$12+1,1))</f>
        <v>329.79342219561465</v>
      </c>
      <c r="CE8" s="62">
        <f t="shared" si="40"/>
        <v>144.63206563329757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4.9000000000000004</v>
      </c>
      <c r="CT8" s="13">
        <f>IF('Données projet'!$A$140&gt;35,CT7+CS8-DB7,IF(A8&lt;'Données projet'!$A$140,$CQ$205^A8,IF(A8='Données projet'!$A$140,'Données projet'!$B$140,CT7+CS8-DB7)))</f>
        <v>3.1463462836457885</v>
      </c>
      <c r="CU8" s="18">
        <f>CT8*VLOOKUP('Données projet'!$B$13,Paramètres!$A$1:$I$89,3,0)*VLOOKUP('Données projet'!$B$13,Paramètres!$A$1:$I$89,5,0)</f>
        <v>1.8815150776201819</v>
      </c>
      <c r="CV8" s="14">
        <f t="shared" si="41"/>
        <v>0.80557702405033782</v>
      </c>
      <c r="CW8" s="22">
        <f t="shared" si="13"/>
        <v>4.6800187437428216</v>
      </c>
      <c r="CX8" s="62">
        <f t="shared" si="14"/>
        <v>139.79796707149833</v>
      </c>
      <c r="CY8" s="62">
        <f ca="1">AVERAGE(OFFSET($CX$3,0,0,'Données projet'!$E$13+1,1))-AVERAGE(OFFSET($H$3,0,0,'Données projet'!$E$13+1,1))</f>
        <v>530.27599556821826</v>
      </c>
      <c r="CZ8" s="62">
        <f t="shared" si="42"/>
        <v>370.62231794492129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2.6711552368934983</v>
      </c>
      <c r="DQ8" s="14">
        <f t="shared" si="43"/>
        <v>1.0979521527385474</v>
      </c>
      <c r="DR8" s="22">
        <f t="shared" si="16"/>
        <v>6.5645287036091462</v>
      </c>
      <c r="DS8" s="62">
        <f t="shared" si="17"/>
        <v>141.68247703136464</v>
      </c>
      <c r="DT8" s="62">
        <f ca="1">AVERAGE(OFFSET($DS$3,0,0,'Données projet'!$E$14+1,1))-AVERAGE(OFFSET($H$3,0,0,'Données projet'!$E$14+1,1))</f>
        <v>520.23742527061836</v>
      </c>
      <c r="DU8" s="62">
        <f t="shared" si="44"/>
        <v>321.35925479331274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6.6</v>
      </c>
      <c r="EJ8" s="13">
        <f>IF('Données projet'!$A$192&gt;35,EJ7+EI8-ER7,IF(A8&lt;'Données projet'!$A$192,$EG$205^A8,IF(A8='Données projet'!$A$192,'Données projet'!$B$192,EJ7+EI8-ER7)))</f>
        <v>3.3895612242701949</v>
      </c>
      <c r="EK8" s="18">
        <f>EJ8*VLOOKUP('Données projet'!$B$15,Paramètres!$A$1:$I$89,3,0)*VLOOKUP('Données projet'!$B$15,Paramètres!$A$1:$I$89,5,0)</f>
        <v>3.5427693916072083</v>
      </c>
      <c r="EL8" s="14">
        <f t="shared" si="45"/>
        <v>1.4091312200861699</v>
      </c>
      <c r="EM8" s="22">
        <f t="shared" si="19"/>
        <v>8.624560232032632</v>
      </c>
      <c r="EN8" s="62">
        <f t="shared" si="20"/>
        <v>143.74250855978812</v>
      </c>
      <c r="EO8" s="62">
        <f ca="1">AVERAGE(OFFSET($EN$3,0,0,'Données projet'!$E$15+1,1))-AVERAGE(OFFSET($H$3,0,0,'Données projet'!$E$15+1,1))</f>
        <v>435.44444011810265</v>
      </c>
      <c r="EP8" s="62">
        <f t="shared" si="46"/>
        <v>447.15868732689762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3.65</v>
      </c>
      <c r="FE8" s="13">
        <f>IF('Données projet'!$A$218&gt;35,FE7+FD8-FM7,IF(A8&lt;'Données projet'!$A$218,$FB$205^A8,IF(A8='Données projet'!$A$218,'Données projet'!$B$218,FE7+FD8-FM7)))</f>
        <v>2.9230127856917649</v>
      </c>
      <c r="FF8" s="18">
        <f>FE8*VLOOKUP('Données projet'!$B$16,Paramètres!$A$1:$I$89,3,0)*VLOOKUP('Données projet'!$B$16,Paramètres!$A$1:$I$89,5,0)</f>
        <v>2.9639349646914495</v>
      </c>
      <c r="FG8" s="14">
        <f t="shared" si="47"/>
        <v>1.2036361467970902</v>
      </c>
      <c r="FH8" s="22">
        <f t="shared" si="22"/>
        <v>7.2585196858425398</v>
      </c>
      <c r="FI8" s="62">
        <f t="shared" si="23"/>
        <v>142.37646801359804</v>
      </c>
      <c r="FJ8" s="62">
        <f ca="1">AVERAGE(OFFSET($FI$3,0,0,'Données projet'!$E$16+1,1))-AVERAGE(OFFSET($H$3,0,0,'Données projet'!$E$16+1,1))</f>
        <v>547.89540791313675</v>
      </c>
      <c r="FK8" s="62">
        <f t="shared" si="48"/>
        <v>345.19555189302378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5.5909090909090908</v>
      </c>
      <c r="FZ8" s="13">
        <f>IF('Données projet'!$A$244&gt;35,FZ7+FY8-GH7,IF(A8&lt;'Données projet'!$A$244,$FW$205^A8,IF(A8='Données projet'!$A$244,'Données projet'!$B$244,FZ7+FY8-GH7)))</f>
        <v>2.9852343786852105</v>
      </c>
      <c r="GA8" s="18">
        <f>FZ8*VLOOKUP('Données projet'!$B$17,Paramètres!$A$1:$I$89,3,0)*VLOOKUP('Données projet'!$B$17,Paramètres!$A$1:$I$89,5,0)</f>
        <v>1.785170158453756</v>
      </c>
      <c r="GB8" s="14">
        <f t="shared" si="49"/>
        <v>0.7690174164926461</v>
      </c>
      <c r="GC8" s="22">
        <f t="shared" si="25"/>
        <v>4.4485433596983173</v>
      </c>
      <c r="GD8" s="62">
        <f t="shared" si="26"/>
        <v>139.56649168745381</v>
      </c>
      <c r="GE8" s="62">
        <f ca="1">AVERAGE(OFFSET($GD$3,0,0,'Données projet'!$E$17+1,1))-AVERAGE(OFFSET($H$3,0,0,'Données projet'!$E$17+1,1))</f>
        <v>409.68685886029164</v>
      </c>
      <c r="GF8" s="62">
        <f t="shared" si="50"/>
        <v>330.8416508650887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12.85</v>
      </c>
      <c r="N9" s="14">
        <f>IF('Données projet'!$A$36&gt;35,N8+M9-V8,IF(A9&lt;'Données projet'!$A$36,$K$205^A9,IF(A9='Données projet'!$A$36,'Données projet'!$B$36,N8+M9-V8)))</f>
        <v>5.2842083987735169</v>
      </c>
      <c r="O9" s="14">
        <f>N9*VLOOKUP('Données projet'!$B$9,Paramètres!$A$1:$I$89,3,0)*VLOOKUP('Données projet'!$B$9,Paramètres!$A$1:$I$89,5,0)</f>
        <v>2.6873370232802598</v>
      </c>
      <c r="P9" s="14">
        <f t="shared" si="33"/>
        <v>1.1038272309653088</v>
      </c>
      <c r="Q9" s="22">
        <f t="shared" si="2"/>
        <v>6.6029444094776979</v>
      </c>
      <c r="R9" s="62">
        <f t="shared" si="0"/>
        <v>145.15772759579136</v>
      </c>
      <c r="S9" s="62">
        <f ca="1">AVERAGE(OFFSET($R$3,0,0,'Données projet'!$E$9+1,1))-AVERAGE(OFFSET($H$3,0,0,'Données projet'!$E$9+1,1))</f>
        <v>73.098184695482075</v>
      </c>
      <c r="T9" s="62">
        <f t="shared" si="34"/>
        <v>334.38551711782793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12.85</v>
      </c>
      <c r="AI9" s="14">
        <f>IF('Données projet'!$A$62&gt;35,AI8+AH9-AQ8,IF(A9&lt;'Données projet'!$A$62,$AF$205^A9,IF(A9='Données projet'!$A$62,'Données projet'!$B$62,AI8+AH9-AQ8)))</f>
        <v>5.2842083987735169</v>
      </c>
      <c r="AJ9" s="14">
        <f>AI9*VLOOKUP('Données projet'!$B$10,Paramètres!$A$1:$I$89,3,0)*VLOOKUP('Données projet'!$B$10,Paramètres!$A$1:$I$89,5,0)</f>
        <v>2.5636865467489596</v>
      </c>
      <c r="AK9" s="14">
        <f t="shared" si="35"/>
        <v>1.0588272555280622</v>
      </c>
      <c r="AL9" s="22">
        <f t="shared" si="4"/>
        <v>6.3092115389658128</v>
      </c>
      <c r="AM9" s="62">
        <f t="shared" si="5"/>
        <v>144.8639947252795</v>
      </c>
      <c r="AN9" s="62">
        <f ca="1">AVERAGE(OFFSET($AM$3,0,0,'Données projet'!$E$10+1,1))-AVERAGE(OFFSET($H$3,0,0,'Données projet'!$E$10+1,1))</f>
        <v>70.520400819593021</v>
      </c>
      <c r="AO9" s="62">
        <f t="shared" si="36"/>
        <v>321.48616153644309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</v>
      </c>
      <c r="BD9" s="13">
        <f>IF('Données projet'!$A$88&gt;35,BD8+BC9-BL8,IF(A9&lt;'Données projet'!$A$88,$BA$205^A9,IF(A9='Données projet'!$A$88,'Données projet'!$B$88,BD8+BC9-BL8)))</f>
        <v>2.8708263401097907</v>
      </c>
      <c r="BE9" s="14">
        <f>BD9*VLOOKUP('Données projet'!$B$11,Paramètres!$A$1:$I$89,3,0)*VLOOKUP('Données projet'!$B$11,Paramètres!$A$1:$I$89,5,0)</f>
        <v>1.3435467271713821</v>
      </c>
      <c r="BF9" s="14">
        <f t="shared" si="37"/>
        <v>0.59824105978724762</v>
      </c>
      <c r="BG9" s="22">
        <f t="shared" si="7"/>
        <v>3.3819470622862799</v>
      </c>
      <c r="BH9" s="62">
        <f t="shared" si="8"/>
        <v>141.93673024859996</v>
      </c>
      <c r="BI9" s="62">
        <f ca="1">AVERAGE(OFFSET($BH$3,0,0,'Données projet'!$E$11+1,1))-AVERAGE(OFFSET($H$3,0,0,'Données projet'!$E$11+1,1))</f>
        <v>374.62597460242665</v>
      </c>
      <c r="BJ9" s="62">
        <f t="shared" si="38"/>
        <v>277.50105097454616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2.1666666666666665</v>
      </c>
      <c r="BY9" s="13">
        <f>IF('Données projet'!$A$114&gt;35,BY8+BX9-CG8,IF(A9&lt;'Données projet'!$A$114,$BV$205^A9,IF(A9='Données projet'!$A$114,'Données projet'!$B$114,BY8+BX9-CG8)))</f>
        <v>2.3045316198021415</v>
      </c>
      <c r="BZ9" s="14">
        <f>BY9*VLOOKUP('Données projet'!$B$12,Paramètres!$A$1:$I$89,3,0)*VLOOKUP('Données projet'!$B$12,Paramètres!$A$1:$I$89,5,0)</f>
        <v>1.0785207980674023</v>
      </c>
      <c r="CA9" s="14">
        <f t="shared" si="39"/>
        <v>0.49267366565840792</v>
      </c>
      <c r="CB9" s="22">
        <f t="shared" si="10"/>
        <v>2.736497024322452</v>
      </c>
      <c r="CC9" s="62">
        <f t="shared" si="11"/>
        <v>141.29128021063613</v>
      </c>
      <c r="CD9" s="62">
        <f ca="1">AVERAGE(OFFSET($CC$3,0,0,'Données projet'!$E$12+1,1))-AVERAGE(OFFSET($H$3,0,0,'Données projet'!$E$12+1,1))</f>
        <v>329.79342219561465</v>
      </c>
      <c r="CE9" s="62">
        <f t="shared" si="40"/>
        <v>144.63206563329757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4.9000000000000004</v>
      </c>
      <c r="CT9" s="13">
        <f>IF('Données projet'!$A$140&gt;35,CT8+CS9-DB8,IF(A9&lt;'Données projet'!$A$140,$CQ$205^A9,IF(A9='Données projet'!$A$140,'Données projet'!$B$140,CT8+CS9-DB8)))</f>
        <v>3.9570161493329823</v>
      </c>
      <c r="CU9" s="18">
        <f>CT9*VLOOKUP('Données projet'!$B$13,Paramètres!$A$1:$I$89,3,0)*VLOOKUP('Données projet'!$B$13,Paramètres!$A$1:$I$89,5,0)</f>
        <v>2.3662956573011233</v>
      </c>
      <c r="CV9" s="14">
        <f t="shared" si="41"/>
        <v>0.98645990792328875</v>
      </c>
      <c r="CW9" s="22">
        <f t="shared" si="13"/>
        <v>5.8393826094325183</v>
      </c>
      <c r="CX9" s="62">
        <f t="shared" si="14"/>
        <v>144.39416579574618</v>
      </c>
      <c r="CY9" s="62">
        <f ca="1">AVERAGE(OFFSET($CX$3,0,0,'Données projet'!$E$13+1,1))-AVERAGE(OFFSET($H$3,0,0,'Données projet'!$E$13+1,1))</f>
        <v>530.27599556821826</v>
      </c>
      <c r="CZ9" s="62">
        <f t="shared" si="42"/>
        <v>370.62231794492129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3.1677395154452226</v>
      </c>
      <c r="DQ9" s="14">
        <f t="shared" si="43"/>
        <v>1.2764808083136507</v>
      </c>
      <c r="DR9" s="22">
        <f t="shared" si="16"/>
        <v>7.74035039721337</v>
      </c>
      <c r="DS9" s="62">
        <f t="shared" si="17"/>
        <v>146.29513358352705</v>
      </c>
      <c r="DT9" s="62">
        <f ca="1">AVERAGE(OFFSET($DS$3,0,0,'Données projet'!$E$14+1,1))-AVERAGE(OFFSET($H$3,0,0,'Données projet'!$E$14+1,1))</f>
        <v>520.23742527061836</v>
      </c>
      <c r="DU9" s="62">
        <f t="shared" si="44"/>
        <v>321.35925479331274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6.6</v>
      </c>
      <c r="EJ9" s="13">
        <f>IF('Données projet'!$A$192&gt;35,EJ8+EI9-ER8,IF(A9&lt;'Données projet'!$A$192,$EG$205^A9,IF(A9='Données projet'!$A$192,'Données projet'!$B$192,EJ8+EI9-ER8)))</f>
        <v>4.32685338439601</v>
      </c>
      <c r="EK9" s="18">
        <f>EJ9*VLOOKUP('Données projet'!$B$15,Paramètres!$A$1:$I$89,3,0)*VLOOKUP('Données projet'!$B$15,Paramètres!$A$1:$I$89,5,0)</f>
        <v>4.5224271573707098</v>
      </c>
      <c r="EL9" s="14">
        <f t="shared" si="45"/>
        <v>1.7483903199290129</v>
      </c>
      <c r="EM9" s="22">
        <f t="shared" si="19"/>
        <v>10.921673772963684</v>
      </c>
      <c r="EN9" s="62">
        <f t="shared" si="20"/>
        <v>149.47645695927736</v>
      </c>
      <c r="EO9" s="62">
        <f ca="1">AVERAGE(OFFSET($EN$3,0,0,'Données projet'!$E$15+1,1))-AVERAGE(OFFSET($H$3,0,0,'Données projet'!$E$15+1,1))</f>
        <v>435.44444011810265</v>
      </c>
      <c r="EP9" s="62">
        <f t="shared" si="46"/>
        <v>447.15868732689762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3.65</v>
      </c>
      <c r="FE9" s="13">
        <f>IF('Données projet'!$A$218&gt;35,FE8+FD9-FM8,IF(A9&lt;'Données projet'!$A$218,$FB$205^A9,IF(A9='Données projet'!$A$218,'Données projet'!$B$218,FE8+FD9-FM8)))</f>
        <v>3.6224037772879885</v>
      </c>
      <c r="FF9" s="18">
        <f>FE9*VLOOKUP('Données projet'!$B$16,Paramètres!$A$1:$I$89,3,0)*VLOOKUP('Données projet'!$B$16,Paramètres!$A$1:$I$89,5,0)</f>
        <v>3.6731174301700205</v>
      </c>
      <c r="FG9" s="14">
        <f t="shared" si="47"/>
        <v>1.4548453345092642</v>
      </c>
      <c r="FH9" s="22">
        <f t="shared" si="22"/>
        <v>8.9312018151497536</v>
      </c>
      <c r="FI9" s="62">
        <f t="shared" si="23"/>
        <v>147.48598500146343</v>
      </c>
      <c r="FJ9" s="62">
        <f ca="1">AVERAGE(OFFSET($FI$3,0,0,'Données projet'!$E$16+1,1))-AVERAGE(OFFSET($H$3,0,0,'Données projet'!$E$16+1,1))</f>
        <v>547.89540791313675</v>
      </c>
      <c r="FK9" s="62">
        <f t="shared" si="48"/>
        <v>345.19555189302378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5.5909090909090908</v>
      </c>
      <c r="FZ9" s="13">
        <f>IF('Données projet'!$A$244&gt;35,FZ8+FY9-GH8,IF(A9&lt;'Données projet'!$A$244,$FW$205^A9,IF(A9='Données projet'!$A$244,'Données projet'!$B$244,FZ8+FY9-GH8)))</f>
        <v>3.7151309075081826</v>
      </c>
      <c r="GA9" s="18">
        <f>FZ9*VLOOKUP('Données projet'!$B$17,Paramètres!$A$1:$I$89,3,0)*VLOOKUP('Données projet'!$B$17,Paramètres!$A$1:$I$89,5,0)</f>
        <v>2.2216482826898933</v>
      </c>
      <c r="GB9" s="14">
        <f t="shared" si="49"/>
        <v>0.93298436230530435</v>
      </c>
      <c r="GC9" s="22">
        <f t="shared" si="25"/>
        <v>5.4943185233666361</v>
      </c>
      <c r="GD9" s="62">
        <f t="shared" si="26"/>
        <v>144.04910170968031</v>
      </c>
      <c r="GE9" s="62">
        <f ca="1">AVERAGE(OFFSET($GD$3,0,0,'Données projet'!$E$17+1,1))-AVERAGE(OFFSET($H$3,0,0,'Données projet'!$E$17+1,1))</f>
        <v>409.68685886029164</v>
      </c>
      <c r="GF9" s="62">
        <f t="shared" si="50"/>
        <v>330.8416508650887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12.85</v>
      </c>
      <c r="N10" s="14">
        <f>IF('Données projet'!$A$36&gt;35,N9+M10-V9,IF(A10&lt;'Données projet'!$A$36,$K$205^A10,IF(A10='Données projet'!$A$36,'Données projet'!$B$36,N9+M10-V9)))</f>
        <v>6.9739140910302515</v>
      </c>
      <c r="O10" s="14">
        <f>N10*VLOOKUP('Données projet'!$B$9,Paramètres!$A$1:$I$89,3,0)*VLOOKUP('Données projet'!$B$9,Paramètres!$A$1:$I$89,5,0)</f>
        <v>3.5466537501343449</v>
      </c>
      <c r="P10" s="14">
        <f t="shared" si="33"/>
        <v>1.4104962930534615</v>
      </c>
      <c r="Q10" s="22">
        <f t="shared" si="2"/>
        <v>8.6337029918854302</v>
      </c>
      <c r="R10" s="62">
        <f t="shared" si="0"/>
        <v>150.58690245864895</v>
      </c>
      <c r="S10" s="62">
        <f ca="1">AVERAGE(OFFSET($R$3,0,0,'Données projet'!$E$9+1,1))-AVERAGE(OFFSET($H$3,0,0,'Données projet'!$E$9+1,1))</f>
        <v>73.098184695482075</v>
      </c>
      <c r="T10" s="62">
        <f t="shared" si="34"/>
        <v>334.38551711782793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12.85</v>
      </c>
      <c r="AI10" s="14">
        <f>IF('Données projet'!$A$62&gt;35,AI9+AH10-AQ9,IF(A10&lt;'Données projet'!$A$62,$AF$205^A10,IF(A10='Données projet'!$A$62,'Données projet'!$B$62,AI9+AH10-AQ9)))</f>
        <v>6.9739140910302515</v>
      </c>
      <c r="AJ10" s="14">
        <f>AI10*VLOOKUP('Données projet'!$B$10,Paramètres!$A$1:$I$89,3,0)*VLOOKUP('Données projet'!$B$10,Paramètres!$A$1:$I$89,5,0)</f>
        <v>3.383464160404237</v>
      </c>
      <c r="AK10" s="14">
        <f t="shared" si="35"/>
        <v>1.3529942703082665</v>
      </c>
      <c r="AL10" s="22">
        <f t="shared" si="4"/>
        <v>8.2493317668242767</v>
      </c>
      <c r="AM10" s="62">
        <f t="shared" si="5"/>
        <v>150.20253123358779</v>
      </c>
      <c r="AN10" s="62">
        <f ca="1">AVERAGE(OFFSET($AM$3,0,0,'Données projet'!$E$10+1,1))-AVERAGE(OFFSET($H$3,0,0,'Données projet'!$E$10+1,1))</f>
        <v>70.520400819593021</v>
      </c>
      <c r="AO10" s="62">
        <f t="shared" si="36"/>
        <v>321.48616153644309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</v>
      </c>
      <c r="BD10" s="13">
        <f>IF('Données projet'!$A$88&gt;35,BD9+BC10-BL9,IF(A10&lt;'Données projet'!$A$88,$BA$205^A10,IF(A10='Données projet'!$A$88,'Données projet'!$B$88,BD9+BC10-BL9)))</f>
        <v>3.4224838646084192</v>
      </c>
      <c r="BE10" s="14">
        <f>BD10*VLOOKUP('Données projet'!$B$11,Paramètres!$A$1:$I$89,3,0)*VLOOKUP('Données projet'!$B$11,Paramètres!$A$1:$I$89,5,0)</f>
        <v>1.6017224486367401</v>
      </c>
      <c r="BF10" s="14">
        <f t="shared" si="37"/>
        <v>0.69875571016034643</v>
      </c>
      <c r="BG10" s="22">
        <f t="shared" si="7"/>
        <v>4.0066661265715924</v>
      </c>
      <c r="BH10" s="62">
        <f t="shared" si="8"/>
        <v>145.95986559333511</v>
      </c>
      <c r="BI10" s="62">
        <f ca="1">AVERAGE(OFFSET($BH$3,0,0,'Données projet'!$E$11+1,1))-AVERAGE(OFFSET($H$3,0,0,'Données projet'!$E$11+1,1))</f>
        <v>374.62597460242665</v>
      </c>
      <c r="BJ10" s="62">
        <f t="shared" si="38"/>
        <v>277.50105097454616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2.1666666666666665</v>
      </c>
      <c r="BY10" s="13">
        <f>IF('Données projet'!$A$114&gt;35,BY9+BX10-CG9,IF(A10&lt;'Données projet'!$A$114,$BV$205^A10,IF(A10='Données projet'!$A$114,'Données projet'!$B$114,BY9+BX10-CG9)))</f>
        <v>2.6485801297429949</v>
      </c>
      <c r="BZ10" s="14">
        <f>BY10*VLOOKUP('Données projet'!$B$12,Paramètres!$A$1:$I$89,3,0)*VLOOKUP('Données projet'!$B$12,Paramètres!$A$1:$I$89,5,0)</f>
        <v>1.2395355007197215</v>
      </c>
      <c r="CA10" s="14">
        <f t="shared" si="39"/>
        <v>0.55712890408842664</v>
      </c>
      <c r="CB10" s="22">
        <f t="shared" si="10"/>
        <v>3.1291905050408579</v>
      </c>
      <c r="CC10" s="62">
        <f t="shared" si="11"/>
        <v>145.08238997180439</v>
      </c>
      <c r="CD10" s="62">
        <f ca="1">AVERAGE(OFFSET($CC$3,0,0,'Données projet'!$E$12+1,1))-AVERAGE(OFFSET($H$3,0,0,'Données projet'!$E$12+1,1))</f>
        <v>329.79342219561465</v>
      </c>
      <c r="CE10" s="62">
        <f t="shared" si="40"/>
        <v>144.63206563329757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4.9000000000000004</v>
      </c>
      <c r="CT10" s="13">
        <f>IF('Données projet'!$A$140&gt;35,CT9+CS10-DB9,IF(A10&lt;'Données projet'!$A$140,$CQ$205^A10,IF(A10='Données projet'!$A$140,'Données projet'!$B$140,CT9+CS10-DB9)))</f>
        <v>4.976558647555648</v>
      </c>
      <c r="CU10" s="18">
        <f>CT10*VLOOKUP('Données projet'!$B$13,Paramètres!$A$1:$I$89,3,0)*VLOOKUP('Données projet'!$B$13,Paramètres!$A$1:$I$89,5,0)</f>
        <v>2.9759820712382781</v>
      </c>
      <c r="CV10" s="14">
        <f t="shared" si="41"/>
        <v>1.2079579244296048</v>
      </c>
      <c r="CW10" s="22">
        <f t="shared" si="13"/>
        <v>7.2870288257882292</v>
      </c>
      <c r="CX10" s="62">
        <f t="shared" si="14"/>
        <v>149.24022829255176</v>
      </c>
      <c r="CY10" s="62">
        <f ca="1">AVERAGE(OFFSET($CX$3,0,0,'Données projet'!$E$13+1,1))-AVERAGE(OFFSET($H$3,0,0,'Données projet'!$E$13+1,1))</f>
        <v>530.27599556821826</v>
      </c>
      <c r="CZ10" s="62">
        <f t="shared" si="42"/>
        <v>370.62231794492129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3.7566418825523407</v>
      </c>
      <c r="DQ10" s="14">
        <f t="shared" si="43"/>
        <v>1.484038489226476</v>
      </c>
      <c r="DR10" s="22">
        <f t="shared" si="16"/>
        <v>9.1275183141814384</v>
      </c>
      <c r="DS10" s="62">
        <f t="shared" si="17"/>
        <v>151.08071778094495</v>
      </c>
      <c r="DT10" s="62">
        <f ca="1">AVERAGE(OFFSET($DS$3,0,0,'Données projet'!$E$14+1,1))-AVERAGE(OFFSET($H$3,0,0,'Données projet'!$E$14+1,1))</f>
        <v>520.23742527061836</v>
      </c>
      <c r="DU10" s="62">
        <f t="shared" si="44"/>
        <v>321.35925479331274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6.6</v>
      </c>
      <c r="EJ10" s="13">
        <f>IF('Données projet'!$A$192&gt;35,EJ9+EI10-ER9,IF(A10&lt;'Données projet'!$A$192,$EG$205^A10,IF(A10='Données projet'!$A$192,'Données projet'!$B$192,EJ9+EI10-ER9)))</f>
        <v>5.5233285287803451</v>
      </c>
      <c r="EK10" s="18">
        <f>EJ10*VLOOKUP('Données projet'!$B$15,Paramètres!$A$1:$I$89,3,0)*VLOOKUP('Données projet'!$B$15,Paramètres!$A$1:$I$89,5,0)</f>
        <v>5.7729829782812176</v>
      </c>
      <c r="EL10" s="14">
        <f t="shared" si="45"/>
        <v>2.1693286382758212</v>
      </c>
      <c r="EM10" s="22">
        <f t="shared" si="19"/>
        <v>13.832859398836844</v>
      </c>
      <c r="EN10" s="62">
        <f t="shared" si="20"/>
        <v>155.78605886560035</v>
      </c>
      <c r="EO10" s="62">
        <f ca="1">AVERAGE(OFFSET($EN$3,0,0,'Données projet'!$E$15+1,1))-AVERAGE(OFFSET($H$3,0,0,'Données projet'!$E$15+1,1))</f>
        <v>435.44444011810265</v>
      </c>
      <c r="EP10" s="62">
        <f t="shared" si="46"/>
        <v>447.15868732689762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3.65</v>
      </c>
      <c r="FE10" s="13">
        <f>IF('Données projet'!$A$218&gt;35,FE9+FD10-FM9,IF(A10&lt;'Données projet'!$A$218,$FB$205^A10,IF(A10='Données projet'!$A$218,'Données projet'!$B$218,FE9+FD10-FM9)))</f>
        <v>4.4891384635544309</v>
      </c>
      <c r="FF10" s="18">
        <f>FE10*VLOOKUP('Données projet'!$B$16,Paramètres!$A$1:$I$89,3,0)*VLOOKUP('Données projet'!$B$16,Paramètres!$A$1:$I$89,5,0)</f>
        <v>4.5519864020441929</v>
      </c>
      <c r="FG10" s="14">
        <f t="shared" si="47"/>
        <v>1.7584840343783612</v>
      </c>
      <c r="FH10" s="22">
        <f t="shared" si="22"/>
        <v>10.990736010102614</v>
      </c>
      <c r="FI10" s="62">
        <f t="shared" si="23"/>
        <v>152.94393547686613</v>
      </c>
      <c r="FJ10" s="62">
        <f ca="1">AVERAGE(OFFSET($FI$3,0,0,'Données projet'!$E$16+1,1))-AVERAGE(OFFSET($H$3,0,0,'Données projet'!$E$16+1,1))</f>
        <v>547.89540791313675</v>
      </c>
      <c r="FK10" s="62">
        <f t="shared" si="48"/>
        <v>345.19555189302378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5.5909090909090908</v>
      </c>
      <c r="FZ10" s="13">
        <f>IF('Données projet'!$A$244&gt;35,FZ9+FY10-GH9,IF(A10&lt;'Données projet'!$A$244,$FW$205^A10,IF(A10='Données projet'!$A$244,'Données projet'!$B$244,FZ9+FY10-GH9)))</f>
        <v>4.6234887814743333</v>
      </c>
      <c r="GA10" s="18">
        <f>FZ10*VLOOKUP('Données projet'!$B$17,Paramètres!$A$1:$I$89,3,0)*VLOOKUP('Données projet'!$B$17,Paramètres!$A$1:$I$89,5,0)</f>
        <v>2.7648462913216516</v>
      </c>
      <c r="GB10" s="14">
        <f t="shared" si="49"/>
        <v>1.1319117118000401</v>
      </c>
      <c r="GC10" s="22">
        <f t="shared" si="25"/>
        <v>6.7868535221036126</v>
      </c>
      <c r="GD10" s="62">
        <f t="shared" si="26"/>
        <v>148.74005298886715</v>
      </c>
      <c r="GE10" s="62">
        <f ca="1">AVERAGE(OFFSET($GD$3,0,0,'Données projet'!$E$17+1,1))-AVERAGE(OFFSET($H$3,0,0,'Données projet'!$E$17+1,1))</f>
        <v>409.68685886029164</v>
      </c>
      <c r="GF10" s="62">
        <f t="shared" si="50"/>
        <v>330.8416508650887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12.85</v>
      </c>
      <c r="N11" s="14">
        <f>IF('Données projet'!$A$36&gt;35,N10+M11-V10,IF(A11&lt;'Données projet'!$A$36,$K$205^A11,IF(A11='Données projet'!$A$36,'Données projet'!$B$36,N10+M11-V10)))</f>
        <v>9.2039287777444141</v>
      </c>
      <c r="O11" s="14">
        <f>N11*VLOOKUP('Données projet'!$B$9,Paramètres!$A$1:$I$89,3,0)*VLOOKUP('Données projet'!$B$9,Paramètres!$A$1:$I$89,5,0)</f>
        <v>4.6807500192096994</v>
      </c>
      <c r="P11" s="14">
        <f t="shared" si="33"/>
        <v>1.8023652043605753</v>
      </c>
      <c r="Q11" s="22">
        <f t="shared" si="2"/>
        <v>11.291425681051562</v>
      </c>
      <c r="R11" s="62">
        <f t="shared" si="0"/>
        <v>156.60528932659571</v>
      </c>
      <c r="S11" s="62">
        <f ca="1">AVERAGE(OFFSET($R$3,0,0,'Données projet'!$E$9+1,1))-AVERAGE(OFFSET($H$3,0,0,'Données projet'!$E$9+1,1))</f>
        <v>73.098184695482075</v>
      </c>
      <c r="T11" s="62">
        <f t="shared" si="34"/>
        <v>334.38551711782793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12.85</v>
      </c>
      <c r="AI11" s="14">
        <f>IF('Données projet'!$A$62&gt;35,AI10+AH11-AQ10,IF(A11&lt;'Données projet'!$A$62,$AF$205^A11,IF(A11='Données projet'!$A$62,'Données projet'!$B$62,AI10+AH11-AQ10)))</f>
        <v>9.2039287777444141</v>
      </c>
      <c r="AJ11" s="14">
        <f>AI11*VLOOKUP('Données projet'!$B$10,Paramètres!$A$1:$I$89,3,0)*VLOOKUP('Données projet'!$B$10,Paramètres!$A$1:$I$89,5,0)</f>
        <v>4.4653780858104799</v>
      </c>
      <c r="AK11" s="14">
        <f t="shared" si="35"/>
        <v>1.7288877727028644</v>
      </c>
      <c r="AL11" s="22">
        <f t="shared" si="4"/>
        <v>10.788346370244076</v>
      </c>
      <c r="AM11" s="62">
        <f t="shared" si="5"/>
        <v>156.10221001578824</v>
      </c>
      <c r="AN11" s="62">
        <f ca="1">AVERAGE(OFFSET($AM$3,0,0,'Données projet'!$E$10+1,1))-AVERAGE(OFFSET($H$3,0,0,'Données projet'!$E$10+1,1))</f>
        <v>70.520400819593021</v>
      </c>
      <c r="AO11" s="62">
        <f t="shared" si="36"/>
        <v>321.48616153644309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</v>
      </c>
      <c r="BD11" s="13">
        <f>IF('Données projet'!$A$88&gt;35,BD10+BC11-BL10,IF(A11&lt;'Données projet'!$A$88,$BA$205^A11,IF(A11='Données projet'!$A$88,'Données projet'!$B$88,BD10+BC11-BL10)))</f>
        <v>4.080147809657138</v>
      </c>
      <c r="BE11" s="14">
        <f>BD11*VLOOKUP('Données projet'!$B$11,Paramètres!$A$1:$I$89,3,0)*VLOOKUP('Données projet'!$B$11,Paramètres!$A$1:$I$89,5,0)</f>
        <v>1.9095091749195405</v>
      </c>
      <c r="BF11" s="14">
        <f t="shared" si="37"/>
        <v>0.81615852755965934</v>
      </c>
      <c r="BG11" s="22">
        <f t="shared" si="7"/>
        <v>4.7472045818179396</v>
      </c>
      <c r="BH11" s="62">
        <f t="shared" si="8"/>
        <v>150.06106822736211</v>
      </c>
      <c r="BI11" s="62">
        <f ca="1">AVERAGE(OFFSET($BH$3,0,0,'Données projet'!$E$11+1,1))-AVERAGE(OFFSET($H$3,0,0,'Données projet'!$E$11+1,1))</f>
        <v>374.62597460242665</v>
      </c>
      <c r="BJ11" s="62">
        <f t="shared" si="38"/>
        <v>277.50105097454616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2.1666666666666665</v>
      </c>
      <c r="BY11" s="13">
        <f>IF('Données projet'!$A$114&gt;35,BY10+BX11-CG10,IF(A11&lt;'Données projet'!$A$114,$BV$205^A11,IF(A11='Données projet'!$A$114,'Données projet'!$B$114,BY10+BX11-CG10)))</f>
        <v>3.0439923858678495</v>
      </c>
      <c r="BZ11" s="14">
        <f>BY11*VLOOKUP('Données projet'!$B$12,Paramètres!$A$1:$I$89,3,0)*VLOOKUP('Données projet'!$B$12,Paramètres!$A$1:$I$89,5,0)</f>
        <v>1.4245884365861534</v>
      </c>
      <c r="CA11" s="14">
        <f t="shared" si="39"/>
        <v>0.63001665687968822</v>
      </c>
      <c r="CB11" s="22">
        <f t="shared" si="10"/>
        <v>3.5784372044530071</v>
      </c>
      <c r="CC11" s="62">
        <f t="shared" si="11"/>
        <v>148.89230084999716</v>
      </c>
      <c r="CD11" s="62">
        <f ca="1">AVERAGE(OFFSET($CC$3,0,0,'Données projet'!$E$12+1,1))-AVERAGE(OFFSET($H$3,0,0,'Données projet'!$E$12+1,1))</f>
        <v>329.79342219561465</v>
      </c>
      <c r="CE11" s="62">
        <f t="shared" si="40"/>
        <v>144.63206563329757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4.9000000000000004</v>
      </c>
      <c r="CT11" s="13">
        <f>IF('Données projet'!$A$140&gt;35,CT10+CS11-DB10,IF(A11&lt;'Données projet'!$A$140,$CQ$205^A11,IF(A11='Données projet'!$A$140,'Données projet'!$B$140,CT10+CS11-DB10)))</f>
        <v>6.258790724605868</v>
      </c>
      <c r="CU11" s="18">
        <f>CT11*VLOOKUP('Données projet'!$B$13,Paramètres!$A$1:$I$89,3,0)*VLOOKUP('Données projet'!$B$13,Paramètres!$A$1:$I$89,5,0)</f>
        <v>3.7427568533143094</v>
      </c>
      <c r="CV11" s="14">
        <f t="shared" si="41"/>
        <v>1.4791907258188837</v>
      </c>
      <c r="CW11" s="22">
        <f t="shared" si="13"/>
        <v>9.0948920336569774</v>
      </c>
      <c r="CX11" s="62">
        <f t="shared" si="14"/>
        <v>154.40875567920114</v>
      </c>
      <c r="CY11" s="62">
        <f ca="1">AVERAGE(OFFSET($CX$3,0,0,'Données projet'!$E$13+1,1))-AVERAGE(OFFSET($H$3,0,0,'Données projet'!$E$13+1,1))</f>
        <v>530.27599556821826</v>
      </c>
      <c r="CZ11" s="62">
        <f t="shared" si="42"/>
        <v>370.62231794492129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4.455024841827286</v>
      </c>
      <c r="DQ11" s="14">
        <f t="shared" si="43"/>
        <v>1.7253453582393743</v>
      </c>
      <c r="DR11" s="22">
        <f t="shared" si="16"/>
        <v>10.7641447651161</v>
      </c>
      <c r="DS11" s="62">
        <f t="shared" si="17"/>
        <v>156.07800841066026</v>
      </c>
      <c r="DT11" s="62">
        <f ca="1">AVERAGE(OFFSET($DS$3,0,0,'Données projet'!$E$14+1,1))-AVERAGE(OFFSET($H$3,0,0,'Données projet'!$E$14+1,1))</f>
        <v>520.23742527061836</v>
      </c>
      <c r="DU11" s="62">
        <f t="shared" si="44"/>
        <v>321.35925479331274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6.6</v>
      </c>
      <c r="EJ11" s="13">
        <f>IF('Données projet'!$A$192&gt;35,EJ10+EI11-ER10,IF(A11&lt;'Données projet'!$A$192,$EG$205^A11,IF(A11='Données projet'!$A$192,'Données projet'!$B$192,EJ10+EI11-ER10)))</f>
        <v>7.0506567536716718</v>
      </c>
      <c r="EK11" s="18">
        <f>EJ11*VLOOKUP('Données projet'!$B$15,Paramètres!$A$1:$I$89,3,0)*VLOOKUP('Données projet'!$B$15,Paramètres!$A$1:$I$89,5,0)</f>
        <v>7.3693464389376322</v>
      </c>
      <c r="EL11" s="14">
        <f t="shared" si="45"/>
        <v>2.6916110705958936</v>
      </c>
      <c r="EM11" s="22">
        <f t="shared" si="19"/>
        <v>17.522834329104224</v>
      </c>
      <c r="EN11" s="62">
        <f t="shared" si="20"/>
        <v>162.83669797464839</v>
      </c>
      <c r="EO11" s="62">
        <f ca="1">AVERAGE(OFFSET($EN$3,0,0,'Données projet'!$E$15+1,1))-AVERAGE(OFFSET($H$3,0,0,'Données projet'!$E$15+1,1))</f>
        <v>435.44444011810265</v>
      </c>
      <c r="EP11" s="62">
        <f t="shared" si="46"/>
        <v>447.15868732689762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3.65</v>
      </c>
      <c r="FE11" s="13">
        <f>IF('Données projet'!$A$218&gt;35,FE10+FD11-FM10,IF(A11&lt;'Données projet'!$A$218,$FB$205^A11,IF(A11='Données projet'!$A$218,'Données projet'!$B$218,FE10+FD11-FM10)))</f>
        <v>5.563257268920875</v>
      </c>
      <c r="FF11" s="18">
        <f>FE11*VLOOKUP('Données projet'!$B$16,Paramètres!$A$1:$I$89,3,0)*VLOOKUP('Données projet'!$B$16,Paramètres!$A$1:$I$89,5,0)</f>
        <v>5.6411428706857674</v>
      </c>
      <c r="FG11" s="14">
        <f t="shared" si="47"/>
        <v>2.125494735292019</v>
      </c>
      <c r="FH11" s="22">
        <f t="shared" si="22"/>
        <v>13.526893830411311</v>
      </c>
      <c r="FI11" s="62">
        <f t="shared" si="23"/>
        <v>158.84075747595546</v>
      </c>
      <c r="FJ11" s="62">
        <f ca="1">AVERAGE(OFFSET($FI$3,0,0,'Données projet'!$E$16+1,1))-AVERAGE(OFFSET($H$3,0,0,'Données projet'!$E$16+1,1))</f>
        <v>547.89540791313675</v>
      </c>
      <c r="FK11" s="62">
        <f t="shared" si="48"/>
        <v>345.19555189302378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5.5909090909090908</v>
      </c>
      <c r="FZ11" s="13">
        <f>IF('Données projet'!$A$244&gt;35,FZ10+FY11-GH10,IF(A11&lt;'Données projet'!$A$244,$FW$205^A11,IF(A11='Données projet'!$A$244,'Données projet'!$B$244,FZ10+FY11-GH10)))</f>
        <v>5.7539422013952093</v>
      </c>
      <c r="GA11" s="18">
        <f>FZ11*VLOOKUP('Données projet'!$B$17,Paramètres!$A$1:$I$89,3,0)*VLOOKUP('Données projet'!$B$17,Paramètres!$A$1:$I$89,5,0)</f>
        <v>3.4408574364343356</v>
      </c>
      <c r="GB11" s="14">
        <f t="shared" si="49"/>
        <v>1.3732535882427113</v>
      </c>
      <c r="GC11" s="22">
        <f t="shared" si="25"/>
        <v>8.3845767013125236</v>
      </c>
      <c r="GD11" s="62">
        <f t="shared" si="26"/>
        <v>153.69844034685667</v>
      </c>
      <c r="GE11" s="62">
        <f ca="1">AVERAGE(OFFSET($GD$3,0,0,'Données projet'!$E$17+1,1))-AVERAGE(OFFSET($H$3,0,0,'Données projet'!$E$17+1,1))</f>
        <v>409.68685886029164</v>
      </c>
      <c r="GF11" s="62">
        <f t="shared" si="50"/>
        <v>330.8416508650887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12.85</v>
      </c>
      <c r="N12" s="14">
        <f>IF('Données projet'!$A$36&gt;35,N11+M12-V11,IF(A12&lt;'Données projet'!$A$36,$K$205^A12,IF(A12='Données projet'!$A$36,'Données projet'!$B$36,N11+M12-V11)))</f>
        <v>12.147024445676429</v>
      </c>
      <c r="O12" s="14">
        <f>N12*VLOOKUP('Données projet'!$B$9,Paramètres!$A$1:$I$89,3,0)*VLOOKUP('Données projet'!$B$9,Paramètres!$A$1:$I$89,5,0)</f>
        <v>6.1774907520932052</v>
      </c>
      <c r="P12" s="14">
        <f t="shared" si="33"/>
        <v>2.3031044788195061</v>
      </c>
      <c r="Q12" s="22">
        <f t="shared" si="2"/>
        <v>14.770370027172973</v>
      </c>
      <c r="R12" s="62">
        <f t="shared" si="0"/>
        <v>163.40780066439146</v>
      </c>
      <c r="S12" s="62">
        <f ca="1">AVERAGE(OFFSET($R$3,0,0,'Données projet'!$E$9+1,1))-AVERAGE(OFFSET($H$3,0,0,'Données projet'!$E$9+1,1))</f>
        <v>73.098184695482075</v>
      </c>
      <c r="T12" s="62">
        <f t="shared" si="34"/>
        <v>334.38551711782793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12.85</v>
      </c>
      <c r="AI12" s="14">
        <f>IF('Données projet'!$A$62&gt;35,AI11+AH12-AQ11,IF(A12&lt;'Données projet'!$A$62,$AF$205^A12,IF(A12='Données projet'!$A$62,'Données projet'!$B$62,AI11+AH12-AQ11)))</f>
        <v>12.147024445676429</v>
      </c>
      <c r="AJ12" s="14">
        <f>AI12*VLOOKUP('Données projet'!$B$10,Paramètres!$A$1:$I$89,3,0)*VLOOKUP('Données projet'!$B$10,Paramètres!$A$1:$I$89,5,0)</f>
        <v>5.8932503800643765</v>
      </c>
      <c r="AK12" s="14">
        <f t="shared" si="35"/>
        <v>2.2092132954269235</v>
      </c>
      <c r="AL12" s="22">
        <f t="shared" si="4"/>
        <v>14.111790901480681</v>
      </c>
      <c r="AM12" s="62">
        <f t="shared" si="5"/>
        <v>162.74922153869917</v>
      </c>
      <c r="AN12" s="62">
        <f ca="1">AVERAGE(OFFSET($AM$3,0,0,'Données projet'!$E$10+1,1))-AVERAGE(OFFSET($H$3,0,0,'Données projet'!$E$10+1,1))</f>
        <v>70.520400819593021</v>
      </c>
      <c r="AO12" s="62">
        <f t="shared" si="36"/>
        <v>321.48616153644309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</v>
      </c>
      <c r="BD12" s="13">
        <f>IF('Données projet'!$A$88&gt;35,BD11+BC12-BL11,IF(A12&lt;'Données projet'!$A$88,$BA$205^A12,IF(A12='Données projet'!$A$88,'Données projet'!$B$88,BD11+BC12-BL11)))</f>
        <v>4.8641883518579174</v>
      </c>
      <c r="BE12" s="14">
        <f>BD12*VLOOKUP('Données projet'!$B$11,Paramètres!$A$1:$I$89,3,0)*VLOOKUP('Données projet'!$B$11,Paramètres!$A$1:$I$89,5,0)</f>
        <v>2.2764401486695052</v>
      </c>
      <c r="BF12" s="14">
        <f t="shared" si="37"/>
        <v>0.95328701064281096</v>
      </c>
      <c r="BG12" s="22">
        <f t="shared" si="7"/>
        <v>5.6251081358022832</v>
      </c>
      <c r="BH12" s="62">
        <f t="shared" si="8"/>
        <v>154.26253877302079</v>
      </c>
      <c r="BI12" s="62">
        <f ca="1">AVERAGE(OFFSET($BH$3,0,0,'Données projet'!$E$11+1,1))-AVERAGE(OFFSET($H$3,0,0,'Données projet'!$E$11+1,1))</f>
        <v>374.62597460242665</v>
      </c>
      <c r="BJ12" s="62">
        <f t="shared" si="38"/>
        <v>277.50105097454616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2.1666666666666665</v>
      </c>
      <c r="BY12" s="13">
        <f>IF('Données projet'!$A$114&gt;35,BY11+BX12-CG11,IF(A12&lt;'Données projet'!$A$114,$BV$205^A12,IF(A12='Données projet'!$A$114,'Données projet'!$B$114,BY11+BX12-CG11)))</f>
        <v>3.4984365929380274</v>
      </c>
      <c r="BZ12" s="14">
        <f>BY12*VLOOKUP('Données projet'!$B$12,Paramètres!$A$1:$I$89,3,0)*VLOOKUP('Données projet'!$B$12,Paramètres!$A$1:$I$89,5,0)</f>
        <v>1.6372683254949969</v>
      </c>
      <c r="CA12" s="14">
        <f t="shared" si="39"/>
        <v>0.71244012836724069</v>
      </c>
      <c r="CB12" s="22">
        <f t="shared" si="10"/>
        <v>4.0924088904767304</v>
      </c>
      <c r="CC12" s="62">
        <f t="shared" si="11"/>
        <v>152.72983952769522</v>
      </c>
      <c r="CD12" s="62">
        <f ca="1">AVERAGE(OFFSET($CC$3,0,0,'Données projet'!$E$12+1,1))-AVERAGE(OFFSET($H$3,0,0,'Données projet'!$E$12+1,1))</f>
        <v>329.79342219561465</v>
      </c>
      <c r="CE12" s="62">
        <f t="shared" si="40"/>
        <v>144.63206563329757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4.9000000000000004</v>
      </c>
      <c r="CT12" s="13">
        <f>IF('Données projet'!$A$140&gt;35,CT11+CS12-DB11,IF(A12&lt;'Données projet'!$A$140,$CQ$205^A12,IF(A12='Données projet'!$A$140,'Données projet'!$B$140,CT11+CS12-DB11)))</f>
        <v>7.871395498102471</v>
      </c>
      <c r="CU12" s="18">
        <f>CT12*VLOOKUP('Données projet'!$B$13,Paramètres!$A$1:$I$89,3,0)*VLOOKUP('Données projet'!$B$13,Paramètres!$A$1:$I$89,5,0)</f>
        <v>4.7070945078652784</v>
      </c>
      <c r="CV12" s="14">
        <f t="shared" si="41"/>
        <v>1.8113256754218214</v>
      </c>
      <c r="CW12" s="22">
        <f t="shared" si="13"/>
        <v>11.352915152558365</v>
      </c>
      <c r="CX12" s="62">
        <f t="shared" si="14"/>
        <v>159.99034578977685</v>
      </c>
      <c r="CY12" s="62">
        <f ca="1">AVERAGE(OFFSET($CX$3,0,0,'Données projet'!$E$13+1,1))-AVERAGE(OFFSET($H$3,0,0,'Données projet'!$E$13+1,1))</f>
        <v>530.27599556821826</v>
      </c>
      <c r="CZ12" s="62">
        <f t="shared" si="42"/>
        <v>370.62231794492129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5.2832415124471748</v>
      </c>
      <c r="DQ12" s="14">
        <f t="shared" si="43"/>
        <v>2.0058890836111387</v>
      </c>
      <c r="DR12" s="22">
        <f t="shared" si="16"/>
        <v>12.695235788134896</v>
      </c>
      <c r="DS12" s="62">
        <f t="shared" si="17"/>
        <v>161.33266642535341</v>
      </c>
      <c r="DT12" s="62">
        <f ca="1">AVERAGE(OFFSET($DS$3,0,0,'Données projet'!$E$14+1,1))-AVERAGE(OFFSET($H$3,0,0,'Données projet'!$E$14+1,1))</f>
        <v>520.23742527061836</v>
      </c>
      <c r="DU12" s="62">
        <f t="shared" si="44"/>
        <v>321.35925479331274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6.6</v>
      </c>
      <c r="EJ12" s="13">
        <f>IF('Données projet'!$A$192&gt;35,EJ11+EI12-ER11,IF(A12&lt;'Données projet'!$A$192,$EG$205^A12,IF(A12='Données projet'!$A$192,'Données projet'!$B$192,EJ11+EI12-ER11)))</f>
        <v>9.0003265963745314</v>
      </c>
      <c r="EK12" s="18">
        <f>EJ12*VLOOKUP('Données projet'!$B$15,Paramètres!$A$1:$I$89,3,0)*VLOOKUP('Données projet'!$B$15,Paramètres!$A$1:$I$89,5,0)</f>
        <v>9.4071413585306605</v>
      </c>
      <c r="EL12" s="14">
        <f t="shared" si="45"/>
        <v>3.3396369860827102</v>
      </c>
      <c r="EM12" s="22">
        <f t="shared" si="19"/>
        <v>22.200638950201622</v>
      </c>
      <c r="EN12" s="62">
        <f t="shared" si="20"/>
        <v>170.83806958742014</v>
      </c>
      <c r="EO12" s="62">
        <f ca="1">AVERAGE(OFFSET($EN$3,0,0,'Données projet'!$E$15+1,1))-AVERAGE(OFFSET($H$3,0,0,'Données projet'!$E$15+1,1))</f>
        <v>435.44444011810265</v>
      </c>
      <c r="EP12" s="62">
        <f t="shared" si="46"/>
        <v>447.15868732689762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3.65</v>
      </c>
      <c r="FE12" s="13">
        <f>IF('Données projet'!$A$218&gt;35,FE11+FD12-FM11,IF(A12&lt;'Données projet'!$A$218,$FB$205^A12,IF(A12='Données projet'!$A$218,'Données projet'!$B$218,FE11+FD12-FM11)))</f>
        <v>6.8943811137639424</v>
      </c>
      <c r="FF12" s="18">
        <f>FE12*VLOOKUP('Données projet'!$B$16,Paramètres!$A$1:$I$89,3,0)*VLOOKUP('Données projet'!$B$16,Paramètres!$A$1:$I$89,5,0)</f>
        <v>6.9909024493566383</v>
      </c>
      <c r="FG12" s="14">
        <f t="shared" si="47"/>
        <v>2.5691037174250742</v>
      </c>
      <c r="FH12" s="22">
        <f t="shared" si="22"/>
        <v>16.650344073811482</v>
      </c>
      <c r="FI12" s="62">
        <f t="shared" si="23"/>
        <v>165.28777471102998</v>
      </c>
      <c r="FJ12" s="62">
        <f ca="1">AVERAGE(OFFSET($FI$3,0,0,'Données projet'!$E$16+1,1))-AVERAGE(OFFSET($H$3,0,0,'Données projet'!$E$16+1,1))</f>
        <v>547.89540791313675</v>
      </c>
      <c r="FK12" s="62">
        <f t="shared" si="48"/>
        <v>345.19555189302378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5.5909090909090908</v>
      </c>
      <c r="FZ12" s="13">
        <f>IF('Données projet'!$A$244&gt;35,FZ11+FY12-GH11,IF(A12&lt;'Données projet'!$A$244,$FW$205^A12,IF(A12='Données projet'!$A$244,'Données projet'!$B$244,FZ11+FY12-GH11)))</f>
        <v>7.1607940284521145</v>
      </c>
      <c r="GA12" s="18">
        <f>FZ12*VLOOKUP('Données projet'!$B$17,Paramètres!$A$1:$I$89,3,0)*VLOOKUP('Données projet'!$B$17,Paramètres!$A$1:$I$89,5,0)</f>
        <v>4.2821548290143649</v>
      </c>
      <c r="GB12" s="14">
        <f t="shared" si="49"/>
        <v>1.6660534544894132</v>
      </c>
      <c r="GC12" s="22">
        <f t="shared" si="25"/>
        <v>10.359796093769079</v>
      </c>
      <c r="GD12" s="62">
        <f t="shared" si="26"/>
        <v>158.99722673098759</v>
      </c>
      <c r="GE12" s="62">
        <f ca="1">AVERAGE(OFFSET($GD$3,0,0,'Données projet'!$E$17+1,1))-AVERAGE(OFFSET($H$3,0,0,'Données projet'!$E$17+1,1))</f>
        <v>409.68685886029164</v>
      </c>
      <c r="GF12" s="62">
        <f t="shared" si="50"/>
        <v>330.8416508650887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12.85</v>
      </c>
      <c r="N13" s="14">
        <f>IF('Données projet'!$A$36&gt;35,N12+M13-V12,IF(A13&lt;'Données projet'!$A$36,$K$205^A13,IF(A13='Données projet'!$A$36,'Données projet'!$B$36,N12+M13-V12)))</f>
        <v>16.031219541881391</v>
      </c>
      <c r="O13" s="14">
        <f>N13*VLOOKUP('Données projet'!$B$9,Paramètres!$A$1:$I$89,3,0)*VLOOKUP('Données projet'!$B$9,Paramètres!$A$1:$I$89,5,0)</f>
        <v>8.1528370102192014</v>
      </c>
      <c r="P13" s="14">
        <f t="shared" si="33"/>
        <v>2.9429608536191596</v>
      </c>
      <c r="Q13" s="22">
        <f t="shared" si="2"/>
        <v>19.325181279518478</v>
      </c>
      <c r="R13" s="62">
        <f t="shared" si="0"/>
        <v>171.2497252745645</v>
      </c>
      <c r="S13" s="62">
        <f ca="1">AVERAGE(OFFSET($R$3,0,0,'Données projet'!$E$9+1,1))-AVERAGE(OFFSET($H$3,0,0,'Données projet'!$E$9+1,1))</f>
        <v>73.098184695482075</v>
      </c>
      <c r="T13" s="62">
        <f t="shared" si="34"/>
        <v>334.38551711782793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12.85</v>
      </c>
      <c r="AI13" s="14">
        <f>IF('Données projet'!$A$62&gt;35,AI12+AH13-AQ12,IF(A13&lt;'Données projet'!$A$62,$AF$205^A13,IF(A13='Données projet'!$A$62,'Données projet'!$B$62,AI12+AH13-AQ12)))</f>
        <v>16.031219541881391</v>
      </c>
      <c r="AJ13" s="14">
        <f>AI13*VLOOKUP('Données projet'!$B$10,Paramètres!$A$1:$I$89,3,0)*VLOOKUP('Données projet'!$B$10,Paramètres!$A$1:$I$89,5,0)</f>
        <v>7.7777064729391769</v>
      </c>
      <c r="AK13" s="14">
        <f t="shared" si="35"/>
        <v>2.8229845000644231</v>
      </c>
      <c r="AL13" s="22">
        <f t="shared" si="4"/>
        <v>18.462870111314604</v>
      </c>
      <c r="AM13" s="62">
        <f t="shared" si="5"/>
        <v>170.38741410636061</v>
      </c>
      <c r="AN13" s="62">
        <f ca="1">AVERAGE(OFFSET($AM$3,0,0,'Données projet'!$E$10+1,1))-AVERAGE(OFFSET($H$3,0,0,'Données projet'!$E$10+1,1))</f>
        <v>70.520400819593021</v>
      </c>
      <c r="AO13" s="62">
        <f t="shared" si="36"/>
        <v>321.48616153644309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</v>
      </c>
      <c r="BD13" s="13">
        <f>IF('Données projet'!$A$88&gt;35,BD12+BC13-BL12,IF(A13&lt;'Données projet'!$A$88,$BA$205^A13,IF(A13='Données projet'!$A$88,'Données projet'!$B$88,BD12+BC13-BL12)))</f>
        <v>5.7988899976489963</v>
      </c>
      <c r="BE13" s="14">
        <f>BD13*VLOOKUP('Données projet'!$B$11,Paramètres!$A$1:$I$89,3,0)*VLOOKUP('Données projet'!$B$11,Paramètres!$A$1:$I$89,5,0)</f>
        <v>2.7138805188997304</v>
      </c>
      <c r="BF13" s="14">
        <f t="shared" si="37"/>
        <v>1.1134554059951043</v>
      </c>
      <c r="BG13" s="22">
        <f t="shared" si="7"/>
        <v>6.66594340252517</v>
      </c>
      <c r="BH13" s="62">
        <f t="shared" si="8"/>
        <v>158.59048739757117</v>
      </c>
      <c r="BI13" s="62">
        <f ca="1">AVERAGE(OFFSET($BH$3,0,0,'Données projet'!$E$11+1,1))-AVERAGE(OFFSET($H$3,0,0,'Données projet'!$E$11+1,1))</f>
        <v>374.62597460242665</v>
      </c>
      <c r="BJ13" s="62">
        <f t="shared" si="38"/>
        <v>277.50105097454616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2.1666666666666665</v>
      </c>
      <c r="BY13" s="13">
        <f>IF('Données projet'!$A$114&gt;35,BY12+BX13-CG12,IF(A13&lt;'Données projet'!$A$114,$BV$205^A13,IF(A13='Données projet'!$A$114,'Données projet'!$B$114,BY12+BX13-CG12)))</f>
        <v>4.0207257585890606</v>
      </c>
      <c r="BZ13" s="14">
        <f>BY13*VLOOKUP('Données projet'!$B$12,Paramètres!$A$1:$I$89,3,0)*VLOOKUP('Données projet'!$B$12,Paramètres!$A$1:$I$89,5,0)</f>
        <v>1.8816996550196803</v>
      </c>
      <c r="CA13" s="14">
        <f t="shared" si="39"/>
        <v>0.80564685229403243</v>
      </c>
      <c r="CB13" s="22">
        <f t="shared" si="10"/>
        <v>4.6804618335713828</v>
      </c>
      <c r="CC13" s="62">
        <f t="shared" si="11"/>
        <v>156.60500582861738</v>
      </c>
      <c r="CD13" s="62">
        <f ca="1">AVERAGE(OFFSET($CC$3,0,0,'Données projet'!$E$12+1,1))-AVERAGE(OFFSET($H$3,0,0,'Données projet'!$E$12+1,1))</f>
        <v>329.79342219561465</v>
      </c>
      <c r="CE13" s="62">
        <f t="shared" si="40"/>
        <v>144.63206563329757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4.9000000000000004</v>
      </c>
      <c r="CT13" s="13">
        <f>IF('Données projet'!$A$140&gt;35,CT12+CS13-DB12,IF(A13&lt;'Données projet'!$A$140,$CQ$205^A13,IF(A13='Données projet'!$A$140,'Données projet'!$B$140,CT12+CS13-DB12)))</f>
        <v>9.8994949366116654</v>
      </c>
      <c r="CU13" s="18">
        <f>CT13*VLOOKUP('Données projet'!$B$13,Paramètres!$A$1:$I$89,3,0)*VLOOKUP('Données projet'!$B$13,Paramètres!$A$1:$I$89,5,0)</f>
        <v>5.9198979720937759</v>
      </c>
      <c r="CV13" s="14">
        <f t="shared" si="41"/>
        <v>2.2180376371857005</v>
      </c>
      <c r="CW13" s="22">
        <f t="shared" si="13"/>
        <v>14.173571186161757</v>
      </c>
      <c r="CX13" s="62">
        <f t="shared" si="14"/>
        <v>166.09811518120776</v>
      </c>
      <c r="CY13" s="62">
        <f ca="1">AVERAGE(OFFSET($CX$3,0,0,'Données projet'!$E$13+1,1))-AVERAGE(OFFSET($H$3,0,0,'Données projet'!$E$13+1,1))</f>
        <v>530.27599556821826</v>
      </c>
      <c r="CZ13" s="62">
        <f t="shared" si="42"/>
        <v>370.62231794492129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6.2654287843199503</v>
      </c>
      <c r="DQ13" s="14">
        <f t="shared" si="43"/>
        <v>2.3320496366340242</v>
      </c>
      <c r="DR13" s="22">
        <f t="shared" si="16"/>
        <v>14.973941583161505</v>
      </c>
      <c r="DS13" s="62">
        <f t="shared" si="17"/>
        <v>166.8984855782075</v>
      </c>
      <c r="DT13" s="62">
        <f ca="1">AVERAGE(OFFSET($DS$3,0,0,'Données projet'!$E$14+1,1))-AVERAGE(OFFSET($H$3,0,0,'Données projet'!$E$14+1,1))</f>
        <v>520.23742527061836</v>
      </c>
      <c r="DU13" s="62">
        <f t="shared" si="44"/>
        <v>321.35925479331274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6.6</v>
      </c>
      <c r="EJ13" s="13">
        <f>IF('Données projet'!$A$192&gt;35,EJ12+EI13-ER12,IF(A13&lt;'Données projet'!$A$192,$EG$205^A13,IF(A13='Données projet'!$A$192,'Données projet'!$B$192,EJ12+EI13-ER12)))</f>
        <v>11.489125293076063</v>
      </c>
      <c r="EK13" s="18">
        <f>EJ13*VLOOKUP('Données projet'!$B$15,Paramètres!$A$1:$I$89,3,0)*VLOOKUP('Données projet'!$B$15,Paramètres!$A$1:$I$89,5,0)</f>
        <v>12.008433756323102</v>
      </c>
      <c r="EL13" s="14">
        <f t="shared" si="45"/>
        <v>4.1436800883503624</v>
      </c>
      <c r="EM13" s="22">
        <f t="shared" si="19"/>
        <v>28.131598279472954</v>
      </c>
      <c r="EN13" s="62">
        <f t="shared" si="20"/>
        <v>180.05614227451895</v>
      </c>
      <c r="EO13" s="62">
        <f ca="1">AVERAGE(OFFSET($EN$3,0,0,'Données projet'!$E$15+1,1))-AVERAGE(OFFSET($H$3,0,0,'Données projet'!$E$15+1,1))</f>
        <v>435.44444011810265</v>
      </c>
      <c r="EP13" s="62">
        <f t="shared" si="46"/>
        <v>447.15868732689762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3.65</v>
      </c>
      <c r="FE13" s="13">
        <f>IF('Données projet'!$A$218&gt;35,FE12+FD13-FM12,IF(A13&lt;'Données projet'!$A$218,$FB$205^A13,IF(A13='Données projet'!$A$218,'Données projet'!$B$218,FE12+FD13-FM12)))</f>
        <v>8.5440037453175322</v>
      </c>
      <c r="FF13" s="18">
        <f>FE13*VLOOKUP('Données projet'!$B$16,Paramètres!$A$1:$I$89,3,0)*VLOOKUP('Données projet'!$B$16,Paramètres!$A$1:$I$89,5,0)</f>
        <v>8.6636197977519771</v>
      </c>
      <c r="FG13" s="14">
        <f t="shared" si="47"/>
        <v>3.1052976990698267</v>
      </c>
      <c r="FH13" s="22">
        <f t="shared" si="22"/>
        <v>20.497531306964643</v>
      </c>
      <c r="FI13" s="62">
        <f t="shared" si="23"/>
        <v>172.42207530201065</v>
      </c>
      <c r="FJ13" s="62">
        <f ca="1">AVERAGE(OFFSET($FI$3,0,0,'Données projet'!$E$16+1,1))-AVERAGE(OFFSET($H$3,0,0,'Données projet'!$E$16+1,1))</f>
        <v>547.89540791313675</v>
      </c>
      <c r="FK13" s="62">
        <f t="shared" si="48"/>
        <v>345.19555189302378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5.5909090909090908</v>
      </c>
      <c r="FZ13" s="13">
        <f>IF('Données projet'!$A$244&gt;35,FZ12+FY13-GH12,IF(A13&lt;'Données projet'!$A$244,$FW$205^A13,IF(A13='Données projet'!$A$244,'Données projet'!$B$244,FZ12+FY13-GH12)))</f>
        <v>8.9116242956840761</v>
      </c>
      <c r="GA13" s="18">
        <f>FZ13*VLOOKUP('Données projet'!$B$17,Paramètres!$A$1:$I$89,3,0)*VLOOKUP('Données projet'!$B$17,Paramètres!$A$1:$I$89,5,0)</f>
        <v>5.3291513288190782</v>
      </c>
      <c r="GB13" s="14">
        <f t="shared" si="49"/>
        <v>2.0212829858817885</v>
      </c>
      <c r="GC13" s="22">
        <f t="shared" si="25"/>
        <v>12.802006431437341</v>
      </c>
      <c r="GD13" s="62">
        <f t="shared" si="26"/>
        <v>164.72655042648336</v>
      </c>
      <c r="GE13" s="62">
        <f ca="1">AVERAGE(OFFSET($GD$3,0,0,'Données projet'!$E$17+1,1))-AVERAGE(OFFSET($H$3,0,0,'Données projet'!$E$17+1,1))</f>
        <v>409.68685886029164</v>
      </c>
      <c r="GF13" s="62">
        <f t="shared" si="50"/>
        <v>330.8416508650887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12.85</v>
      </c>
      <c r="N14" s="14">
        <f>IF('Données projet'!$A$36&gt;35,N13+M14-V13,IF(A14&lt;'Données projet'!$A$36,$K$205^A14,IF(A14='Données projet'!$A$36,'Données projet'!$B$36,N13+M14-V13)))</f>
        <v>21.157444866382523</v>
      </c>
      <c r="O14" s="14">
        <f>N14*VLOOKUP('Données projet'!$B$9,Paramètres!$A$1:$I$89,3,0)*VLOOKUP('Données projet'!$B$9,Paramètres!$A$1:$I$89,5,0)</f>
        <v>10.759830161247496</v>
      </c>
      <c r="P14" s="14">
        <f t="shared" si="33"/>
        <v>3.7605843180740801</v>
      </c>
      <c r="Q14" s="22">
        <f t="shared" si="2"/>
        <v>25.289721884818409</v>
      </c>
      <c r="R14" s="62">
        <f t="shared" si="0"/>
        <v>180.46555799289411</v>
      </c>
      <c r="S14" s="62">
        <f ca="1">AVERAGE(OFFSET($R$3,0,0,'Données projet'!$E$9+1,1))-AVERAGE(OFFSET($H$3,0,0,'Données projet'!$E$9+1,1))</f>
        <v>73.098184695482075</v>
      </c>
      <c r="T14" s="62">
        <f t="shared" si="34"/>
        <v>334.38551711782793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12.85</v>
      </c>
      <c r="AI14" s="14">
        <f>IF('Données projet'!$A$62&gt;35,AI13+AH14-AQ13,IF(A14&lt;'Données projet'!$A$62,$AF$205^A14,IF(A14='Données projet'!$A$62,'Données projet'!$B$62,AI13+AH14-AQ13)))</f>
        <v>21.157444866382523</v>
      </c>
      <c r="AJ14" s="14">
        <f>AI14*VLOOKUP('Données projet'!$B$10,Paramètres!$A$1:$I$89,3,0)*VLOOKUP('Données projet'!$B$10,Paramètres!$A$1:$I$89,5,0)</f>
        <v>10.264745951374145</v>
      </c>
      <c r="AK14" s="14">
        <f t="shared" si="35"/>
        <v>3.6072757230369388</v>
      </c>
      <c r="AL14" s="22">
        <f t="shared" si="4"/>
        <v>24.1604377495993</v>
      </c>
      <c r="AM14" s="62">
        <f t="shared" si="5"/>
        <v>179.336273857675</v>
      </c>
      <c r="AN14" s="62">
        <f ca="1">AVERAGE(OFFSET($AM$3,0,0,'Données projet'!$E$10+1,1))-AVERAGE(OFFSET($H$3,0,0,'Données projet'!$E$10+1,1))</f>
        <v>70.520400819593021</v>
      </c>
      <c r="AO14" s="62">
        <f t="shared" si="36"/>
        <v>321.48616153644309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</v>
      </c>
      <c r="BD14" s="13">
        <f>IF('Données projet'!$A$88&gt;35,BD13+BC14-BL13,IF(A14&lt;'Données projet'!$A$88,$BA$205^A14,IF(A14='Données projet'!$A$88,'Données projet'!$B$88,BD13+BC14-BL13)))</f>
        <v>6.9132037602921814</v>
      </c>
      <c r="BE14" s="14">
        <f>BD14*VLOOKUP('Données projet'!$B$11,Paramètres!$A$1:$I$89,3,0)*VLOOKUP('Données projet'!$B$11,Paramètres!$A$1:$I$89,5,0)</f>
        <v>3.2353793598167409</v>
      </c>
      <c r="BF14" s="14">
        <f t="shared" si="37"/>
        <v>1.3005348098719234</v>
      </c>
      <c r="BG14" s="22">
        <f t="shared" si="7"/>
        <v>7.9000505122077564</v>
      </c>
      <c r="BH14" s="62">
        <f t="shared" si="8"/>
        <v>163.07588662028346</v>
      </c>
      <c r="BI14" s="62">
        <f ca="1">AVERAGE(OFFSET($BH$3,0,0,'Données projet'!$E$11+1,1))-AVERAGE(OFFSET($H$3,0,0,'Données projet'!$E$11+1,1))</f>
        <v>374.62597460242665</v>
      </c>
      <c r="BJ14" s="62">
        <f t="shared" si="38"/>
        <v>277.50105097454616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2.1666666666666665</v>
      </c>
      <c r="BY14" s="13">
        <f>IF('Données projet'!$A$114&gt;35,BY13+BX14-CG13,IF(A14&lt;'Données projet'!$A$114,$BV$205^A14,IF(A14='Données projet'!$A$114,'Données projet'!$B$114,BY13+BX14-CG13)))</f>
        <v>4.6209886034278487</v>
      </c>
      <c r="BZ14" s="14">
        <f>BY14*VLOOKUP('Données projet'!$B$12,Paramètres!$A$1:$I$89,3,0)*VLOOKUP('Données projet'!$B$12,Paramètres!$A$1:$I$89,5,0)</f>
        <v>2.162622666404233</v>
      </c>
      <c r="CA14" s="14">
        <f t="shared" si="39"/>
        <v>0.91104757405903547</v>
      </c>
      <c r="CB14" s="22">
        <f t="shared" si="10"/>
        <v>5.3533090021401923</v>
      </c>
      <c r="CC14" s="62">
        <f t="shared" si="11"/>
        <v>160.52914511021586</v>
      </c>
      <c r="CD14" s="62">
        <f ca="1">AVERAGE(OFFSET($CC$3,0,0,'Données projet'!$E$12+1,1))-AVERAGE(OFFSET($H$3,0,0,'Données projet'!$E$12+1,1))</f>
        <v>329.79342219561465</v>
      </c>
      <c r="CE14" s="62">
        <f t="shared" si="40"/>
        <v>144.63206563329757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4.9000000000000004</v>
      </c>
      <c r="CT14" s="13">
        <f>IF('Données projet'!$A$140&gt;35,CT13+CS14-DB13,IF(A14&lt;'Données projet'!$A$140,$CQ$205^A14,IF(A14='Données projet'!$A$140,'Données projet'!$B$140,CT13+CS14-DB13)))</f>
        <v>12.450143055780197</v>
      </c>
      <c r="CU14" s="18">
        <f>CT14*VLOOKUP('Données projet'!$B$13,Paramètres!$A$1:$I$89,3,0)*VLOOKUP('Données projet'!$B$13,Paramètres!$A$1:$I$89,5,0)</f>
        <v>7.4451855473565587</v>
      </c>
      <c r="CV14" s="14">
        <f t="shared" si="41"/>
        <v>2.7160720055638961</v>
      </c>
      <c r="CW14" s="22">
        <f t="shared" si="13"/>
        <v>17.697523571336458</v>
      </c>
      <c r="CX14" s="62">
        <f t="shared" si="14"/>
        <v>172.87335967941215</v>
      </c>
      <c r="CY14" s="62">
        <f ca="1">AVERAGE(OFFSET($CX$3,0,0,'Données projet'!$E$13+1,1))-AVERAGE(OFFSET($H$3,0,0,'Données projet'!$E$13+1,1))</f>
        <v>530.27599556821826</v>
      </c>
      <c r="CZ14" s="62">
        <f t="shared" si="42"/>
        <v>370.62231794492129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7.4302107444643299</v>
      </c>
      <c r="DQ14" s="14">
        <f t="shared" si="43"/>
        <v>2.7112443814361891</v>
      </c>
      <c r="DR14" s="22">
        <f t="shared" si="16"/>
        <v>17.663034344276738</v>
      </c>
      <c r="DS14" s="62">
        <f t="shared" si="17"/>
        <v>172.83887045235241</v>
      </c>
      <c r="DT14" s="62">
        <f ca="1">AVERAGE(OFFSET($DS$3,0,0,'Données projet'!$E$14+1,1))-AVERAGE(OFFSET($H$3,0,0,'Données projet'!$E$14+1,1))</f>
        <v>520.23742527061836</v>
      </c>
      <c r="DU14" s="62">
        <f t="shared" si="44"/>
        <v>321.35925479331274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6.6</v>
      </c>
      <c r="EJ14" s="13">
        <f>IF('Données projet'!$A$192&gt;35,EJ13+EI14-ER13,IF(A14&lt;'Données projet'!$A$192,$EG$205^A14,IF(A14='Données projet'!$A$192,'Données projet'!$B$192,EJ13+EI14-ER13)))</f>
        <v>14.666134454850974</v>
      </c>
      <c r="EK14" s="18">
        <f>EJ14*VLOOKUP('Données projet'!$B$15,Paramètres!$A$1:$I$89,3,0)*VLOOKUP('Données projet'!$B$15,Paramètres!$A$1:$I$89,5,0)</f>
        <v>15.32904373221024</v>
      </c>
      <c r="EL14" s="14">
        <f t="shared" si="45"/>
        <v>5.1413027062954058</v>
      </c>
      <c r="EM14" s="22">
        <f t="shared" si="19"/>
        <v>35.652520047063994</v>
      </c>
      <c r="EN14" s="62">
        <f t="shared" si="20"/>
        <v>190.82835615513969</v>
      </c>
      <c r="EO14" s="62">
        <f ca="1">AVERAGE(OFFSET($EN$3,0,0,'Données projet'!$E$15+1,1))-AVERAGE(OFFSET($H$3,0,0,'Données projet'!$E$15+1,1))</f>
        <v>435.44444011810265</v>
      </c>
      <c r="EP14" s="62">
        <f t="shared" si="46"/>
        <v>447.15868732689762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3.65</v>
      </c>
      <c r="FE14" s="13">
        <f>IF('Données projet'!$A$218&gt;35,FE13+FD14-FM13,IF(A14&lt;'Données projet'!$A$218,$FB$205^A14,IF(A14='Données projet'!$A$218,'Données projet'!$B$218,FE13+FD14-FM13)))</f>
        <v>10.588332555950936</v>
      </c>
      <c r="FF14" s="18">
        <f>FE14*VLOOKUP('Données projet'!$B$16,Paramètres!$A$1:$I$89,3,0)*VLOOKUP('Données projet'!$B$16,Paramètres!$A$1:$I$89,5,0)</f>
        <v>10.736569211734251</v>
      </c>
      <c r="FG14" s="14">
        <f t="shared" si="47"/>
        <v>3.7533999637480915</v>
      </c>
      <c r="FH14" s="22">
        <f t="shared" si="22"/>
        <v>25.23669631396508</v>
      </c>
      <c r="FI14" s="62">
        <f t="shared" si="23"/>
        <v>180.41253242204075</v>
      </c>
      <c r="FJ14" s="62">
        <f ca="1">AVERAGE(OFFSET($FI$3,0,0,'Données projet'!$E$16+1,1))-AVERAGE(OFFSET($H$3,0,0,'Données projet'!$E$16+1,1))</f>
        <v>547.89540791313675</v>
      </c>
      <c r="FK14" s="62">
        <f t="shared" si="48"/>
        <v>345.19555189302378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5.5909090909090908</v>
      </c>
      <c r="FZ14" s="13">
        <f>IF('Données projet'!$A$244&gt;35,FZ13+FY14-GH13,IF(A14&lt;'Données projet'!$A$244,$FW$205^A14,IF(A14='Données projet'!$A$244,'Données projet'!$B$244,FZ13+FY14-GH13)))</f>
        <v>11.090536506409412</v>
      </c>
      <c r="GA14" s="18">
        <f>FZ14*VLOOKUP('Données projet'!$B$17,Paramètres!$A$1:$I$89,3,0)*VLOOKUP('Données projet'!$B$17,Paramètres!$A$1:$I$89,5,0)</f>
        <v>6.6321408308328289</v>
      </c>
      <c r="GB14" s="14">
        <f t="shared" si="49"/>
        <v>2.4522531963221348</v>
      </c>
      <c r="GC14" s="22">
        <f t="shared" si="25"/>
        <v>15.821986263961561</v>
      </c>
      <c r="GD14" s="62">
        <f t="shared" si="26"/>
        <v>170.99782237203723</v>
      </c>
      <c r="GE14" s="62">
        <f ca="1">AVERAGE(OFFSET($GD$3,0,0,'Données projet'!$E$17+1,1))-AVERAGE(OFFSET($H$3,0,0,'Données projet'!$E$17+1,1))</f>
        <v>409.68685886029164</v>
      </c>
      <c r="GF14" s="62">
        <f t="shared" si="50"/>
        <v>330.8416508650887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12.85</v>
      </c>
      <c r="N15" s="14">
        <f>IF('Données projet'!$A$36&gt;35,N14+M15-V14,IF(A15&lt;'Données projet'!$A$36,$K$205^A15,IF(A15='Données projet'!$A$36,'Données projet'!$B$36,N14+M15-V14)))</f>
        <v>27.922858401668577</v>
      </c>
      <c r="O15" s="14">
        <f>N15*VLOOKUP('Données projet'!$B$9,Paramètres!$A$1:$I$89,3,0)*VLOOKUP('Données projet'!$B$9,Paramètres!$A$1:$I$89,5,0)</f>
        <v>14.200448868752574</v>
      </c>
      <c r="P15" s="14">
        <f t="shared" si="33"/>
        <v>4.8053627339124541</v>
      </c>
      <c r="Q15" s="22">
        <f t="shared" si="2"/>
        <v>33.101788541308252</v>
      </c>
      <c r="R15" s="62">
        <f t="shared" si="0"/>
        <v>191.49371693612886</v>
      </c>
      <c r="S15" s="62">
        <f ca="1">AVERAGE(OFFSET($R$3,0,0,'Données projet'!$E$9+1,1))-AVERAGE(OFFSET($H$3,0,0,'Données projet'!$E$9+1,1))</f>
        <v>73.098184695482075</v>
      </c>
      <c r="T15" s="62">
        <f t="shared" si="34"/>
        <v>334.38551711782793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12.85</v>
      </c>
      <c r="AI15" s="14">
        <f>IF('Données projet'!$A$62&gt;35,AI14+AH15-AQ14,IF(A15&lt;'Données projet'!$A$62,$AF$205^A15,IF(A15='Données projet'!$A$62,'Données projet'!$B$62,AI14+AH15-AQ14)))</f>
        <v>27.922858401668577</v>
      </c>
      <c r="AJ15" s="14">
        <f>AI15*VLOOKUP('Données projet'!$B$10,Paramètres!$A$1:$I$89,3,0)*VLOOKUP('Données projet'!$B$10,Paramètres!$A$1:$I$89,5,0)</f>
        <v>13.547053982153527</v>
      </c>
      <c r="AK15" s="14">
        <f t="shared" si="35"/>
        <v>4.6094614198961166</v>
      </c>
      <c r="AL15" s="22">
        <f t="shared" si="4"/>
        <v>31.622597658569788</v>
      </c>
      <c r="AM15" s="62">
        <f t="shared" si="5"/>
        <v>190.0145260533904</v>
      </c>
      <c r="AN15" s="62">
        <f ca="1">AVERAGE(OFFSET($AM$3,0,0,'Données projet'!$E$10+1,1))-AVERAGE(OFFSET($H$3,0,0,'Données projet'!$E$10+1,1))</f>
        <v>70.520400819593021</v>
      </c>
      <c r="AO15" s="62">
        <f t="shared" si="36"/>
        <v>321.48616153644309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6.5</v>
      </c>
      <c r="BD15" s="13">
        <f>IF('Données projet'!$A$88&gt;35,BD14+BC15-BL14,IF(A15&lt;'Données projet'!$A$88,$BA$205^A15,IF(A15='Données projet'!$A$88,'Données projet'!$B$88,BD14+BC15-BL14)))</f>
        <v>8.2416438750681742</v>
      </c>
      <c r="BE15" s="14">
        <f>BD15*VLOOKUP('Données projet'!$B$11,Paramètres!$A$1:$I$89,3,0)*VLOOKUP('Données projet'!$B$11,Paramètres!$A$1:$I$89,5,0)</f>
        <v>3.8570893335319059</v>
      </c>
      <c r="BF15" s="14">
        <f t="shared" si="37"/>
        <v>1.5190467283932132</v>
      </c>
      <c r="BG15" s="22">
        <f t="shared" si="7"/>
        <v>9.3634369745195816</v>
      </c>
      <c r="BH15" s="62">
        <f t="shared" si="8"/>
        <v>167.75536536934018</v>
      </c>
      <c r="BI15" s="62">
        <f ca="1">AVERAGE(OFFSET($BH$3,0,0,'Données projet'!$E$11+1,1))-AVERAGE(OFFSET($H$3,0,0,'Données projet'!$E$11+1,1))</f>
        <v>374.62597460242665</v>
      </c>
      <c r="BJ15" s="62">
        <f t="shared" si="38"/>
        <v>277.50105097454616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2.1666666666666665</v>
      </c>
      <c r="BY15" s="13">
        <f>IF('Données projet'!$A$114&gt;35,BY14+BX15-CG14,IF(A15&lt;'Données projet'!$A$114,$BV$205^A15,IF(A15='Données projet'!$A$114,'Données projet'!$B$114,BY14+BX15-CG14)))</f>
        <v>5.3108659866678822</v>
      </c>
      <c r="BZ15" s="14">
        <f>BY15*VLOOKUP('Données projet'!$B$12,Paramètres!$A$1:$I$89,3,0)*VLOOKUP('Données projet'!$B$12,Paramètres!$A$1:$I$89,5,0)</f>
        <v>2.4854852817605688</v>
      </c>
      <c r="CA15" s="14">
        <f t="shared" si="39"/>
        <v>1.0302376032817053</v>
      </c>
      <c r="CB15" s="22">
        <f t="shared" si="10"/>
        <v>6.1232173581152942</v>
      </c>
      <c r="CC15" s="62">
        <f t="shared" si="11"/>
        <v>164.51514575293589</v>
      </c>
      <c r="CD15" s="62">
        <f ca="1">AVERAGE(OFFSET($CC$3,0,0,'Données projet'!$E$12+1,1))-AVERAGE(OFFSET($H$3,0,0,'Données projet'!$E$12+1,1))</f>
        <v>329.79342219561465</v>
      </c>
      <c r="CE15" s="62">
        <f t="shared" si="40"/>
        <v>144.63206563329757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4.9000000000000004</v>
      </c>
      <c r="CT15" s="13">
        <f>IF('Données projet'!$A$140&gt;35,CT14+CS15-DB14,IF(A15&lt;'Données projet'!$A$140,$CQ$205^A15,IF(A15='Données projet'!$A$140,'Données projet'!$B$140,CT14+CS15-DB14)))</f>
        <v>15.657976806082024</v>
      </c>
      <c r="CU15" s="18">
        <f>CT15*VLOOKUP('Données projet'!$B$13,Paramètres!$A$1:$I$89,3,0)*VLOOKUP('Données projet'!$B$13,Paramètres!$A$1:$I$89,5,0)</f>
        <v>9.3634701300370509</v>
      </c>
      <c r="CV15" s="14">
        <f t="shared" si="41"/>
        <v>3.3259341571714969</v>
      </c>
      <c r="CW15" s="22">
        <f t="shared" si="13"/>
        <v>22.100712466888222</v>
      </c>
      <c r="CX15" s="62">
        <f t="shared" si="14"/>
        <v>180.49264086170882</v>
      </c>
      <c r="CY15" s="62">
        <f ca="1">AVERAGE(OFFSET($CX$3,0,0,'Données projet'!$E$13+1,1))-AVERAGE(OFFSET($H$3,0,0,'Données projet'!$E$13+1,1))</f>
        <v>530.27599556821826</v>
      </c>
      <c r="CZ15" s="62">
        <f t="shared" si="42"/>
        <v>370.62231794492129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8.8115328747041932</v>
      </c>
      <c r="DQ15" s="14">
        <f t="shared" si="43"/>
        <v>3.1520967566021385</v>
      </c>
      <c r="DR15" s="22">
        <f t="shared" si="16"/>
        <v>20.83665494119186</v>
      </c>
      <c r="DS15" s="62">
        <f t="shared" si="17"/>
        <v>179.22858333601246</v>
      </c>
      <c r="DT15" s="62">
        <f ca="1">AVERAGE(OFFSET($DS$3,0,0,'Données projet'!$E$14+1,1))-AVERAGE(OFFSET($H$3,0,0,'Données projet'!$E$14+1,1))</f>
        <v>520.23742527061836</v>
      </c>
      <c r="DU15" s="62">
        <f t="shared" si="44"/>
        <v>321.35925479331274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6.6</v>
      </c>
      <c r="EJ15" s="13">
        <f>IF('Données projet'!$A$192&gt;35,EJ14+EI15-ER14,IF(A15&lt;'Données projet'!$A$192,$EG$205^A15,IF(A15='Données projet'!$A$192,'Données projet'!$B$192,EJ14+EI15-ER14)))</f>
        <v>18.721660210059202</v>
      </c>
      <c r="EK15" s="18">
        <f>EJ15*VLOOKUP('Données projet'!$B$15,Paramètres!$A$1:$I$89,3,0)*VLOOKUP('Données projet'!$B$15,Paramètres!$A$1:$I$89,5,0)</f>
        <v>19.56787925155388</v>
      </c>
      <c r="EL15" s="14">
        <f t="shared" si="45"/>
        <v>6.379110586281695</v>
      </c>
      <c r="EM15" s="22">
        <f t="shared" si="19"/>
        <v>45.191007300896956</v>
      </c>
      <c r="EN15" s="62">
        <f t="shared" si="20"/>
        <v>203.58293569571757</v>
      </c>
      <c r="EO15" s="62">
        <f ca="1">AVERAGE(OFFSET($EN$3,0,0,'Données projet'!$E$15+1,1))-AVERAGE(OFFSET($H$3,0,0,'Données projet'!$E$15+1,1))</f>
        <v>435.44444011810265</v>
      </c>
      <c r="EP15" s="62">
        <f t="shared" si="46"/>
        <v>447.15868732689762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3.65</v>
      </c>
      <c r="FE15" s="13">
        <f>IF('Données projet'!$A$218&gt;35,FE14+FD15-FM14,IF(A15&lt;'Données projet'!$A$218,$FB$205^A15,IF(A15='Données projet'!$A$218,'Données projet'!$B$218,FE14+FD15-FM14)))</f>
        <v>13.121809125710287</v>
      </c>
      <c r="FF15" s="18">
        <f>FE15*VLOOKUP('Données projet'!$B$16,Paramètres!$A$1:$I$89,3,0)*VLOOKUP('Données projet'!$B$16,Paramètres!$A$1:$I$89,5,0)</f>
        <v>13.305514453470233</v>
      </c>
      <c r="FG15" s="14">
        <f t="shared" si="47"/>
        <v>4.5367667299931158</v>
      </c>
      <c r="FH15" s="22">
        <f t="shared" si="22"/>
        <v>31.075306394532003</v>
      </c>
      <c r="FI15" s="62">
        <f t="shared" si="23"/>
        <v>189.4672347893526</v>
      </c>
      <c r="FJ15" s="62">
        <f ca="1">AVERAGE(OFFSET($FI$3,0,0,'Données projet'!$E$16+1,1))-AVERAGE(OFFSET($H$3,0,0,'Données projet'!$E$16+1,1))</f>
        <v>547.89540791313675</v>
      </c>
      <c r="FK15" s="62">
        <f t="shared" si="48"/>
        <v>345.19555189302378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5.5909090909090908</v>
      </c>
      <c r="FZ15" s="13">
        <f>IF('Données projet'!$A$244&gt;35,FZ14+FY15-GH14,IF(A15&lt;'Données projet'!$A$244,$FW$205^A15,IF(A15='Données projet'!$A$244,'Données projet'!$B$244,FZ14+FY15-GH14)))</f>
        <v>13.802197659922571</v>
      </c>
      <c r="GA15" s="18">
        <f>FZ15*VLOOKUP('Données projet'!$B$17,Paramètres!$A$1:$I$89,3,0)*VLOOKUP('Données projet'!$B$17,Paramètres!$A$1:$I$89,5,0)</f>
        <v>8.2537142006336985</v>
      </c>
      <c r="GB15" s="14">
        <f t="shared" si="49"/>
        <v>2.9751132230743558</v>
      </c>
      <c r="GC15" s="22">
        <f t="shared" si="25"/>
        <v>19.556874429624859</v>
      </c>
      <c r="GD15" s="62">
        <f t="shared" si="26"/>
        <v>177.94880282444547</v>
      </c>
      <c r="GE15" s="62">
        <f ca="1">AVERAGE(OFFSET($GD$3,0,0,'Données projet'!$E$17+1,1))-AVERAGE(OFFSET($H$3,0,0,'Données projet'!$E$17+1,1))</f>
        <v>409.68685886029164</v>
      </c>
      <c r="GF15" s="62">
        <f t="shared" si="50"/>
        <v>330.8416508650887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12.85</v>
      </c>
      <c r="N16" s="14">
        <f>IF('Données projet'!$A$36&gt;35,N15+M16-V15,IF(A16&lt;'Données projet'!$A$36,$K$205^A16,IF(A16='Données projet'!$A$36,'Données projet'!$B$36,N15+M16-V15)))</f>
        <v>36.851615412147034</v>
      </c>
      <c r="O16" s="14">
        <f>N16*VLOOKUP('Données projet'!$B$9,Paramètres!$A$1:$I$89,3,0)*VLOOKUP('Données projet'!$B$9,Paramètres!$A$1:$I$89,5,0)</f>
        <v>18.741257534001495</v>
      </c>
      <c r="P16" s="14">
        <f t="shared" si="33"/>
        <v>6.140405067768965</v>
      </c>
      <c r="Q16" s="22">
        <f t="shared" si="2"/>
        <v>43.335562364750217</v>
      </c>
      <c r="R16" s="62">
        <f t="shared" si="0"/>
        <v>204.90899385832191</v>
      </c>
      <c r="S16" s="62">
        <f ca="1">AVERAGE(OFFSET($R$3,0,0,'Données projet'!$E$9+1,1))-AVERAGE(OFFSET($H$3,0,0,'Données projet'!$E$9+1,1))</f>
        <v>73.098184695482075</v>
      </c>
      <c r="T16" s="62">
        <f t="shared" si="34"/>
        <v>334.38551711782793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12.85</v>
      </c>
      <c r="AI16" s="14">
        <f>IF('Données projet'!$A$62&gt;35,AI15+AH16-AQ15,IF(A16&lt;'Données projet'!$A$62,$AF$205^A16,IF(A16='Données projet'!$A$62,'Données projet'!$B$62,AI15+AH16-AQ15)))</f>
        <v>36.851615412147034</v>
      </c>
      <c r="AJ16" s="14">
        <f>AI16*VLOOKUP('Données projet'!$B$10,Paramètres!$A$1:$I$89,3,0)*VLOOKUP('Données projet'!$B$10,Paramètres!$A$1:$I$89,5,0)</f>
        <v>17.878929733357257</v>
      </c>
      <c r="AK16" s="14">
        <f t="shared" si="35"/>
        <v>5.8900777796998858</v>
      </c>
      <c r="AL16" s="22">
        <f t="shared" si="4"/>
        <v>41.397688085241185</v>
      </c>
      <c r="AM16" s="62">
        <f t="shared" si="5"/>
        <v>202.97111957881287</v>
      </c>
      <c r="AN16" s="62">
        <f ca="1">AVERAGE(OFFSET($AM$3,0,0,'Données projet'!$E$10+1,1))-AVERAGE(OFFSET($H$3,0,0,'Données projet'!$E$10+1,1))</f>
        <v>70.520400819593021</v>
      </c>
      <c r="AO16" s="62">
        <f t="shared" si="36"/>
        <v>321.48616153644309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6.5</v>
      </c>
      <c r="BD16" s="13">
        <f>IF('Données projet'!$A$88&gt;35,BD15+BC16-BL15,IF(A16&lt;'Données projet'!$A$88,$BA$205^A16,IF(A16='Données projet'!$A$88,'Données projet'!$B$88,BD15+BC16-BL15)))</f>
        <v>9.8253568271186005</v>
      </c>
      <c r="BE16" s="14">
        <f>BD16*VLOOKUP('Données projet'!$B$11,Paramètres!$A$1:$I$89,3,0)*VLOOKUP('Données projet'!$B$11,Paramètres!$A$1:$I$89,5,0)</f>
        <v>4.5982669950915049</v>
      </c>
      <c r="BF16" s="14">
        <f t="shared" si="37"/>
        <v>1.7742723574383734</v>
      </c>
      <c r="BG16" s="22">
        <f t="shared" si="7"/>
        <v>11.098839372322871</v>
      </c>
      <c r="BH16" s="62">
        <f t="shared" si="8"/>
        <v>172.67227086589457</v>
      </c>
      <c r="BI16" s="62">
        <f ca="1">AVERAGE(OFFSET($BH$3,0,0,'Données projet'!$E$11+1,1))-AVERAGE(OFFSET($H$3,0,0,'Données projet'!$E$11+1,1))</f>
        <v>374.62597460242665</v>
      </c>
      <c r="BJ16" s="62">
        <f t="shared" si="38"/>
        <v>277.50105097454616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2.1666666666666665</v>
      </c>
      <c r="BY16" s="13">
        <f>IF('Données projet'!$A$114&gt;35,BY15+BX16-CG15,IF(A16&lt;'Données projet'!$A$114,$BV$205^A16,IF(A16='Données projet'!$A$114,'Données projet'!$B$114,BY15+BX16-CG15)))</f>
        <v>6.1037366565723898</v>
      </c>
      <c r="BZ16" s="14">
        <f>BY16*VLOOKUP('Données projet'!$B$12,Paramètres!$A$1:$I$89,3,0)*VLOOKUP('Données projet'!$B$12,Paramètres!$A$1:$I$89,5,0)</f>
        <v>2.8565487552758784</v>
      </c>
      <c r="CA16" s="14">
        <f t="shared" si="39"/>
        <v>1.165020959867958</v>
      </c>
      <c r="CB16" s="22">
        <f t="shared" si="10"/>
        <v>7.0042339205421804</v>
      </c>
      <c r="CC16" s="62">
        <f t="shared" si="11"/>
        <v>168.57766541411388</v>
      </c>
      <c r="CD16" s="62">
        <f ca="1">AVERAGE(OFFSET($CC$3,0,0,'Données projet'!$E$12+1,1))-AVERAGE(OFFSET($H$3,0,0,'Données projet'!$E$12+1,1))</f>
        <v>329.79342219561465</v>
      </c>
      <c r="CE16" s="62">
        <f t="shared" si="40"/>
        <v>144.63206563329757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4.9000000000000004</v>
      </c>
      <c r="CT16" s="13">
        <f>IF('Données projet'!$A$140&gt;35,CT15+CS16-DB15,IF(A16&lt;'Données projet'!$A$140,$CQ$205^A16,IF(A16='Données projet'!$A$140,'Données projet'!$B$140,CT15+CS16-DB15)))</f>
        <v>19.692322936480405</v>
      </c>
      <c r="CU16" s="18">
        <f>CT16*VLOOKUP('Données projet'!$B$13,Paramètres!$A$1:$I$89,3,0)*VLOOKUP('Données projet'!$B$13,Paramètres!$A$1:$I$89,5,0)</f>
        <v>11.776009116015283</v>
      </c>
      <c r="CV16" s="14">
        <f t="shared" si="41"/>
        <v>4.0727337107336679</v>
      </c>
      <c r="CW16" s="22">
        <f t="shared" si="13"/>
        <v>27.603227089921088</v>
      </c>
      <c r="CX16" s="62">
        <f t="shared" si="14"/>
        <v>189.17665858349278</v>
      </c>
      <c r="CY16" s="62">
        <f ca="1">AVERAGE(OFFSET($CX$3,0,0,'Données projet'!$E$13+1,1))-AVERAGE(OFFSET($H$3,0,0,'Données projet'!$E$13+1,1))</f>
        <v>530.27599556821826</v>
      </c>
      <c r="CZ16" s="62">
        <f t="shared" si="42"/>
        <v>370.62231794492129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10.449651331873536</v>
      </c>
      <c r="DQ16" s="14">
        <f t="shared" si="43"/>
        <v>3.6646323846759299</v>
      </c>
      <c r="DR16" s="22">
        <f t="shared" si="16"/>
        <v>24.582377472990316</v>
      </c>
      <c r="DS16" s="62">
        <f t="shared" si="17"/>
        <v>186.15580896656201</v>
      </c>
      <c r="DT16" s="62">
        <f ca="1">AVERAGE(OFFSET($DS$3,0,0,'Données projet'!$E$14+1,1))-AVERAGE(OFFSET($H$3,0,0,'Données projet'!$E$14+1,1))</f>
        <v>520.23742527061836</v>
      </c>
      <c r="DU16" s="62">
        <f t="shared" si="44"/>
        <v>321.35925479331274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6.6</v>
      </c>
      <c r="EJ16" s="13">
        <f>IF('Données projet'!$A$192&gt;35,EJ15+EI16-ER15,IF(A16&lt;'Données projet'!$A$192,$EG$205^A16,IF(A16='Données projet'!$A$192,'Données projet'!$B$192,EJ15+EI16-ER15)))</f>
        <v>23.89863273788427</v>
      </c>
      <c r="EK16" s="18">
        <f>EJ16*VLOOKUP('Données projet'!$B$15,Paramètres!$A$1:$I$89,3,0)*VLOOKUP('Données projet'!$B$15,Paramètres!$A$1:$I$89,5,0)</f>
        <v>24.978850937636643</v>
      </c>
      <c r="EL16" s="14">
        <f t="shared" si="45"/>
        <v>7.9149301639414267</v>
      </c>
      <c r="EM16" s="22">
        <f t="shared" si="19"/>
        <v>57.290002085248467</v>
      </c>
      <c r="EN16" s="62">
        <f t="shared" si="20"/>
        <v>218.86343357882015</v>
      </c>
      <c r="EO16" s="62">
        <f ca="1">AVERAGE(OFFSET($EN$3,0,0,'Données projet'!$E$15+1,1))-AVERAGE(OFFSET($H$3,0,0,'Données projet'!$E$15+1,1))</f>
        <v>435.44444011810265</v>
      </c>
      <c r="EP16" s="62">
        <f t="shared" si="46"/>
        <v>447.15868732689762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3.65</v>
      </c>
      <c r="FE16" s="13">
        <f>IF('Données projet'!$A$218&gt;35,FE15+FD16-FM15,IF(A16&lt;'Données projet'!$A$218,$FB$205^A16,IF(A16='Données projet'!$A$218,'Données projet'!$B$218,FE15+FD16-FM15)))</f>
        <v>16.261472127148366</v>
      </c>
      <c r="FF16" s="18">
        <f>FE16*VLOOKUP('Données projet'!$B$16,Paramètres!$A$1:$I$89,3,0)*VLOOKUP('Données projet'!$B$16,Paramètres!$A$1:$I$89,5,0)</f>
        <v>16.489132736928447</v>
      </c>
      <c r="FG16" s="14">
        <f t="shared" si="47"/>
        <v>5.4836288594779292</v>
      </c>
      <c r="FH16" s="22">
        <f t="shared" si="22"/>
        <v>38.269226447074438</v>
      </c>
      <c r="FI16" s="62">
        <f t="shared" si="23"/>
        <v>199.84265794064612</v>
      </c>
      <c r="FJ16" s="62">
        <f ca="1">AVERAGE(OFFSET($FI$3,0,0,'Données projet'!$E$16+1,1))-AVERAGE(OFFSET($H$3,0,0,'Données projet'!$E$16+1,1))</f>
        <v>547.89540791313675</v>
      </c>
      <c r="FK16" s="62">
        <f t="shared" si="48"/>
        <v>345.19555189302378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5.5909090909090908</v>
      </c>
      <c r="FZ16" s="13">
        <f>IF('Données projet'!$A$244&gt;35,FZ15+FY16-GH15,IF(A16&lt;'Données projet'!$A$244,$FW$205^A16,IF(A16='Données projet'!$A$244,'Données projet'!$B$244,FZ15+FY16-GH15)))</f>
        <v>17.17686607257264</v>
      </c>
      <c r="GA16" s="18">
        <f>FZ16*VLOOKUP('Données projet'!$B$17,Paramètres!$A$1:$I$89,3,0)*VLOOKUP('Données projet'!$B$17,Paramètres!$A$1:$I$89,5,0)</f>
        <v>10.27176591139844</v>
      </c>
      <c r="GB16" s="14">
        <f t="shared" si="49"/>
        <v>3.609455460548272</v>
      </c>
      <c r="GC16" s="22">
        <f t="shared" si="25"/>
        <v>24.176460556140523</v>
      </c>
      <c r="GD16" s="62">
        <f t="shared" si="26"/>
        <v>185.7498920497122</v>
      </c>
      <c r="GE16" s="62">
        <f ca="1">AVERAGE(OFFSET($GD$3,0,0,'Données projet'!$E$17+1,1))-AVERAGE(OFFSET($H$3,0,0,'Données projet'!$E$17+1,1))</f>
        <v>409.68685886029164</v>
      </c>
      <c r="GF16" s="62">
        <f t="shared" si="50"/>
        <v>330.8416508650887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12.85</v>
      </c>
      <c r="N17" s="14">
        <f>IF('Données projet'!$A$36&gt;35,N16+M17-V16,IF(A17&lt;'Données projet'!$A$36,$K$205^A17,IF(A17='Données projet'!$A$36,'Données projet'!$B$36,N16+M17-V16)))</f>
        <v>48.635477749070304</v>
      </c>
      <c r="O17" s="14">
        <f>N17*VLOOKUP('Données projet'!$B$9,Paramètres!$A$1:$I$89,3,0)*VLOOKUP('Données projet'!$B$9,Paramètres!$A$1:$I$89,5,0)</f>
        <v>24.734058564067197</v>
      </c>
      <c r="P17" s="14">
        <f t="shared" si="33"/>
        <v>7.8463534355468436</v>
      </c>
      <c r="Q17" s="22">
        <f t="shared" si="2"/>
        <v>56.744217565994461</v>
      </c>
      <c r="R17" s="62">
        <f t="shared" si="0"/>
        <v>221.46516301540527</v>
      </c>
      <c r="S17" s="62">
        <f ca="1">AVERAGE(OFFSET($R$3,0,0,'Données projet'!$E$9+1,1))-AVERAGE(OFFSET($H$3,0,0,'Données projet'!$E$9+1,1))</f>
        <v>73.098184695482075</v>
      </c>
      <c r="T17" s="62">
        <f t="shared" si="34"/>
        <v>334.38551711782793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12.85</v>
      </c>
      <c r="AI17" s="14">
        <f>IF('Données projet'!$A$62&gt;35,AI16+AH17-AQ16,IF(A17&lt;'Données projet'!$A$62,$AF$205^A17,IF(A17='Données projet'!$A$62,'Données projet'!$B$62,AI16+AH17-AQ16)))</f>
        <v>48.635477749070304</v>
      </c>
      <c r="AJ17" s="14">
        <f>AI17*VLOOKUP('Données projet'!$B$10,Paramètres!$A$1:$I$89,3,0)*VLOOKUP('Données projet'!$B$10,Paramètres!$A$1:$I$89,5,0)</f>
        <v>23.595988384738948</v>
      </c>
      <c r="AK17" s="14">
        <f t="shared" si="35"/>
        <v>7.526479362896195</v>
      </c>
      <c r="AL17" s="22">
        <f t="shared" si="4"/>
        <v>54.204964660464533</v>
      </c>
      <c r="AM17" s="62">
        <f t="shared" si="5"/>
        <v>218.92591010987533</v>
      </c>
      <c r="AN17" s="62">
        <f ca="1">AVERAGE(OFFSET($AM$3,0,0,'Données projet'!$E$10+1,1))-AVERAGE(OFFSET($H$3,0,0,'Données projet'!$E$10+1,1))</f>
        <v>70.520400819593021</v>
      </c>
      <c r="AO17" s="62">
        <f t="shared" si="36"/>
        <v>321.48616153644309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6.5</v>
      </c>
      <c r="BD17" s="13">
        <f>IF('Données projet'!$A$88&gt;35,BD16+BC17-BL16,IF(A17&lt;'Données projet'!$A$88,$BA$205^A17,IF(A17='Données projet'!$A$88,'Données projet'!$B$88,BD16+BC17-BL16)))</f>
        <v>11.71339580350498</v>
      </c>
      <c r="BE17" s="14">
        <f>BD17*VLOOKUP('Données projet'!$B$11,Paramètres!$A$1:$I$89,3,0)*VLOOKUP('Données projet'!$B$11,Paramètres!$A$1:$I$89,5,0)</f>
        <v>5.4818692360403301</v>
      </c>
      <c r="BF17" s="14">
        <f t="shared" si="37"/>
        <v>2.0723802234180093</v>
      </c>
      <c r="BG17" s="22">
        <f t="shared" si="7"/>
        <v>13.156984475223274</v>
      </c>
      <c r="BH17" s="62">
        <f t="shared" si="8"/>
        <v>177.87792992463409</v>
      </c>
      <c r="BI17" s="62">
        <f ca="1">AVERAGE(OFFSET($BH$3,0,0,'Données projet'!$E$11+1,1))-AVERAGE(OFFSET($H$3,0,0,'Données projet'!$E$11+1,1))</f>
        <v>374.62597460242665</v>
      </c>
      <c r="BJ17" s="62">
        <f t="shared" si="38"/>
        <v>277.50105097454616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2.1666666666666665</v>
      </c>
      <c r="BY17" s="13">
        <f>IF('Données projet'!$A$114&gt;35,BY16+BX17-CG16,IF(A17&lt;'Données projet'!$A$114,$BV$205^A17,IF(A17='Données projet'!$A$114,'Données projet'!$B$114,BY16+BX17-CG16)))</f>
        <v>7.0149767036694204</v>
      </c>
      <c r="BZ17" s="14">
        <f>BY17*VLOOKUP('Données projet'!$B$12,Paramètres!$A$1:$I$89,3,0)*VLOOKUP('Données projet'!$B$12,Paramètres!$A$1:$I$89,5,0)</f>
        <v>3.2830090973172887</v>
      </c>
      <c r="CA17" s="14">
        <f t="shared" si="39"/>
        <v>1.3174376790443447</v>
      </c>
      <c r="CB17" s="22">
        <f t="shared" si="10"/>
        <v>8.0124448021631789</v>
      </c>
      <c r="CC17" s="62">
        <f t="shared" si="11"/>
        <v>172.73339025157398</v>
      </c>
      <c r="CD17" s="62">
        <f ca="1">AVERAGE(OFFSET($CC$3,0,0,'Données projet'!$E$12+1,1))-AVERAGE(OFFSET($H$3,0,0,'Données projet'!$E$12+1,1))</f>
        <v>329.79342219561465</v>
      </c>
      <c r="CE17" s="62">
        <f t="shared" si="40"/>
        <v>144.63206563329757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4.9000000000000004</v>
      </c>
      <c r="CT17" s="13">
        <f>IF('Données projet'!$A$140&gt;35,CT16+CS17-DB16,IF(A17&lt;'Données projet'!$A$140,$CQ$205^A17,IF(A17='Données projet'!$A$140,'Données projet'!$B$140,CT16+CS17-DB16)))</f>
        <v>24.7661359725609</v>
      </c>
      <c r="CU17" s="18">
        <f>CT17*VLOOKUP('Données projet'!$B$13,Paramètres!$A$1:$I$89,3,0)*VLOOKUP('Données projet'!$B$13,Paramètres!$A$1:$I$89,5,0)</f>
        <v>14.81014931159142</v>
      </c>
      <c r="CV17" s="14">
        <f t="shared" si="41"/>
        <v>4.9872183557153731</v>
      </c>
      <c r="CW17" s="22">
        <f t="shared" si="13"/>
        <v>34.48041535389266</v>
      </c>
      <c r="CX17" s="62">
        <f t="shared" si="14"/>
        <v>199.20136080330346</v>
      </c>
      <c r="CY17" s="62">
        <f ca="1">AVERAGE(OFFSET($CX$3,0,0,'Données projet'!$E$13+1,1))-AVERAGE(OFFSET($H$3,0,0,'Données projet'!$E$13+1,1))</f>
        <v>530.27599556821826</v>
      </c>
      <c r="CZ17" s="62">
        <f t="shared" si="42"/>
        <v>370.62231794492129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12.392306141329817</v>
      </c>
      <c r="DQ17" s="14">
        <f t="shared" si="43"/>
        <v>4.2605070693617311</v>
      </c>
      <c r="DR17" s="22">
        <f t="shared" si="16"/>
        <v>29.003649675287779</v>
      </c>
      <c r="DS17" s="62">
        <f t="shared" si="17"/>
        <v>193.7245951246986</v>
      </c>
      <c r="DT17" s="62">
        <f ca="1">AVERAGE(OFFSET($DS$3,0,0,'Données projet'!$E$14+1,1))-AVERAGE(OFFSET($H$3,0,0,'Données projet'!$E$14+1,1))</f>
        <v>520.23742527061836</v>
      </c>
      <c r="DU17" s="62">
        <f t="shared" si="44"/>
        <v>321.35925479331274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6.6</v>
      </c>
      <c r="EJ17" s="13">
        <f>IF('Données projet'!$A$192&gt;35,EJ16+EI17-ER16,IF(A17&lt;'Données projet'!$A$192,$EG$205^A17,IF(A17='Données projet'!$A$192,'Données projet'!$B$192,EJ16+EI17-ER16)))</f>
        <v>30.50715803683886</v>
      </c>
      <c r="EK17" s="18">
        <f>EJ17*VLOOKUP('Données projet'!$B$15,Paramètres!$A$1:$I$89,3,0)*VLOOKUP('Données projet'!$B$15,Paramètres!$A$1:$I$89,5,0)</f>
        <v>31.88608158010398</v>
      </c>
      <c r="EL17" s="14">
        <f t="shared" si="45"/>
        <v>9.8205100307855755</v>
      </c>
      <c r="EM17" s="22">
        <f t="shared" si="19"/>
        <v>72.638980388965962</v>
      </c>
      <c r="EN17" s="62">
        <f t="shared" si="20"/>
        <v>237.35992583837677</v>
      </c>
      <c r="EO17" s="62">
        <f ca="1">AVERAGE(OFFSET($EN$3,0,0,'Données projet'!$E$15+1,1))-AVERAGE(OFFSET($H$3,0,0,'Données projet'!$E$15+1,1))</f>
        <v>435.44444011810265</v>
      </c>
      <c r="EP17" s="62">
        <f t="shared" si="46"/>
        <v>447.15868732689762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3.65</v>
      </c>
      <c r="FE17" s="13">
        <f>IF('Données projet'!$A$218&gt;35,FE16+FD17-FM16,IF(A17&lt;'Données projet'!$A$218,$FB$205^A17,IF(A17='Données projet'!$A$218,'Données projet'!$B$218,FE16+FD17-FM16)))</f>
        <v>20.152364144963837</v>
      </c>
      <c r="FF17" s="18">
        <f>FE17*VLOOKUP('Données projet'!$B$16,Paramètres!$A$1:$I$89,3,0)*VLOOKUP('Données projet'!$B$16,Paramètres!$A$1:$I$89,5,0)</f>
        <v>20.434497242993334</v>
      </c>
      <c r="FG17" s="14">
        <f t="shared" si="47"/>
        <v>6.6281092368495731</v>
      </c>
      <c r="FH17" s="22">
        <f t="shared" si="22"/>
        <v>47.134039619059727</v>
      </c>
      <c r="FI17" s="62">
        <f t="shared" si="23"/>
        <v>211.85498506847054</v>
      </c>
      <c r="FJ17" s="62">
        <f ca="1">AVERAGE(OFFSET($FI$3,0,0,'Données projet'!$E$16+1,1))-AVERAGE(OFFSET($H$3,0,0,'Données projet'!$E$16+1,1))</f>
        <v>547.89540791313675</v>
      </c>
      <c r="FK17" s="62">
        <f t="shared" si="48"/>
        <v>345.19555189302378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5.5909090909090908</v>
      </c>
      <c r="FZ17" s="13">
        <f>IF('Données projet'!$A$244&gt;35,FZ16+FY17-GH16,IF(A17&lt;'Données projet'!$A$244,$FW$205^A17,IF(A17='Données projet'!$A$244,'Données projet'!$B$244,FZ16+FY17-GH16)))</f>
        <v>21.376648512419013</v>
      </c>
      <c r="GA17" s="18">
        <f>FZ17*VLOOKUP('Données projet'!$B$17,Paramètres!$A$1:$I$89,3,0)*VLOOKUP('Données projet'!$B$17,Paramètres!$A$1:$I$89,5,0)</f>
        <v>12.783235810426572</v>
      </c>
      <c r="GB17" s="14">
        <f t="shared" si="49"/>
        <v>4.3790497183898731</v>
      </c>
      <c r="GC17" s="22">
        <f t="shared" si="25"/>
        <v>29.890980629355308</v>
      </c>
      <c r="GD17" s="62">
        <f t="shared" si="26"/>
        <v>194.61192607876612</v>
      </c>
      <c r="GE17" s="62">
        <f ca="1">AVERAGE(OFFSET($GD$3,0,0,'Données projet'!$E$17+1,1))-AVERAGE(OFFSET($H$3,0,0,'Données projet'!$E$17+1,1))</f>
        <v>409.68685886029164</v>
      </c>
      <c r="GF17" s="62">
        <f t="shared" si="50"/>
        <v>330.8416508650887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12.85</v>
      </c>
      <c r="N18" s="14">
        <f>IF('Données projet'!$A$36&gt;35,N17+M18-V17,IF(A18&lt;'Données projet'!$A$36,$K$205^A18,IF(A18='Données projet'!$A$36,'Données projet'!$B$36,N17+M18-V17)))</f>
        <v>64.187408595950615</v>
      </c>
      <c r="O18" s="14">
        <f>N18*VLOOKUP('Données projet'!$B$9,Paramètres!$A$1:$I$89,3,0)*VLOOKUP('Données projet'!$B$9,Paramètres!$A$1:$I$89,5,0)</f>
        <v>32.643148515556646</v>
      </c>
      <c r="P18" s="14">
        <f t="shared" si="33"/>
        <v>10.026254222001469</v>
      </c>
      <c r="Q18" s="22">
        <f t="shared" si="2"/>
        <v>74.315876434580375</v>
      </c>
      <c r="R18" s="62">
        <f t="shared" si="0"/>
        <v>242.15093633255952</v>
      </c>
      <c r="S18" s="62">
        <f ca="1">AVERAGE(OFFSET($R$3,0,0,'Données projet'!$E$9+1,1))-AVERAGE(OFFSET($H$3,0,0,'Données projet'!$E$9+1,1))</f>
        <v>73.098184695482075</v>
      </c>
      <c r="T18" s="62">
        <f t="shared" si="34"/>
        <v>334.38551711782793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12.85</v>
      </c>
      <c r="AI18" s="14">
        <f>IF('Données projet'!$A$62&gt;35,AI17+AH18-AQ17,IF(A18&lt;'Données projet'!$A$62,$AF$205^A18,IF(A18='Données projet'!$A$62,'Données projet'!$B$62,AI17+AH18-AQ17)))</f>
        <v>64.187408595950615</v>
      </c>
      <c r="AJ18" s="14">
        <f>AI18*VLOOKUP('Données projet'!$B$10,Paramètres!$A$1:$I$89,3,0)*VLOOKUP('Données projet'!$B$10,Paramètres!$A$1:$I$89,5,0)</f>
        <v>31.141163154411402</v>
      </c>
      <c r="AK18" s="14">
        <f t="shared" si="35"/>
        <v>9.6175116388681552</v>
      </c>
      <c r="AL18" s="22">
        <f t="shared" si="4"/>
        <v>70.988025264961891</v>
      </c>
      <c r="AM18" s="62">
        <f t="shared" si="5"/>
        <v>238.82308516294106</v>
      </c>
      <c r="AN18" s="62">
        <f ca="1">AVERAGE(OFFSET($AM$3,0,0,'Données projet'!$E$10+1,1))-AVERAGE(OFFSET($H$3,0,0,'Données projet'!$E$10+1,1))</f>
        <v>70.520400819593021</v>
      </c>
      <c r="AO18" s="62">
        <f t="shared" si="36"/>
        <v>321.48616153644309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6.5</v>
      </c>
      <c r="BD18" s="13">
        <f>IF('Données projet'!$A$88&gt;35,BD17+BC18-BL17,IF(A18&lt;'Données projet'!$A$88,$BA$205^A18,IF(A18='Données projet'!$A$88,'Données projet'!$B$88,BD17+BC18-BL17)))</f>
        <v>13.964240043768939</v>
      </c>
      <c r="BE18" s="14">
        <f>BD18*VLOOKUP('Données projet'!$B$11,Paramètres!$A$1:$I$89,3,0)*VLOOKUP('Données projet'!$B$11,Paramètres!$A$1:$I$89,5,0)</f>
        <v>6.5352643404838631</v>
      </c>
      <c r="BF18" s="14">
        <f t="shared" si="37"/>
        <v>2.4205752698614362</v>
      </c>
      <c r="BG18" s="22">
        <f t="shared" si="7"/>
        <v>15.598087321351393</v>
      </c>
      <c r="BH18" s="62">
        <f t="shared" si="8"/>
        <v>183.43314721933055</v>
      </c>
      <c r="BI18" s="62">
        <f ca="1">AVERAGE(OFFSET($BH$3,0,0,'Données projet'!$E$11+1,1))-AVERAGE(OFFSET($H$3,0,0,'Données projet'!$E$11+1,1))</f>
        <v>374.62597460242665</v>
      </c>
      <c r="BJ18" s="62">
        <f t="shared" si="38"/>
        <v>277.50105097454616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2.1666666666666665</v>
      </c>
      <c r="BY18" s="13">
        <f>IF('Données projet'!$A$114&gt;35,BY17+BX18-CG17,IF(A18&lt;'Données projet'!$A$114,$BV$205^A18,IF(A18='Données projet'!$A$114,'Données projet'!$B$114,BY17+BX18-CG17)))</f>
        <v>8.062257748298558</v>
      </c>
      <c r="BZ18" s="14">
        <f>BY18*VLOOKUP('Données projet'!$B$12,Paramètres!$A$1:$I$89,3,0)*VLOOKUP('Données projet'!$B$12,Paramètres!$A$1:$I$89,5,0)</f>
        <v>3.7731366262037249</v>
      </c>
      <c r="CA18" s="14">
        <f t="shared" si="39"/>
        <v>1.4897946886401645</v>
      </c>
      <c r="CB18" s="22">
        <f t="shared" si="10"/>
        <v>9.1662720400197752</v>
      </c>
      <c r="CC18" s="62">
        <f t="shared" si="11"/>
        <v>177.00133193799894</v>
      </c>
      <c r="CD18" s="62">
        <f ca="1">AVERAGE(OFFSET($CC$3,0,0,'Données projet'!$E$12+1,1))-AVERAGE(OFFSET($H$3,0,0,'Données projet'!$E$12+1,1))</f>
        <v>329.79342219561465</v>
      </c>
      <c r="CE18" s="62">
        <f t="shared" si="40"/>
        <v>144.63206563329757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4.9000000000000004</v>
      </c>
      <c r="CT18" s="13">
        <f>IF('Données projet'!$A$140&gt;35,CT17+CS18-DB17,IF(A18&lt;'Données projet'!$A$140,$CQ$205^A18,IF(A18='Données projet'!$A$140,'Données projet'!$B$140,CT17+CS18-DB17)))</f>
        <v>31.147239103778414</v>
      </c>
      <c r="CU18" s="18">
        <f>CT18*VLOOKUP('Données projet'!$B$13,Paramètres!$A$1:$I$89,3,0)*VLOOKUP('Données projet'!$B$13,Paramètres!$A$1:$I$89,5,0)</f>
        <v>18.626048984059491</v>
      </c>
      <c r="CV18" s="14">
        <f t="shared" si="41"/>
        <v>6.1070398150592098</v>
      </c>
      <c r="CW18" s="22">
        <f t="shared" si="13"/>
        <v>43.076796325131738</v>
      </c>
      <c r="CX18" s="62">
        <f t="shared" si="14"/>
        <v>210.9118562231109</v>
      </c>
      <c r="CY18" s="62">
        <f ca="1">AVERAGE(OFFSET($CX$3,0,0,'Données projet'!$E$13+1,1))-AVERAGE(OFFSET($H$3,0,0,'Données projet'!$E$13+1,1))</f>
        <v>530.27599556821826</v>
      </c>
      <c r="CZ18" s="62">
        <f t="shared" si="42"/>
        <v>370.62231794492129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14.696112494397171</v>
      </c>
      <c r="DQ18" s="14">
        <f t="shared" si="43"/>
        <v>4.953271865408813</v>
      </c>
      <c r="DR18" s="22">
        <f t="shared" si="16"/>
        <v>34.222677759995427</v>
      </c>
      <c r="DS18" s="62">
        <f t="shared" si="17"/>
        <v>202.0577376579746</v>
      </c>
      <c r="DT18" s="62">
        <f ca="1">AVERAGE(OFFSET($DS$3,0,0,'Données projet'!$E$14+1,1))-AVERAGE(OFFSET($H$3,0,0,'Données projet'!$E$14+1,1))</f>
        <v>520.23742527061836</v>
      </c>
      <c r="DU18" s="62">
        <f t="shared" si="44"/>
        <v>321.35925479331274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6.6</v>
      </c>
      <c r="EJ18" s="13">
        <f>IF('Données projet'!$A$192&gt;35,EJ17+EI18-ER17,IF(A18&lt;'Données projet'!$A$192,$EG$205^A18,IF(A18='Données projet'!$A$192,'Données projet'!$B$192,EJ17+EI18-ER17)))</f>
        <v>38.943093594192561</v>
      </c>
      <c r="EK18" s="18">
        <f>EJ18*VLOOKUP('Données projet'!$B$15,Paramètres!$A$1:$I$89,3,0)*VLOOKUP('Données projet'!$B$15,Paramètres!$A$1:$I$89,5,0)</f>
        <v>40.703321424650071</v>
      </c>
      <c r="EL18" s="14">
        <f t="shared" si="45"/>
        <v>12.184872799526294</v>
      </c>
      <c r="EM18" s="22">
        <f t="shared" si="19"/>
        <v>92.113604940440496</v>
      </c>
      <c r="EN18" s="62">
        <f t="shared" si="20"/>
        <v>259.94866483841963</v>
      </c>
      <c r="EO18" s="62">
        <f ca="1">AVERAGE(OFFSET($EN$3,0,0,'Données projet'!$E$15+1,1))-AVERAGE(OFFSET($H$3,0,0,'Données projet'!$E$15+1,1))</f>
        <v>435.44444011810265</v>
      </c>
      <c r="EP18" s="62">
        <f t="shared" si="46"/>
        <v>447.15868732689762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3.65</v>
      </c>
      <c r="FE18" s="13">
        <f>IF('Données projet'!$A$218&gt;35,FE17+FD18-FM17,IF(A18&lt;'Données projet'!$A$218,$FB$205^A18,IF(A18='Données projet'!$A$218,'Données projet'!$B$218,FE17+FD18-FM17)))</f>
        <v>24.974232188561476</v>
      </c>
      <c r="FF18" s="18">
        <f>FE18*VLOOKUP('Données projet'!$B$16,Paramètres!$A$1:$I$89,3,0)*VLOOKUP('Données projet'!$B$16,Paramètres!$A$1:$I$89,5,0)</f>
        <v>25.323871439201337</v>
      </c>
      <c r="FG18" s="14">
        <f t="shared" si="47"/>
        <v>8.0114524854610902</v>
      </c>
      <c r="FH18" s="22">
        <f t="shared" si="22"/>
        <v>58.059022502120392</v>
      </c>
      <c r="FI18" s="62">
        <f t="shared" si="23"/>
        <v>225.89408240009956</v>
      </c>
      <c r="FJ18" s="62">
        <f ca="1">AVERAGE(OFFSET($FI$3,0,0,'Données projet'!$E$16+1,1))-AVERAGE(OFFSET($H$3,0,0,'Données projet'!$E$16+1,1))</f>
        <v>547.89540791313675</v>
      </c>
      <c r="FK18" s="62">
        <f t="shared" si="48"/>
        <v>345.19555189302378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5.5909090909090908</v>
      </c>
      <c r="FZ18" s="13">
        <f>IF('Données projet'!$A$244&gt;35,FZ17+FY18-GH17,IF(A18&lt;'Données projet'!$A$244,$FW$205^A18,IF(A18='Données projet'!$A$244,'Données projet'!$B$244,FZ17+FY18-GH17)))</f>
        <v>26.603287217402478</v>
      </c>
      <c r="GA18" s="18">
        <f>FZ18*VLOOKUP('Données projet'!$B$17,Paramètres!$A$1:$I$89,3,0)*VLOOKUP('Données projet'!$B$17,Paramètres!$A$1:$I$89,5,0)</f>
        <v>15.908765756006684</v>
      </c>
      <c r="GB18" s="14">
        <f t="shared" si="49"/>
        <v>5.312733913945455</v>
      </c>
      <c r="GC18" s="22">
        <f t="shared" si="25"/>
        <v>36.960778591833304</v>
      </c>
      <c r="GD18" s="62">
        <f t="shared" si="26"/>
        <v>204.79583848981247</v>
      </c>
      <c r="GE18" s="62">
        <f ca="1">AVERAGE(OFFSET($GD$3,0,0,'Données projet'!$E$17+1,1))-AVERAGE(OFFSET($H$3,0,0,'Données projet'!$E$17+1,1))</f>
        <v>409.68685886029164</v>
      </c>
      <c r="GF18" s="62">
        <f t="shared" si="50"/>
        <v>330.8416508650887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12.85</v>
      </c>
      <c r="N19" s="14">
        <f>IF('Données projet'!$A$36&gt;35,N18+M19-V18,IF(A19&lt;'Données projet'!$A$36,$K$205^A19,IF(A19='Données projet'!$A$36,'Données projet'!$B$36,N18+M19-V18)))</f>
        <v>84.712304945791786</v>
      </c>
      <c r="O19" s="14">
        <f>N19*VLOOKUP('Données projet'!$B$9,Paramètres!$A$1:$I$89,3,0)*VLOOKUP('Données projet'!$B$9,Paramètres!$A$1:$I$89,5,0)</f>
        <v>43.081289803231876</v>
      </c>
      <c r="P19" s="14">
        <f t="shared" si="33"/>
        <v>12.81178251145097</v>
      </c>
      <c r="Q19" s="22">
        <f t="shared" si="2"/>
        <v>97.347100948072622</v>
      </c>
      <c r="R19" s="62">
        <f t="shared" si="0"/>
        <v>268.26345519413042</v>
      </c>
      <c r="S19" s="62">
        <f ca="1">AVERAGE(OFFSET($R$3,0,0,'Données projet'!$E$9+1,1))-AVERAGE(OFFSET($H$3,0,0,'Données projet'!$E$9+1,1))</f>
        <v>73.098184695482075</v>
      </c>
      <c r="T19" s="62">
        <f t="shared" si="34"/>
        <v>334.38551711782793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12.85</v>
      </c>
      <c r="AI19" s="14">
        <f>IF('Données projet'!$A$62&gt;35,AI18+AH19-AQ18,IF(A19&lt;'Données projet'!$A$62,$AF$205^A19,IF(A19='Données projet'!$A$62,'Données projet'!$B$62,AI18+AH19-AQ18)))</f>
        <v>84.712304945791786</v>
      </c>
      <c r="AJ19" s="14">
        <f>AI19*VLOOKUP('Données projet'!$B$10,Paramètres!$A$1:$I$89,3,0)*VLOOKUP('Données projet'!$B$10,Paramètres!$A$1:$I$89,5,0)</f>
        <v>41.099021867500348</v>
      </c>
      <c r="AK19" s="14">
        <f t="shared" si="35"/>
        <v>12.289481663864111</v>
      </c>
      <c r="AL19" s="22">
        <f t="shared" si="4"/>
        <v>92.984976983793089</v>
      </c>
      <c r="AM19" s="62">
        <f t="shared" si="5"/>
        <v>263.90133122985088</v>
      </c>
      <c r="AN19" s="62">
        <f ca="1">AVERAGE(OFFSET($AM$3,0,0,'Données projet'!$E$10+1,1))-AVERAGE(OFFSET($H$3,0,0,'Données projet'!$E$10+1,1))</f>
        <v>70.520400819593021</v>
      </c>
      <c r="AO19" s="62">
        <f t="shared" si="36"/>
        <v>321.48616153644309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6.5</v>
      </c>
      <c r="BD19" s="13">
        <f>IF('Données projet'!$A$88&gt;35,BD18+BC19-BL18,IF(A19&lt;'Données projet'!$A$88,$BA$205^A19,IF(A19='Données projet'!$A$88,'Données projet'!$B$88,BD18+BC19-BL18)))</f>
        <v>16.647606148649942</v>
      </c>
      <c r="BE19" s="14">
        <f>BD19*VLOOKUP('Données projet'!$B$11,Paramètres!$A$1:$I$89,3,0)*VLOOKUP('Données projet'!$B$11,Paramètres!$A$1:$I$89,5,0)</f>
        <v>7.791079677568173</v>
      </c>
      <c r="BF19" s="14">
        <f t="shared" si="37"/>
        <v>2.8272729930809319</v>
      </c>
      <c r="BG19" s="22">
        <f t="shared" si="7"/>
        <v>18.493630901380524</v>
      </c>
      <c r="BH19" s="62">
        <f t="shared" si="8"/>
        <v>189.40998514743833</v>
      </c>
      <c r="BI19" s="62">
        <f ca="1">AVERAGE(OFFSET($BH$3,0,0,'Données projet'!$E$11+1,1))-AVERAGE(OFFSET($H$3,0,0,'Données projet'!$E$11+1,1))</f>
        <v>374.62597460242665</v>
      </c>
      <c r="BJ19" s="62">
        <f t="shared" si="38"/>
        <v>277.50105097454616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2.1666666666666665</v>
      </c>
      <c r="BY19" s="13">
        <f>IF('Données projet'!$A$114&gt;35,BY18+BX19-CG18,IF(A19&lt;'Données projet'!$A$114,$BV$205^A19,IF(A19='Données projet'!$A$114,'Données projet'!$B$114,BY18+BX19-CG18)))</f>
        <v>9.2658896452214421</v>
      </c>
      <c r="BZ19" s="14">
        <f>BY19*VLOOKUP('Données projet'!$B$12,Paramètres!$A$1:$I$89,3,0)*VLOOKUP('Données projet'!$B$12,Paramètres!$A$1:$I$89,5,0)</f>
        <v>4.3364363539636352</v>
      </c>
      <c r="CA19" s="14">
        <f t="shared" si="39"/>
        <v>1.6847007259656022</v>
      </c>
      <c r="CB19" s="22">
        <f t="shared" si="10"/>
        <v>10.486813747543422</v>
      </c>
      <c r="CC19" s="62">
        <f t="shared" si="11"/>
        <v>181.40316799360124</v>
      </c>
      <c r="CD19" s="62">
        <f ca="1">AVERAGE(OFFSET($CC$3,0,0,'Données projet'!$E$12+1,1))-AVERAGE(OFFSET($H$3,0,0,'Données projet'!$E$12+1,1))</f>
        <v>329.79342219561465</v>
      </c>
      <c r="CE19" s="62">
        <f t="shared" si="40"/>
        <v>144.63206563329757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4.9000000000000004</v>
      </c>
      <c r="CT19" s="13">
        <f>IF('Données projet'!$A$140&gt;35,CT18+CS19-DB18,IF(A19&lt;'Données projet'!$A$140,$CQ$205^A19,IF(A19='Données projet'!$A$140,'Données projet'!$B$140,CT18+CS19-DB18)))</f>
        <v>39.172461334412446</v>
      </c>
      <c r="CU19" s="18">
        <f>CT19*VLOOKUP('Données projet'!$B$13,Paramètres!$A$1:$I$89,3,0)*VLOOKUP('Données projet'!$B$13,Paramètres!$A$1:$I$89,5,0)</f>
        <v>23.425131877978647</v>
      </c>
      <c r="CV19" s="14">
        <f t="shared" si="41"/>
        <v>7.4783040650259762</v>
      </c>
      <c r="CW19" s="22">
        <f t="shared" si="13"/>
        <v>53.823484267399721</v>
      </c>
      <c r="CX19" s="62">
        <f t="shared" si="14"/>
        <v>224.73983851345753</v>
      </c>
      <c r="CY19" s="62">
        <f ca="1">AVERAGE(OFFSET($CX$3,0,0,'Données projet'!$E$13+1,1))-AVERAGE(OFFSET($H$3,0,0,'Données projet'!$E$13+1,1))</f>
        <v>530.27599556821826</v>
      </c>
      <c r="CZ19" s="62">
        <f t="shared" si="42"/>
        <v>370.62231794492129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17.428210696608915</v>
      </c>
      <c r="DQ19" s="14">
        <f t="shared" si="43"/>
        <v>5.7586812492547006</v>
      </c>
      <c r="DR19" s="22">
        <f t="shared" si="16"/>
        <v>40.383836805712463</v>
      </c>
      <c r="DS19" s="62">
        <f t="shared" si="17"/>
        <v>211.30019105177027</v>
      </c>
      <c r="DT19" s="62">
        <f ca="1">AVERAGE(OFFSET($DS$3,0,0,'Données projet'!$E$14+1,1))-AVERAGE(OFFSET($H$3,0,0,'Données projet'!$E$14+1,1))</f>
        <v>520.23742527061836</v>
      </c>
      <c r="DU19" s="62">
        <f t="shared" si="44"/>
        <v>321.35925479331274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6.6</v>
      </c>
      <c r="EJ19" s="13">
        <f>IF('Données projet'!$A$192&gt;35,EJ18+EI19-ER18,IF(A19&lt;'Données projet'!$A$192,$EG$205^A19,IF(A19='Données projet'!$A$192,'Données projet'!$B$192,EJ18+EI19-ER18)))</f>
        <v>49.711760658095955</v>
      </c>
      <c r="EK19" s="18">
        <f>EJ19*VLOOKUP('Données projet'!$B$15,Paramètres!$A$1:$I$89,3,0)*VLOOKUP('Données projet'!$B$15,Paramètres!$A$1:$I$89,5,0)</f>
        <v>51.9587322398419</v>
      </c>
      <c r="EL19" s="14">
        <f t="shared" si="45"/>
        <v>15.118473956566907</v>
      </c>
      <c r="EM19" s="22">
        <f t="shared" si="19"/>
        <v>116.82613412541201</v>
      </c>
      <c r="EN19" s="62">
        <f t="shared" si="20"/>
        <v>287.74248837146979</v>
      </c>
      <c r="EO19" s="62">
        <f ca="1">AVERAGE(OFFSET($EN$3,0,0,'Données projet'!$E$15+1,1))-AVERAGE(OFFSET($H$3,0,0,'Données projet'!$E$15+1,1))</f>
        <v>435.44444011810265</v>
      </c>
      <c r="EP19" s="62">
        <f t="shared" si="46"/>
        <v>447.15868732689762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3.65</v>
      </c>
      <c r="FE19" s="13">
        <f>IF('Données projet'!$A$218&gt;35,FE18+FD19-FM18,IF(A19&lt;'Données projet'!$A$218,$FB$205^A19,IF(A19='Données projet'!$A$218,'Données projet'!$B$218,FE18+FD19-FM18)))</f>
        <v>30.949831440200953</v>
      </c>
      <c r="FF19" s="18">
        <f>FE19*VLOOKUP('Données projet'!$B$16,Paramètres!$A$1:$I$89,3,0)*VLOOKUP('Données projet'!$B$16,Paramètres!$A$1:$I$89,5,0)</f>
        <v>31.383129080363769</v>
      </c>
      <c r="FG19" s="14">
        <f t="shared" si="47"/>
        <v>9.6835113353243223</v>
      </c>
      <c r="FH19" s="22">
        <f t="shared" si="22"/>
        <v>71.524398723990075</v>
      </c>
      <c r="FI19" s="62">
        <f t="shared" si="23"/>
        <v>242.44075297004787</v>
      </c>
      <c r="FJ19" s="62">
        <f ca="1">AVERAGE(OFFSET($FI$3,0,0,'Données projet'!$E$16+1,1))-AVERAGE(OFFSET($H$3,0,0,'Données projet'!$E$16+1,1))</f>
        <v>547.89540791313675</v>
      </c>
      <c r="FK19" s="62">
        <f t="shared" si="48"/>
        <v>345.19555189302378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5.5909090909090908</v>
      </c>
      <c r="FZ19" s="13">
        <f>IF('Données projet'!$A$244&gt;35,FZ18+FY19-GH18,IF(A19&lt;'Données projet'!$A$244,$FW$205^A19,IF(A19='Données projet'!$A$244,'Données projet'!$B$244,FZ18+FY19-GH18)))</f>
        <v>33.107850856996748</v>
      </c>
      <c r="GA19" s="18">
        <f>FZ19*VLOOKUP('Données projet'!$B$17,Paramètres!$A$1:$I$89,3,0)*VLOOKUP('Données projet'!$B$17,Paramètres!$A$1:$I$89,5,0)</f>
        <v>19.798494812484059</v>
      </c>
      <c r="GB19" s="14">
        <f t="shared" si="49"/>
        <v>6.4454946747588586</v>
      </c>
      <c r="GC19" s="22">
        <f t="shared" si="25"/>
        <v>45.70828169028141</v>
      </c>
      <c r="GD19" s="62">
        <f t="shared" si="26"/>
        <v>216.62463593633922</v>
      </c>
      <c r="GE19" s="62">
        <f ca="1">AVERAGE(OFFSET($GD$3,0,0,'Données projet'!$E$17+1,1))-AVERAGE(OFFSET($H$3,0,0,'Données projet'!$E$17+1,1))</f>
        <v>409.68685886029164</v>
      </c>
      <c r="GF19" s="62">
        <f t="shared" si="50"/>
        <v>330.8416508650887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12.85</v>
      </c>
      <c r="N20" s="14">
        <f>IF('Données projet'!$A$36&gt;35,N19+M20-V19,IF(A20&lt;'Données projet'!$A$36,$K$205^A20,IF(A20='Données projet'!$A$36,'Données projet'!$B$36,N19+M20-V19)))</f>
        <v>111.80034785952618</v>
      </c>
      <c r="O20" s="14">
        <f>N20*VLOOKUP('Données projet'!$B$9,Paramètres!$A$1:$I$89,3,0)*VLOOKUP('Données projet'!$B$9,Paramètres!$A$1:$I$89,5,0)</f>
        <v>56.85718490744064</v>
      </c>
      <c r="P20" s="14">
        <f t="shared" si="33"/>
        <v>16.371195811146546</v>
      </c>
      <c r="Q20" s="22">
        <f t="shared" si="2"/>
        <v>127.53942975153937</v>
      </c>
      <c r="R20" s="62">
        <f t="shared" si="0"/>
        <v>301.50482760055479</v>
      </c>
      <c r="S20" s="62">
        <f ca="1">AVERAGE(OFFSET($R$3,0,0,'Données projet'!$E$9+1,1))-AVERAGE(OFFSET($H$3,0,0,'Données projet'!$E$9+1,1))</f>
        <v>73.098184695482075</v>
      </c>
      <c r="T20" s="62">
        <f t="shared" si="34"/>
        <v>334.38551711782793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12.85</v>
      </c>
      <c r="AI20" s="14">
        <f>IF('Données projet'!$A$62&gt;35,AI19+AH20-AQ19,IF(A20&lt;'Données projet'!$A$62,$AF$205^A20,IF(A20='Données projet'!$A$62,'Données projet'!$B$62,AI19+AH20-AQ19)))</f>
        <v>111.80034785952618</v>
      </c>
      <c r="AJ20" s="14">
        <f>AI20*VLOOKUP('Données projet'!$B$10,Paramètres!$A$1:$I$89,3,0)*VLOOKUP('Données projet'!$B$10,Paramètres!$A$1:$I$89,5,0)</f>
        <v>54.241056767527724</v>
      </c>
      <c r="AK20" s="14">
        <f t="shared" si="35"/>
        <v>15.703787553120803</v>
      </c>
      <c r="AL20" s="22">
        <f t="shared" si="4"/>
        <v>121.82060385846285</v>
      </c>
      <c r="AM20" s="62">
        <f t="shared" si="5"/>
        <v>295.78600170747825</v>
      </c>
      <c r="AN20" s="62">
        <f ca="1">AVERAGE(OFFSET($AM$3,0,0,'Données projet'!$E$10+1,1))-AVERAGE(OFFSET($H$3,0,0,'Données projet'!$E$10+1,1))</f>
        <v>70.520400819593021</v>
      </c>
      <c r="AO20" s="62">
        <f t="shared" si="36"/>
        <v>321.48616153644309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6.5</v>
      </c>
      <c r="BD20" s="13">
        <f>IF('Données projet'!$A$88&gt;35,BD19+BC20-BL19,IF(A20&lt;'Données projet'!$A$88,$BA$205^A20,IF(A20='Données projet'!$A$88,'Données projet'!$B$88,BD19+BC20-BL19)))</f>
        <v>19.846607449592845</v>
      </c>
      <c r="BE20" s="14">
        <f>BD20*VLOOKUP('Données projet'!$B$11,Paramètres!$A$1:$I$89,3,0)*VLOOKUP('Données projet'!$B$11,Paramètres!$A$1:$I$89,5,0)</f>
        <v>9.2882122864094523</v>
      </c>
      <c r="BF20" s="14">
        <f t="shared" si="37"/>
        <v>3.3023028355827138</v>
      </c>
      <c r="BG20" s="22">
        <f t="shared" si="7"/>
        <v>21.928480504136356</v>
      </c>
      <c r="BH20" s="62">
        <f t="shared" si="8"/>
        <v>195.89387835315179</v>
      </c>
      <c r="BI20" s="62">
        <f ca="1">AVERAGE(OFFSET($BH$3,0,0,'Données projet'!$E$11+1,1))-AVERAGE(OFFSET($H$3,0,0,'Données projet'!$E$11+1,1))</f>
        <v>374.62597460242665</v>
      </c>
      <c r="BJ20" s="62">
        <f t="shared" si="38"/>
        <v>277.50105097454616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2.1666666666666665</v>
      </c>
      <c r="BY20" s="13">
        <f>IF('Données projet'!$A$114&gt;35,BY19+BX20-CG19,IF(A20&lt;'Données projet'!$A$114,$BV$205^A20,IF(A20='Données projet'!$A$114,'Données projet'!$B$114,BY19+BX20-CG19)))</f>
        <v>10.649214351344817</v>
      </c>
      <c r="BZ20" s="14">
        <f>BY20*VLOOKUP('Données projet'!$B$12,Paramètres!$A$1:$I$89,3,0)*VLOOKUP('Données projet'!$B$12,Paramètres!$A$1:$I$89,5,0)</f>
        <v>4.9838323164293747</v>
      </c>
      <c r="CA20" s="14">
        <f t="shared" si="39"/>
        <v>1.9051058227759261</v>
      </c>
      <c r="CB20" s="22">
        <f t="shared" si="10"/>
        <v>11.998233925782564</v>
      </c>
      <c r="CC20" s="62">
        <f t="shared" si="11"/>
        <v>185.96363177479799</v>
      </c>
      <c r="CD20" s="62">
        <f ca="1">AVERAGE(OFFSET($CC$3,0,0,'Données projet'!$E$12+1,1))-AVERAGE(OFFSET($H$3,0,0,'Données projet'!$E$12+1,1))</f>
        <v>329.79342219561465</v>
      </c>
      <c r="CE20" s="62">
        <f t="shared" si="40"/>
        <v>144.63206563329757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4.9000000000000004</v>
      </c>
      <c r="CT20" s="13">
        <f>IF('Données projet'!$A$140&gt;35,CT19+CS20-DB19,IF(A20&lt;'Données projet'!$A$140,$CQ$205^A20,IF(A20='Données projet'!$A$140,'Données projet'!$B$140,CT19+CS20-DB19)))</f>
        <v>49.265417133228127</v>
      </c>
      <c r="CU20" s="18">
        <f>CT20*VLOOKUP('Données projet'!$B$13,Paramètres!$A$1:$I$89,3,0)*VLOOKUP('Données projet'!$B$13,Paramètres!$A$1:$I$89,5,0)</f>
        <v>29.460719445670424</v>
      </c>
      <c r="CV20" s="14">
        <f t="shared" si="41"/>
        <v>9.1574696387404817</v>
      </c>
      <c r="CW20" s="22">
        <f t="shared" si="13"/>
        <v>67.260012655349001</v>
      </c>
      <c r="CX20" s="62">
        <f t="shared" si="14"/>
        <v>241.22541050436445</v>
      </c>
      <c r="CY20" s="62">
        <f ca="1">AVERAGE(OFFSET($CX$3,0,0,'Données projet'!$E$13+1,1))-AVERAGE(OFFSET($H$3,0,0,'Données projet'!$E$13+1,1))</f>
        <v>530.27599556821826</v>
      </c>
      <c r="CZ20" s="62">
        <f t="shared" si="42"/>
        <v>370.62231794492129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20.668222851532597</v>
      </c>
      <c r="DQ20" s="14">
        <f t="shared" si="43"/>
        <v>6.6950513986739653</v>
      </c>
      <c r="DR20" s="22">
        <f t="shared" si="16"/>
        <v>47.657702652443085</v>
      </c>
      <c r="DS20" s="62">
        <f t="shared" si="17"/>
        <v>221.62310050145851</v>
      </c>
      <c r="DT20" s="62">
        <f ca="1">AVERAGE(OFFSET($DS$3,0,0,'Données projet'!$E$14+1,1))-AVERAGE(OFFSET($H$3,0,0,'Données projet'!$E$14+1,1))</f>
        <v>520.23742527061836</v>
      </c>
      <c r="DU20" s="62">
        <f t="shared" si="44"/>
        <v>321.35925479331274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6.6</v>
      </c>
      <c r="EJ20" s="13">
        <f>IF('Données projet'!$A$192&gt;35,EJ19+EI20-ER19,IF(A20&lt;'Données projet'!$A$192,$EG$205^A20,IF(A20='Données projet'!$A$192,'Données projet'!$B$192,EJ19+EI20-ER19)))</f>
        <v>63.458213501978861</v>
      </c>
      <c r="EK20" s="18">
        <f>EJ20*VLOOKUP('Données projet'!$B$15,Paramètres!$A$1:$I$89,3,0)*VLOOKUP('Données projet'!$B$15,Paramètres!$A$1:$I$89,5,0)</f>
        <v>66.326524752268313</v>
      </c>
      <c r="EL20" s="14">
        <f t="shared" si="45"/>
        <v>18.75836198998137</v>
      </c>
      <c r="EM20" s="22">
        <f t="shared" si="19"/>
        <v>148.18951107608487</v>
      </c>
      <c r="EN20" s="62">
        <f t="shared" si="20"/>
        <v>322.1549089251003</v>
      </c>
      <c r="EO20" s="62">
        <f ca="1">AVERAGE(OFFSET($EN$3,0,0,'Données projet'!$E$15+1,1))-AVERAGE(OFFSET($H$3,0,0,'Données projet'!$E$15+1,1))</f>
        <v>435.44444011810265</v>
      </c>
      <c r="EP20" s="62">
        <f t="shared" si="46"/>
        <v>447.15868732689762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3.65</v>
      </c>
      <c r="FE20" s="13">
        <f>IF('Données projet'!$A$218&gt;35,FE19+FD20-FM19,IF(A20&lt;'Données projet'!$A$218,$FB$205^A20,IF(A20='Données projet'!$A$218,'Données projet'!$B$218,FE19+FD20-FM19)))</f>
        <v>38.355215845858055</v>
      </c>
      <c r="FF20" s="18">
        <f>FE20*VLOOKUP('Données projet'!$B$16,Paramètres!$A$1:$I$89,3,0)*VLOOKUP('Données projet'!$B$16,Paramètres!$A$1:$I$89,5,0)</f>
        <v>38.892188867700071</v>
      </c>
      <c r="FG20" s="14">
        <f t="shared" si="47"/>
        <v>11.704543208803392</v>
      </c>
      <c r="FH20" s="22">
        <f t="shared" si="22"/>
        <v>88.122641699910204</v>
      </c>
      <c r="FI20" s="62">
        <f t="shared" si="23"/>
        <v>262.08803954892562</v>
      </c>
      <c r="FJ20" s="62">
        <f ca="1">AVERAGE(OFFSET($FI$3,0,0,'Données projet'!$E$16+1,1))-AVERAGE(OFFSET($H$3,0,0,'Données projet'!$E$16+1,1))</f>
        <v>547.89540791313675</v>
      </c>
      <c r="FK20" s="62">
        <f t="shared" si="48"/>
        <v>345.19555189302378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5.5909090909090908</v>
      </c>
      <c r="FZ20" s="13">
        <f>IF('Données projet'!$A$244&gt;35,FZ19+FY20-GH19,IF(A20&lt;'Données projet'!$A$244,$FW$205^A20,IF(A20='Données projet'!$A$244,'Données projet'!$B$244,FZ19+FY20-GH19)))</f>
        <v>41.202794955809431</v>
      </c>
      <c r="GA20" s="18">
        <f>FZ20*VLOOKUP('Données projet'!$B$17,Paramètres!$A$1:$I$89,3,0)*VLOOKUP('Données projet'!$B$17,Paramètres!$A$1:$I$89,5,0)</f>
        <v>24.639271383574041</v>
      </c>
      <c r="GB20" s="14">
        <f t="shared" si="49"/>
        <v>7.8197783429910519</v>
      </c>
      <c r="GC20" s="22">
        <f t="shared" si="25"/>
        <v>56.532844940434195</v>
      </c>
      <c r="GD20" s="62">
        <f t="shared" si="26"/>
        <v>230.49824278944962</v>
      </c>
      <c r="GE20" s="62">
        <f ca="1">AVERAGE(OFFSET($GD$3,0,0,'Données projet'!$E$17+1,1))-AVERAGE(OFFSET($H$3,0,0,'Données projet'!$E$17+1,1))</f>
        <v>409.68685886029164</v>
      </c>
      <c r="GF20" s="62">
        <f t="shared" si="50"/>
        <v>330.8416508650887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12.85</v>
      </c>
      <c r="N21" s="14">
        <f>IF('Données projet'!$A$36&gt;35,N20+M21-V20,IF(A21&lt;'Données projet'!$A$36,$K$205^A21,IF(A21='Données projet'!$A$36,'Données projet'!$B$36,N20+M21-V20)))</f>
        <v>147.55020288386075</v>
      </c>
      <c r="O21" s="14">
        <f>N21*VLOOKUP('Données projet'!$B$9,Paramètres!$A$1:$I$89,3,0)*VLOOKUP('Données projet'!$B$9,Paramètres!$A$1:$I$89,5,0)</f>
        <v>75.038131178616226</v>
      </c>
      <c r="P21" s="14">
        <f t="shared" si="33"/>
        <v>20.919497505312304</v>
      </c>
      <c r="Q21" s="22">
        <f t="shared" si="2"/>
        <v>167.12620329117553</v>
      </c>
      <c r="R21" s="62">
        <f t="shared" si="0"/>
        <v>344.10895347635363</v>
      </c>
      <c r="S21" s="62">
        <f ca="1">AVERAGE(OFFSET($R$3,0,0,'Données projet'!$E$9+1,1))-AVERAGE(OFFSET($H$3,0,0,'Données projet'!$E$9+1,1))</f>
        <v>73.098184695482075</v>
      </c>
      <c r="T21" s="62">
        <f t="shared" si="34"/>
        <v>334.38551711782793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12.85</v>
      </c>
      <c r="AI21" s="14">
        <f>IF('Données projet'!$A$62&gt;35,AI20+AH21-AQ20,IF(A21&lt;'Données projet'!$A$62,$AF$205^A21,IF(A21='Données projet'!$A$62,'Données projet'!$B$62,AI20+AH21-AQ20)))</f>
        <v>147.55020288386075</v>
      </c>
      <c r="AJ21" s="14">
        <f>AI21*VLOOKUP('Données projet'!$B$10,Paramètres!$A$1:$I$89,3,0)*VLOOKUP('Données projet'!$B$10,Paramètres!$A$1:$I$89,5,0)</f>
        <v>71.585456431133892</v>
      </c>
      <c r="AK21" s="14">
        <f t="shared" si="35"/>
        <v>20.066667599063884</v>
      </c>
      <c r="AL21" s="22">
        <f t="shared" si="4"/>
        <v>159.62744935259445</v>
      </c>
      <c r="AM21" s="62">
        <f t="shared" si="5"/>
        <v>336.61019953777259</v>
      </c>
      <c r="AN21" s="62">
        <f ca="1">AVERAGE(OFFSET($AM$3,0,0,'Données projet'!$E$10+1,1))-AVERAGE(OFFSET($H$3,0,0,'Données projet'!$E$10+1,1))</f>
        <v>70.520400819593021</v>
      </c>
      <c r="AO21" s="62">
        <f t="shared" si="36"/>
        <v>321.48616153644309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6.5</v>
      </c>
      <c r="BD21" s="13">
        <f>IF('Données projet'!$A$88&gt;35,BD20+BC21-BL20,IF(A21&lt;'Données projet'!$A$88,$BA$205^A21,IF(A21='Données projet'!$A$88,'Données projet'!$B$88,BD20+BC21-BL20)))</f>
        <v>23.660328322350242</v>
      </c>
      <c r="BE21" s="14">
        <f>BD21*VLOOKUP('Données projet'!$B$11,Paramètres!$A$1:$I$89,3,0)*VLOOKUP('Données projet'!$B$11,Paramètres!$A$1:$I$89,5,0)</f>
        <v>11.073033654859913</v>
      </c>
      <c r="BF21" s="14">
        <f t="shared" si="37"/>
        <v>3.8571457530226052</v>
      </c>
      <c r="BG21" s="22">
        <f t="shared" si="7"/>
        <v>26.003395802062048</v>
      </c>
      <c r="BH21" s="62">
        <f t="shared" si="8"/>
        <v>202.98614598724015</v>
      </c>
      <c r="BI21" s="62">
        <f ca="1">AVERAGE(OFFSET($BH$3,0,0,'Données projet'!$E$11+1,1))-AVERAGE(OFFSET($H$3,0,0,'Données projet'!$E$11+1,1))</f>
        <v>374.62597460242665</v>
      </c>
      <c r="BJ21" s="62">
        <f t="shared" si="38"/>
        <v>277.50105097454616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2.1666666666666665</v>
      </c>
      <c r="BY21" s="13">
        <f>IF('Données projet'!$A$114&gt;35,BY20+BX21-CG20,IF(A21&lt;'Données projet'!$A$114,$BV$205^A21,IF(A21='Données projet'!$A$114,'Données projet'!$B$114,BY20+BX21-CG20)))</f>
        <v>12.239058594807833</v>
      </c>
      <c r="BZ21" s="14">
        <f>BY21*VLOOKUP('Données projet'!$B$12,Paramètres!$A$1:$I$89,3,0)*VLOOKUP('Données projet'!$B$12,Paramètres!$A$1:$I$89,5,0)</f>
        <v>5.7278794223700658</v>
      </c>
      <c r="CA21" s="14">
        <f t="shared" si="39"/>
        <v>2.1543459559527984</v>
      </c>
      <c r="CB21" s="22">
        <f t="shared" si="10"/>
        <v>13.72820920057899</v>
      </c>
      <c r="CC21" s="62">
        <f t="shared" si="11"/>
        <v>190.71095938575709</v>
      </c>
      <c r="CD21" s="62">
        <f ca="1">AVERAGE(OFFSET($CC$3,0,0,'Données projet'!$E$12+1,1))-AVERAGE(OFFSET($H$3,0,0,'Données projet'!$E$12+1,1))</f>
        <v>329.79342219561465</v>
      </c>
      <c r="CE21" s="62">
        <f t="shared" si="40"/>
        <v>144.63206563329757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4.9000000000000004</v>
      </c>
      <c r="CT21" s="13">
        <f>IF('Données projet'!$A$140&gt;35,CT20+CS21-DB20,IF(A21&lt;'Données projet'!$A$140,$CQ$205^A21,IF(A21='Données projet'!$A$140,'Données projet'!$B$140,CT20+CS21-DB20)))</f>
        <v>61.958867087547844</v>
      </c>
      <c r="CU21" s="18">
        <f>CT21*VLOOKUP('Données projet'!$B$13,Paramètres!$A$1:$I$89,3,0)*VLOOKUP('Données projet'!$B$13,Paramètres!$A$1:$I$89,5,0)</f>
        <v>37.051402518353612</v>
      </c>
      <c r="CV21" s="14">
        <f t="shared" si="41"/>
        <v>11.213672171561068</v>
      </c>
      <c r="CW21" s="22">
        <f t="shared" si="13"/>
        <v>84.061671751601395</v>
      </c>
      <c r="CX21" s="62">
        <f t="shared" si="14"/>
        <v>261.04442193677949</v>
      </c>
      <c r="CY21" s="62">
        <f ca="1">AVERAGE(OFFSET($CX$3,0,0,'Données projet'!$E$13+1,1))-AVERAGE(OFFSET($H$3,0,0,'Données projet'!$E$13+1,1))</f>
        <v>530.27599556821826</v>
      </c>
      <c r="CZ21" s="62">
        <f t="shared" si="42"/>
        <v>370.62231794492129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24.510573304219449</v>
      </c>
      <c r="DQ21" s="14">
        <f t="shared" si="43"/>
        <v>7.7836767292316065</v>
      </c>
      <c r="DR21" s="22">
        <f t="shared" si="16"/>
        <v>56.245818808260594</v>
      </c>
      <c r="DS21" s="62">
        <f t="shared" si="17"/>
        <v>233.2285689934387</v>
      </c>
      <c r="DT21" s="62">
        <f ca="1">AVERAGE(OFFSET($DS$3,0,0,'Données projet'!$E$14+1,1))-AVERAGE(OFFSET($H$3,0,0,'Données projet'!$E$14+1,1))</f>
        <v>520.23742527061836</v>
      </c>
      <c r="DU21" s="62">
        <f t="shared" si="44"/>
        <v>321.35925479331274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6.6</v>
      </c>
      <c r="EJ21" s="13">
        <f>IF('Données projet'!$A$192&gt;35,EJ20+EI21-ER20,IF(A21&lt;'Données projet'!$A$192,$EG$205^A21,IF(A21='Données projet'!$A$192,'Données projet'!$B$192,EJ20+EI21-ER20)))</f>
        <v>81.005878841406769</v>
      </c>
      <c r="EK21" s="18">
        <f>EJ21*VLOOKUP('Données projet'!$B$15,Paramètres!$A$1:$I$89,3,0)*VLOOKUP('Données projet'!$B$15,Paramètres!$A$1:$I$89,5,0)</f>
        <v>84.667344565038363</v>
      </c>
      <c r="EL21" s="14">
        <f t="shared" si="45"/>
        <v>23.274580857701956</v>
      </c>
      <c r="EM21" s="22">
        <f t="shared" si="19"/>
        <v>187.99885344460608</v>
      </c>
      <c r="EN21" s="62">
        <f t="shared" si="20"/>
        <v>364.98160362978422</v>
      </c>
      <c r="EO21" s="62">
        <f ca="1">AVERAGE(OFFSET($EN$3,0,0,'Données projet'!$E$15+1,1))-AVERAGE(OFFSET($H$3,0,0,'Données projet'!$E$15+1,1))</f>
        <v>435.44444011810265</v>
      </c>
      <c r="EP21" s="62">
        <f t="shared" si="46"/>
        <v>447.15868732689762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3.65</v>
      </c>
      <c r="FE21" s="13">
        <f>IF('Données projet'!$A$218&gt;35,FE20+FD21-FM20,IF(A21&lt;'Données projet'!$A$218,$FB$205^A21,IF(A21='Données projet'!$A$218,'Données projet'!$B$218,FE20+FD21-FM20)))</f>
        <v>47.532490941824946</v>
      </c>
      <c r="FF21" s="18">
        <f>FE21*VLOOKUP('Données projet'!$B$16,Paramètres!$A$1:$I$89,3,0)*VLOOKUP('Données projet'!$B$16,Paramètres!$A$1:$I$89,5,0)</f>
        <v>48.197945815010499</v>
      </c>
      <c r="FG21" s="14">
        <f t="shared" si="47"/>
        <v>14.147381769152156</v>
      </c>
      <c r="FH21" s="22">
        <f t="shared" si="22"/>
        <v>108.58477887574996</v>
      </c>
      <c r="FI21" s="62">
        <f t="shared" si="23"/>
        <v>285.56752906092805</v>
      </c>
      <c r="FJ21" s="62">
        <f ca="1">AVERAGE(OFFSET($FI$3,0,0,'Données projet'!$E$16+1,1))-AVERAGE(OFFSET($H$3,0,0,'Données projet'!$E$16+1,1))</f>
        <v>547.89540791313675</v>
      </c>
      <c r="FK21" s="62">
        <f t="shared" si="48"/>
        <v>345.19555189302378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5.5909090909090908</v>
      </c>
      <c r="FZ21" s="13">
        <f>IF('Données projet'!$A$244&gt;35,FZ20+FY21-GH20,IF(A21&lt;'Données projet'!$A$244,$FW$205^A21,IF(A21='Données projet'!$A$244,'Données projet'!$B$244,FZ20+FY21-GH20)))</f>
        <v>51.276971117915458</v>
      </c>
      <c r="GA21" s="18">
        <f>FZ21*VLOOKUP('Données projet'!$B$17,Paramètres!$A$1:$I$89,3,0)*VLOOKUP('Données projet'!$B$17,Paramètres!$A$1:$I$89,5,0)</f>
        <v>30.663628728513448</v>
      </c>
      <c r="GB21" s="14">
        <f t="shared" si="49"/>
        <v>9.4870815071768995</v>
      </c>
      <c r="GC21" s="22">
        <f t="shared" si="25"/>
        <v>69.929153660494023</v>
      </c>
      <c r="GD21" s="62">
        <f t="shared" si="26"/>
        <v>246.91190384567213</v>
      </c>
      <c r="GE21" s="62">
        <f ca="1">AVERAGE(OFFSET($GD$3,0,0,'Données projet'!$E$17+1,1))-AVERAGE(OFFSET($H$3,0,0,'Données projet'!$E$17+1,1))</f>
        <v>409.68685886029164</v>
      </c>
      <c r="GF21" s="62">
        <f t="shared" si="50"/>
        <v>330.8416508650887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12.85</v>
      </c>
      <c r="N22" s="14">
        <f>IF('Données projet'!$A$36&gt;35,N21+M22-V21,IF(A22&lt;'Données projet'!$A$36,$K$205^A22,IF(A22='Données projet'!$A$36,'Données projet'!$B$36,N21+M22-V21)))</f>
        <v>194.73161566923895</v>
      </c>
      <c r="O22" s="14">
        <f>N22*VLOOKUP('Données projet'!$B$9,Paramètres!$A$1:$I$89,3,0)*VLOOKUP('Données projet'!$B$9,Paramètres!$A$1:$I$89,5,0)</f>
        <v>99.032710464748163</v>
      </c>
      <c r="P22" s="14">
        <f t="shared" si="33"/>
        <v>26.731423954797759</v>
      </c>
      <c r="Q22" s="22">
        <f t="shared" si="2"/>
        <v>219.03920078070914</v>
      </c>
      <c r="R22" s="62">
        <f t="shared" si="0"/>
        <v>399.00816180788274</v>
      </c>
      <c r="S22" s="62">
        <f ca="1">AVERAGE(OFFSET($R$3,0,0,'Données projet'!$E$9+1,1))-AVERAGE(OFFSET($H$3,0,0,'Données projet'!$E$9+1,1))</f>
        <v>73.098184695482075</v>
      </c>
      <c r="T22" s="62">
        <f t="shared" si="34"/>
        <v>334.38551711782793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12.85</v>
      </c>
      <c r="AI22" s="14">
        <f>IF('Données projet'!$A$62&gt;35,AI21+AH22-AQ21,IF(A22&lt;'Données projet'!$A$62,$AF$205^A22,IF(A22='Données projet'!$A$62,'Données projet'!$B$62,AI21+AH22-AQ21)))</f>
        <v>194.73161566923895</v>
      </c>
      <c r="AJ22" s="14">
        <f>AI22*VLOOKUP('Données projet'!$B$10,Paramètres!$A$1:$I$89,3,0)*VLOOKUP('Données projet'!$B$10,Paramètres!$A$1:$I$89,5,0)</f>
        <v>94.475990658087966</v>
      </c>
      <c r="AK22" s="14">
        <f t="shared" si="35"/>
        <v>25.64165792291924</v>
      </c>
      <c r="AL22" s="22">
        <f t="shared" si="4"/>
        <v>209.20490461192085</v>
      </c>
      <c r="AM22" s="62">
        <f t="shared" si="5"/>
        <v>389.1738656390944</v>
      </c>
      <c r="AN22" s="62">
        <f ca="1">AVERAGE(OFFSET($AM$3,0,0,'Données projet'!$E$10+1,1))-AVERAGE(OFFSET($H$3,0,0,'Données projet'!$E$10+1,1))</f>
        <v>70.520400819593021</v>
      </c>
      <c r="AO22" s="62">
        <f t="shared" si="36"/>
        <v>321.48616153644309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6.5</v>
      </c>
      <c r="BD22" s="13">
        <f>IF('Données projet'!$A$88&gt;35,BD21+BC22-BL21,IF(A22&lt;'Données projet'!$A$88,$BA$205^A22,IF(A22='Données projet'!$A$88,'Données projet'!$B$88,BD21+BC22-BL21)))</f>
        <v>28.206893180269638</v>
      </c>
      <c r="BE22" s="14">
        <f>BD22*VLOOKUP('Données projet'!$B$11,Paramètres!$A$1:$I$89,3,0)*VLOOKUP('Données projet'!$B$11,Paramètres!$A$1:$I$89,5,0)</f>
        <v>13.200826008366192</v>
      </c>
      <c r="BF22" s="14">
        <f t="shared" si="37"/>
        <v>4.5052116964418483</v>
      </c>
      <c r="BG22" s="22">
        <f t="shared" si="7"/>
        <v>30.838015669207337</v>
      </c>
      <c r="BH22" s="62">
        <f t="shared" si="8"/>
        <v>210.8069766963809</v>
      </c>
      <c r="BI22" s="62">
        <f ca="1">AVERAGE(OFFSET($BH$3,0,0,'Données projet'!$E$11+1,1))-AVERAGE(OFFSET($H$3,0,0,'Données projet'!$E$11+1,1))</f>
        <v>374.62597460242665</v>
      </c>
      <c r="BJ22" s="62">
        <f t="shared" si="38"/>
        <v>277.50105097454616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2.1666666666666665</v>
      </c>
      <c r="BY22" s="13">
        <f>IF('Données projet'!$A$114&gt;35,BY21+BX22-CG21,IF(A22&lt;'Données projet'!$A$114,$BV$205^A22,IF(A22='Données projet'!$A$114,'Données projet'!$B$114,BY21+BX22-CG21)))</f>
        <v>14.066254124016478</v>
      </c>
      <c r="BZ22" s="14">
        <f>BY22*VLOOKUP('Données projet'!$B$12,Paramètres!$A$1:$I$89,3,0)*VLOOKUP('Données projet'!$B$12,Paramètres!$A$1:$I$89,5,0)</f>
        <v>6.583006930039712</v>
      </c>
      <c r="CA22" s="14">
        <f t="shared" si="39"/>
        <v>2.4361935397202688</v>
      </c>
      <c r="CB22" s="22">
        <f t="shared" si="10"/>
        <v>15.708440818165299</v>
      </c>
      <c r="CC22" s="62">
        <f t="shared" si="11"/>
        <v>195.67740184533886</v>
      </c>
      <c r="CD22" s="62">
        <f ca="1">AVERAGE(OFFSET($CC$3,0,0,'Données projet'!$E$12+1,1))-AVERAGE(OFFSET($H$3,0,0,'Données projet'!$E$12+1,1))</f>
        <v>329.79342219561465</v>
      </c>
      <c r="CE22" s="62">
        <f t="shared" si="40"/>
        <v>144.63206563329757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4.9000000000000004</v>
      </c>
      <c r="CT22" s="13">
        <f>IF('Données projet'!$A$140&gt;35,CT21+CS22-DB21,IF(A22&lt;'Données projet'!$A$140,$CQ$205^A22,IF(A22='Données projet'!$A$140,'Données projet'!$B$140,CT21+CS22-DB21)))</f>
        <v>77.922839877533264</v>
      </c>
      <c r="CU22" s="18">
        <f>CT22*VLOOKUP('Données projet'!$B$13,Paramètres!$A$1:$I$89,3,0)*VLOOKUP('Données projet'!$B$13,Paramètres!$A$1:$I$89,5,0)</f>
        <v>46.597858246764893</v>
      </c>
      <c r="CV22" s="14">
        <f t="shared" si="41"/>
        <v>13.731570895881042</v>
      </c>
      <c r="CW22" s="22">
        <f t="shared" si="13"/>
        <v>105.07375575677501</v>
      </c>
      <c r="CX22" s="62">
        <f t="shared" si="14"/>
        <v>285.04271678394861</v>
      </c>
      <c r="CY22" s="62">
        <f ca="1">AVERAGE(OFFSET($CX$3,0,0,'Données projet'!$E$13+1,1))-AVERAGE(OFFSET($H$3,0,0,'Données projet'!$E$13+1,1))</f>
        <v>530.27599556821826</v>
      </c>
      <c r="CZ22" s="62">
        <f t="shared" si="42"/>
        <v>370.62231794492129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29.067240469442044</v>
      </c>
      <c r="DQ22" s="14">
        <f t="shared" si="43"/>
        <v>9.0493141601842488</v>
      </c>
      <c r="DR22" s="22">
        <f t="shared" si="16"/>
        <v>66.386332646599115</v>
      </c>
      <c r="DS22" s="62">
        <f t="shared" si="17"/>
        <v>246.35529367377268</v>
      </c>
      <c r="DT22" s="62">
        <f ca="1">AVERAGE(OFFSET($DS$3,0,0,'Données projet'!$E$14+1,1))-AVERAGE(OFFSET($H$3,0,0,'Données projet'!$E$14+1,1))</f>
        <v>520.23742527061836</v>
      </c>
      <c r="DU22" s="62">
        <f t="shared" si="44"/>
        <v>321.35925479331274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6.6</v>
      </c>
      <c r="EJ22" s="13">
        <f>IF('Données projet'!$A$192&gt;35,EJ21+EI22-ER21,IF(A22&lt;'Données projet'!$A$192,$EG$205^A22,IF(A22='Données projet'!$A$192,'Données projet'!$B$192,EJ21+EI22-ER21)))</f>
        <v>103.40587994435182</v>
      </c>
      <c r="EK22" s="18">
        <f>EJ22*VLOOKUP('Données projet'!$B$15,Paramètres!$A$1:$I$89,3,0)*VLOOKUP('Données projet'!$B$15,Paramètres!$A$1:$I$89,5,0)</f>
        <v>108.07982571783653</v>
      </c>
      <c r="EL22" s="14">
        <f t="shared" si="45"/>
        <v>28.878113898805527</v>
      </c>
      <c r="EM22" s="22">
        <f t="shared" si="19"/>
        <v>238.53507816565158</v>
      </c>
      <c r="EN22" s="62">
        <f t="shared" si="20"/>
        <v>418.50403919282519</v>
      </c>
      <c r="EO22" s="62">
        <f ca="1">AVERAGE(OFFSET($EN$3,0,0,'Données projet'!$E$15+1,1))-AVERAGE(OFFSET($H$3,0,0,'Données projet'!$E$15+1,1))</f>
        <v>435.44444011810265</v>
      </c>
      <c r="EP22" s="62">
        <f t="shared" si="46"/>
        <v>447.15868732689762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3.65</v>
      </c>
      <c r="FE22" s="13">
        <f>IF('Données projet'!$A$218&gt;35,FE21+FD22-FM21,IF(A22&lt;'Données projet'!$A$218,$FB$205^A22,IF(A22='Données projet'!$A$218,'Données projet'!$B$218,FE21+FD22-FM21)))</f>
        <v>58.90561805764559</v>
      </c>
      <c r="FF22" s="18">
        <f>FE22*VLOOKUP('Données projet'!$B$16,Paramètres!$A$1:$I$89,3,0)*VLOOKUP('Données projet'!$B$16,Paramètres!$A$1:$I$89,5,0)</f>
        <v>59.730296710452635</v>
      </c>
      <c r="FG22" s="14">
        <f t="shared" si="47"/>
        <v>17.100061689857345</v>
      </c>
      <c r="FH22" s="22">
        <f t="shared" si="22"/>
        <v>133.81287421387319</v>
      </c>
      <c r="FI22" s="62">
        <f t="shared" si="23"/>
        <v>313.78183524104679</v>
      </c>
      <c r="FJ22" s="62">
        <f ca="1">AVERAGE(OFFSET($FI$3,0,0,'Données projet'!$E$16+1,1))-AVERAGE(OFFSET($H$3,0,0,'Données projet'!$E$16+1,1))</f>
        <v>547.89540791313675</v>
      </c>
      <c r="FK22" s="62">
        <f t="shared" si="48"/>
        <v>345.19555189302378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5.5909090909090908</v>
      </c>
      <c r="FZ22" s="13">
        <f>IF('Données projet'!$A$244&gt;35,FZ21+FY22-GH21,IF(A22&lt;'Données projet'!$A$244,$FW$205^A22,IF(A22='Données projet'!$A$244,'Données projet'!$B$244,FZ21+FY22-GH21)))</f>
        <v>63.814306040343304</v>
      </c>
      <c r="GA22" s="18">
        <f>FZ22*VLOOKUP('Données projet'!$B$17,Paramètres!$A$1:$I$89,3,0)*VLOOKUP('Données projet'!$B$17,Paramètres!$A$1:$I$89,5,0)</f>
        <v>38.160955012125299</v>
      </c>
      <c r="GB22" s="14">
        <f t="shared" si="49"/>
        <v>11.509880661066306</v>
      </c>
      <c r="GC22" s="22">
        <f t="shared" si="25"/>
        <v>86.510038797475374</v>
      </c>
      <c r="GD22" s="62">
        <f t="shared" si="26"/>
        <v>266.47899982464895</v>
      </c>
      <c r="GE22" s="62">
        <f ca="1">AVERAGE(OFFSET($GD$3,0,0,'Données projet'!$E$17+1,1))-AVERAGE(OFFSET($H$3,0,0,'Données projet'!$E$17+1,1))</f>
        <v>409.68685886029164</v>
      </c>
      <c r="GF22" s="62">
        <f t="shared" si="50"/>
        <v>330.8416508650887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257</v>
      </c>
      <c r="L23" s="13">
        <f>VLOOKUP(A23,'Données projet'!$A$35:$I$55,9,0)</f>
        <v>12.85</v>
      </c>
      <c r="M23" s="13">
        <f t="array" ref="M23">INDEX(L:L,MIN(IF(ISNUMBER(L23:L219),ROW(L23:L219),"")))</f>
        <v>12.85</v>
      </c>
      <c r="N23" s="14">
        <f>IF('Données projet'!$A$36&gt;35,N22+M23-V22,IF(A23&lt;'Données projet'!$A$36,$K$205^A23,IF(A23='Données projet'!$A$36,'Données projet'!$B$36,N22+M23-V22)))</f>
        <v>257</v>
      </c>
      <c r="O23" s="14">
        <f>N23*VLOOKUP('Données projet'!$B$9,Paramètres!$A$1:$I$89,3,0)*VLOOKUP('Données projet'!$B$9,Paramètres!$A$1:$I$89,5,0)</f>
        <v>130.69991999999999</v>
      </c>
      <c r="P23" s="14">
        <f t="shared" si="33"/>
        <v>34.15803971723885</v>
      </c>
      <c r="Q23" s="22">
        <f t="shared" si="2"/>
        <v>287.12761317419091</v>
      </c>
      <c r="R23" s="62">
        <f t="shared" si="0"/>
        <v>470.05218378449462</v>
      </c>
      <c r="S23" s="62">
        <f ca="1">AVERAGE(OFFSET($R$3,0,0,'Données projet'!$E$9+1,1))-AVERAGE(OFFSET($H$3,0,0,'Données projet'!$E$9+1,1))</f>
        <v>73.098184695482075</v>
      </c>
      <c r="T23" s="62">
        <f t="shared" si="34"/>
        <v>334.38551711782793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257</v>
      </c>
      <c r="W23" s="17">
        <f>IF(ISNA(VLOOKUP(A23,'Données projet'!$A$35:$I$55,5,0)),0%,VLOOKUP(A23,'Données projet'!$A$35:$I$55,5,0)*VLOOKUP('Données projet'!$B$9,Paramètres!$A$1:$I$89,7,0))</f>
        <v>0.46199999999999997</v>
      </c>
      <c r="X23" s="78">
        <f>IF(ISNA(VLOOKUP(A23,'Données projet'!$A$35:$I$55,6,0)),0%,VLOOKUP(A23,'Données projet'!$A$35:$I$55,6,0)*VLOOKUP('Données projet'!$B$9,Paramètres!$A$1:$I$89,7,0))</f>
        <v>0.126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66.752019257304724</v>
      </c>
      <c r="AA23" s="23">
        <f>EXP(-LN(2)/25)*AA22+(1-EXP(-LN(2)/25))/(LN(2)/25)*Calculateur!V23*Calculateur!X23*VLOOKUP('Données projet'!$B$9,Paramètres!$A$1:$I$89,3,0)*0.475*44/12</f>
        <v>18.133415760811456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84.885435018116183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257</v>
      </c>
      <c r="AG23" s="13">
        <f>VLOOKUP(A23,'Données projet'!$A$61:$I$81,9,0)</f>
        <v>12.85</v>
      </c>
      <c r="AH23" s="13">
        <f t="array" ref="AH23">INDEX(AG:AG,MIN(IF(ISNUMBER(AG23:AG219),ROW(AG23:AG219),"")))</f>
        <v>12.85</v>
      </c>
      <c r="AI23" s="14">
        <f>IF('Données projet'!$A$62&gt;35,AI22+AH23-AQ22,IF(A23&lt;'Données projet'!$A$62,$AF$205^A23,IF(A23='Données projet'!$A$62,'Données projet'!$B$62,AI22+AH23-AQ22)))</f>
        <v>257</v>
      </c>
      <c r="AJ23" s="14">
        <f>AI23*VLOOKUP('Données projet'!$B$10,Paramètres!$A$1:$I$89,3,0)*VLOOKUP('Données projet'!$B$10,Paramètres!$A$1:$I$89,5,0)</f>
        <v>124.68612000000002</v>
      </c>
      <c r="AK23" s="14">
        <f t="shared" si="35"/>
        <v>32.765511153764251</v>
      </c>
      <c r="AL23" s="22">
        <f t="shared" si="4"/>
        <v>274.22825759280607</v>
      </c>
      <c r="AM23" s="62">
        <f t="shared" si="5"/>
        <v>457.15282820310978</v>
      </c>
      <c r="AN23" s="62">
        <f ca="1">AVERAGE(OFFSET($AM$3,0,0,'Données projet'!$E$10+1,1))-AVERAGE(OFFSET($H$3,0,0,'Données projet'!$E$10+1,1))</f>
        <v>70.520400819593021</v>
      </c>
      <c r="AO23" s="62">
        <f t="shared" si="36"/>
        <v>321.48616153644309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257</v>
      </c>
      <c r="AR23" s="17">
        <f>IF(ISNA(VLOOKUP(A23,'Données projet'!$A$61:$I$81,5,0)),0%,VLOOKUP(A23,'Données projet'!$A$61:$I$81,5,0)*VLOOKUP('Données projet'!$B$10,Paramètres!$A$1:$I$89,7,0))</f>
        <v>0.46199999999999997</v>
      </c>
      <c r="AS23" s="17">
        <f>IF(ISNA(VLOOKUP(A23,'Données projet'!$A$61:$I$81,6,0)),0%,VLOOKUP(A23,'Données projet'!$A$61:$I$81,6,0)*VLOOKUP('Données projet'!$B$10,Paramètres!$A$1:$I$89,7,0))</f>
        <v>0.126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63.680607328287614</v>
      </c>
      <c r="AV23" s="23">
        <f>EXP(-LN(2)/25)*AV22+(1-EXP(-LN(2)/25))/(LN(2)/25)*Calculateur!AQ23*Calculateur!AS23*VLOOKUP('Données projet'!$B$10,Paramètres!$A$1:$I$89,3,0)*0.475*44/12</f>
        <v>17.299056139915219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80.97966346820283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6.5</v>
      </c>
      <c r="BD23" s="13">
        <f>IF('Données projet'!$A$88&gt;35,BD22+BC23-BL22,IF(A23&lt;'Données projet'!$A$88,$BA$205^A23,IF(A23='Données projet'!$A$88,'Données projet'!$B$88,BD22+BC23-BL22)))</f>
        <v>33.627125204833582</v>
      </c>
      <c r="BE23" s="14">
        <f>BD23*VLOOKUP('Données projet'!$B$11,Paramètres!$A$1:$I$89,3,0)*VLOOKUP('Données projet'!$B$11,Paramètres!$A$1:$I$89,5,0)</f>
        <v>15.737494595862117</v>
      </c>
      <c r="BF23" s="14">
        <f t="shared" si="37"/>
        <v>5.2621637162274721</v>
      </c>
      <c r="BG23" s="22">
        <f t="shared" si="7"/>
        <v>36.574404893556029</v>
      </c>
      <c r="BH23" s="62">
        <f t="shared" si="8"/>
        <v>219.49897550385973</v>
      </c>
      <c r="BI23" s="62">
        <f ca="1">AVERAGE(OFFSET($BH$3,0,0,'Données projet'!$E$11+1,1))-AVERAGE(OFFSET($H$3,0,0,'Données projet'!$E$11+1,1))</f>
        <v>374.62597460242665</v>
      </c>
      <c r="BJ23" s="62">
        <f t="shared" si="38"/>
        <v>277.50105097454616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2.1666666666666665</v>
      </c>
      <c r="BY23" s="13">
        <f>IF('Données projet'!$A$114&gt;35,BY22+BX23-CG22,IF(A23&lt;'Données projet'!$A$114,$BV$205^A23,IF(A23='Données projet'!$A$114,'Données projet'!$B$114,BY22+BX23-CG22)))</f>
        <v>16.166235625781578</v>
      </c>
      <c r="BZ23" s="14">
        <f>BY23*VLOOKUP('Données projet'!$B$12,Paramètres!$A$1:$I$89,3,0)*VLOOKUP('Données projet'!$B$12,Paramètres!$A$1:$I$89,5,0)</f>
        <v>7.565798272865778</v>
      </c>
      <c r="CA23" s="14">
        <f t="shared" si="39"/>
        <v>2.7549145236285377</v>
      </c>
      <c r="CB23" s="22">
        <f t="shared" si="10"/>
        <v>17.975241453894267</v>
      </c>
      <c r="CC23" s="62">
        <f t="shared" si="11"/>
        <v>200.89981206419796</v>
      </c>
      <c r="CD23" s="62">
        <f ca="1">AVERAGE(OFFSET($CC$3,0,0,'Données projet'!$E$12+1,1))-AVERAGE(OFFSET($H$3,0,0,'Données projet'!$E$12+1,1))</f>
        <v>329.79342219561465</v>
      </c>
      <c r="CE23" s="62">
        <f t="shared" si="40"/>
        <v>144.63206563329757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98</v>
      </c>
      <c r="CR23" s="13">
        <f>VLOOKUP(A23,'Données projet'!$A$139:$I$159,9,0)</f>
        <v>4.9000000000000004</v>
      </c>
      <c r="CS23" s="13">
        <f t="array" ref="CS23">INDEX(CR:CR,MIN(IF(ISNUMBER(CR23:CR219),ROW(CR23:CR219),"")))</f>
        <v>4.9000000000000004</v>
      </c>
      <c r="CT23" s="13">
        <f>IF('Données projet'!$A$140&gt;35,CT22+CS23-DB22,IF(A23&lt;'Données projet'!$A$140,$CQ$205^A23,IF(A23='Données projet'!$A$140,'Données projet'!$B$140,CT22+CS23-DB22)))</f>
        <v>98</v>
      </c>
      <c r="CU23" s="18">
        <f>CT23*VLOOKUP('Données projet'!$B$13,Paramètres!$A$1:$I$89,3,0)*VLOOKUP('Données projet'!$B$13,Paramètres!$A$1:$I$89,5,0)</f>
        <v>58.604000000000006</v>
      </c>
      <c r="CV23" s="14">
        <f t="shared" si="41"/>
        <v>16.814834282992791</v>
      </c>
      <c r="CW23" s="22">
        <f t="shared" si="13"/>
        <v>131.35446970954578</v>
      </c>
      <c r="CX23" s="62">
        <f t="shared" si="14"/>
        <v>314.27904031984951</v>
      </c>
      <c r="CY23" s="62">
        <f ca="1">AVERAGE(OFFSET($CX$3,0,0,'Données projet'!$E$13+1,1))-AVERAGE(OFFSET($H$3,0,0,'Données projet'!$E$13+1,1))</f>
        <v>530.27599556821826</v>
      </c>
      <c r="CZ23" s="62">
        <f t="shared" si="42"/>
        <v>370.62231794492129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7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1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4.7395243974457868</v>
      </c>
      <c r="DI23" s="24">
        <f t="shared" si="15"/>
        <v>4.7395243974457868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34.47102024182032</v>
      </c>
      <c r="DQ23" s="14">
        <f t="shared" si="43"/>
        <v>10.52074612273822</v>
      </c>
      <c r="DR23" s="22">
        <f t="shared" si="16"/>
        <v>78.360659751606121</v>
      </c>
      <c r="DS23" s="62">
        <f t="shared" si="17"/>
        <v>261.28523036190984</v>
      </c>
      <c r="DT23" s="62">
        <f ca="1">AVERAGE(OFFSET($DS$3,0,0,'Données projet'!$E$14+1,1))-AVERAGE(OFFSET($H$3,0,0,'Données projet'!$E$14+1,1))</f>
        <v>520.23742527061836</v>
      </c>
      <c r="DU23" s="62">
        <f t="shared" si="44"/>
        <v>321.35925479331274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132</v>
      </c>
      <c r="EH23" s="13">
        <f>VLOOKUP(A23,'Données projet'!$A$191:$I$211,9,0)</f>
        <v>6.6</v>
      </c>
      <c r="EI23" s="13">
        <f t="array" ref="EI23">INDEX(EH:EH,MIN(IF(ISNUMBER(EH23:EH219),ROW(EH23:EH219),"")))</f>
        <v>6.6</v>
      </c>
      <c r="EJ23" s="13">
        <f>IF('Données projet'!$A$192&gt;35,EJ22+EI23-ER22,IF(A23&lt;'Données projet'!$A$192,$EG$205^A23,IF(A23='Données projet'!$A$192,'Données projet'!$B$192,EJ22+EI23-ER22)))</f>
        <v>132</v>
      </c>
      <c r="EK23" s="18">
        <f>EJ23*VLOOKUP('Données projet'!$B$15,Paramètres!$A$1:$I$89,3,0)*VLOOKUP('Données projet'!$B$15,Paramètres!$A$1:$I$89,5,0)</f>
        <v>137.96640000000002</v>
      </c>
      <c r="EL23" s="14">
        <f t="shared" si="45"/>
        <v>35.83074030209302</v>
      </c>
      <c r="EM23" s="22">
        <f t="shared" si="19"/>
        <v>302.69668602614541</v>
      </c>
      <c r="EN23" s="62">
        <f t="shared" si="20"/>
        <v>485.62125663644912</v>
      </c>
      <c r="EO23" s="62">
        <f ca="1">AVERAGE(OFFSET($EN$3,0,0,'Données projet'!$E$15+1,1))-AVERAGE(OFFSET($H$3,0,0,'Données projet'!$E$15+1,1))</f>
        <v>435.44444011810265</v>
      </c>
      <c r="EP23" s="62">
        <f t="shared" si="46"/>
        <v>447.15868732689762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50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73</v>
      </c>
      <c r="FC23" s="13">
        <f>VLOOKUP(A23,'Données projet'!$A$217:$I$237,9,0)</f>
        <v>3.65</v>
      </c>
      <c r="FD23" s="13">
        <f t="array" ref="FD23">INDEX(FC:FC,MIN(IF(ISNUMBER(FC23:FC219),ROW(FC23:FC219),"")))</f>
        <v>3.65</v>
      </c>
      <c r="FE23" s="13">
        <f>IF('Données projet'!$A$218&gt;35,FE22+FD23-FM22,IF(A23&lt;'Données projet'!$A$218,$FB$205^A23,IF(A23='Données projet'!$A$218,'Données projet'!$B$218,FE22+FD23-FM22)))</f>
        <v>73</v>
      </c>
      <c r="FF23" s="18">
        <f>FE23*VLOOKUP('Données projet'!$B$16,Paramètres!$A$1:$I$89,3,0)*VLOOKUP('Données projet'!$B$16,Paramètres!$A$1:$I$89,5,0)</f>
        <v>74.022000000000006</v>
      </c>
      <c r="FG23" s="14">
        <f t="shared" si="47"/>
        <v>20.668991235856851</v>
      </c>
      <c r="FH23" s="22">
        <f t="shared" si="22"/>
        <v>164.92014306911736</v>
      </c>
      <c r="FI23" s="62">
        <f t="shared" si="23"/>
        <v>347.84471367942103</v>
      </c>
      <c r="FJ23" s="62">
        <f ca="1">AVERAGE(OFFSET($FI$3,0,0,'Données projet'!$E$16+1,1))-AVERAGE(OFFSET($H$3,0,0,'Données projet'!$E$16+1,1))</f>
        <v>547.89540791313675</v>
      </c>
      <c r="FK23" s="62">
        <f t="shared" si="48"/>
        <v>345.19555189302378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6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5.5909090909090908</v>
      </c>
      <c r="FZ23" s="13">
        <f>IF('Données projet'!$A$244&gt;35,FZ22+FY23-GH22,IF(A23&lt;'Données projet'!$A$244,$FW$205^A23,IF(A23='Données projet'!$A$244,'Données projet'!$B$244,FZ22+FY23-GH22)))</f>
        <v>79.417047587426694</v>
      </c>
      <c r="GA23" s="18">
        <f>FZ23*VLOOKUP('Données projet'!$B$17,Paramètres!$A$1:$I$89,3,0)*VLOOKUP('Données projet'!$B$17,Paramètres!$A$1:$I$89,5,0)</f>
        <v>47.49139445728116</v>
      </c>
      <c r="GB23" s="14">
        <f t="shared" si="49"/>
        <v>13.96397329692701</v>
      </c>
      <c r="GC23" s="22">
        <f t="shared" si="25"/>
        <v>107.03476550524589</v>
      </c>
      <c r="GD23" s="62">
        <f t="shared" si="26"/>
        <v>289.9593361155496</v>
      </c>
      <c r="GE23" s="62">
        <f ca="1">AVERAGE(OFFSET($GD$3,0,0,'Données projet'!$E$17+1,1))-AVERAGE(OFFSET($H$3,0,0,'Données projet'!$E$17+1,1))</f>
        <v>409.68685886029164</v>
      </c>
      <c r="GF23" s="62">
        <f t="shared" si="50"/>
        <v>330.8416508650887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73.098184695482075</v>
      </c>
      <c r="T24" s="62">
        <f t="shared" si="34"/>
        <v>334.38551711782793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65.443052874380484</v>
      </c>
      <c r="AA24" s="23">
        <f>EXP(-LN(2)/25)*AA23+(1-EXP(-LN(2)/25))/(LN(2)/25)*Calculateur!V24*Calculateur!X24*VLOOKUP('Données projet'!$B$9,Paramètres!$A$1:$I$89,3,0)*0.475*44/12</f>
        <v>17.637556553237175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83.080609427617659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70.520400819593021</v>
      </c>
      <c r="AO24" s="62">
        <f t="shared" si="36"/>
        <v>321.48616153644309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62.431869459915099</v>
      </c>
      <c r="AV24" s="23">
        <f>EXP(-LN(2)/25)*AV23+(1-EXP(-LN(2)/25))/(LN(2)/25)*Calculateur!AQ24*Calculateur!AS24*VLOOKUP('Données projet'!$B$10,Paramètres!$A$1:$I$89,3,0)*0.475*44/12</f>
        <v>16.826012540051412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79.257881999966514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40.088908137267765</v>
      </c>
      <c r="BE24" s="14">
        <f>BD24*VLOOKUP('Données projet'!$B$11,Paramètres!$A$1:$I$89,3,0)*VLOOKUP('Données projet'!$B$11,Paramètres!$A$1:$I$89,5,0)</f>
        <v>18.761609008241315</v>
      </c>
      <c r="BF24" s="14">
        <f t="shared" si="37"/>
        <v>6.1462965210381464</v>
      </c>
      <c r="BG24" s="22">
        <f t="shared" si="7"/>
        <v>43.381268796828387</v>
      </c>
      <c r="BH24" s="62">
        <f t="shared" si="8"/>
        <v>229.23137859482409</v>
      </c>
      <c r="BI24" s="62">
        <f ca="1">AVERAGE(OFFSET($BH$3,0,0,'Données projet'!$E$11+1,1))-AVERAGE(OFFSET($H$3,0,0,'Données projet'!$E$11+1,1))</f>
        <v>374.62597460242665</v>
      </c>
      <c r="BJ24" s="62">
        <f t="shared" si="38"/>
        <v>277.50105097454616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2.1666666666666665</v>
      </c>
      <c r="BY24" s="13">
        <f>IF('Données projet'!$A$114&gt;35,BY23+BX24-CG23,IF(A24&lt;'Données projet'!$A$114,$BV$205^A24,IF(A24='Données projet'!$A$114,'Données projet'!$B$114,BY23+BX24-CG23)))</f>
        <v>18.57972790794884</v>
      </c>
      <c r="BZ24" s="14">
        <f>BY24*VLOOKUP('Données projet'!$B$12,Paramètres!$A$1:$I$89,3,0)*VLOOKUP('Données projet'!$B$12,Paramètres!$A$1:$I$89,5,0)</f>
        <v>8.6953126609200577</v>
      </c>
      <c r="CA24" s="14">
        <f t="shared" si="39"/>
        <v>3.1153329605212354</v>
      </c>
      <c r="CB24" s="22">
        <f t="shared" si="10"/>
        <v>20.570207790676918</v>
      </c>
      <c r="CC24" s="62">
        <f t="shared" si="11"/>
        <v>206.42031758867262</v>
      </c>
      <c r="CD24" s="62">
        <f ca="1">AVERAGE(OFFSET($CC$3,0,0,'Données projet'!$E$12+1,1))-AVERAGE(OFFSET($H$3,0,0,'Données projet'!$E$12+1,1))</f>
        <v>329.79342219561465</v>
      </c>
      <c r="CE24" s="62">
        <f t="shared" si="40"/>
        <v>144.63206563329757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13.4</v>
      </c>
      <c r="CT24" s="13">
        <f>IF('Données projet'!$A$140&gt;35,CT23+CS24-DB23,IF(A24&lt;'Données projet'!$A$140,$CQ$205^A24,IF(A24='Données projet'!$A$140,'Données projet'!$B$140,CT23+CS24-DB23)))</f>
        <v>104.4</v>
      </c>
      <c r="CU24" s="18">
        <f>CT24*VLOOKUP('Données projet'!$B$13,Paramètres!$A$1:$I$89,3,0)*VLOOKUP('Données projet'!$B$13,Paramètres!$A$1:$I$89,5,0)</f>
        <v>62.431200000000011</v>
      </c>
      <c r="CV24" s="14">
        <f t="shared" si="41"/>
        <v>17.781524466058684</v>
      </c>
      <c r="CW24" s="22">
        <f t="shared" si="13"/>
        <v>139.70382844505221</v>
      </c>
      <c r="CX24" s="62">
        <f t="shared" si="14"/>
        <v>325.55393824304792</v>
      </c>
      <c r="CY24" s="62">
        <f ca="1">AVERAGE(OFFSET($CX$3,0,0,'Données projet'!$E$13+1,1))-AVERAGE(OFFSET($H$3,0,0,'Données projet'!$E$13+1,1))</f>
        <v>530.27599556821826</v>
      </c>
      <c r="CZ24" s="62">
        <f t="shared" si="42"/>
        <v>370.62231794492129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3.3513498410330018</v>
      </c>
      <c r="DI24" s="24">
        <f t="shared" si="15"/>
        <v>3.3513498410330018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40.879396094072867</v>
      </c>
      <c r="DQ24" s="14">
        <f t="shared" si="43"/>
        <v>12.231435114289109</v>
      </c>
      <c r="DR24" s="22">
        <f t="shared" si="16"/>
        <v>92.501364354563762</v>
      </c>
      <c r="DS24" s="62">
        <f t="shared" si="17"/>
        <v>278.35147415255949</v>
      </c>
      <c r="DT24" s="62">
        <f ca="1">AVERAGE(OFFSET($DS$3,0,0,'Données projet'!$E$14+1,1))-AVERAGE(OFFSET($H$3,0,0,'Données projet'!$E$14+1,1))</f>
        <v>520.23742527061836</v>
      </c>
      <c r="DU24" s="62">
        <f t="shared" si="44"/>
        <v>321.35925479331274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12.2</v>
      </c>
      <c r="EJ24" s="13">
        <f>IF('Données projet'!$A$192&gt;35,EJ23+EI24-ER23,IF(A24&lt;'Données projet'!$A$192,$EG$205^A24,IF(A24='Données projet'!$A$192,'Données projet'!$B$192,EJ23+EI24-ER23)))</f>
        <v>94.199999999999989</v>
      </c>
      <c r="EK24" s="18">
        <f>EJ24*VLOOKUP('Données projet'!$B$15,Paramètres!$A$1:$I$89,3,0)*VLOOKUP('Données projet'!$B$15,Paramètres!$A$1:$I$89,5,0)</f>
        <v>98.457840000000004</v>
      </c>
      <c r="EL24" s="14">
        <f t="shared" si="45"/>
        <v>26.59426753254488</v>
      </c>
      <c r="EM24" s="22">
        <f t="shared" si="19"/>
        <v>217.79908728584903</v>
      </c>
      <c r="EN24" s="62">
        <f t="shared" si="20"/>
        <v>403.64919708384474</v>
      </c>
      <c r="EO24" s="62">
        <f ca="1">AVERAGE(OFFSET($EN$3,0,0,'Données projet'!$E$15+1,1))-AVERAGE(OFFSET($H$3,0,0,'Données projet'!$E$15+1,1))</f>
        <v>435.44444011810265</v>
      </c>
      <c r="EP24" s="62">
        <f t="shared" si="46"/>
        <v>447.15868732689762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7.2</v>
      </c>
      <c r="FE24" s="13">
        <f>IF('Données projet'!$A$218&gt;35,FE23+FD24-FM23,IF(A24&lt;'Données projet'!$A$218,$FB$205^A24,IF(A24='Données projet'!$A$218,'Données projet'!$B$218,FE23+FD24-FM23)))</f>
        <v>74.2</v>
      </c>
      <c r="FF24" s="18">
        <f>FE24*VLOOKUP('Données projet'!$B$16,Paramètres!$A$1:$I$89,3,0)*VLOOKUP('Données projet'!$B$16,Paramètres!$A$1:$I$89,5,0)</f>
        <v>75.238800000000012</v>
      </c>
      <c r="FG24" s="14">
        <f t="shared" si="47"/>
        <v>20.96892143970209</v>
      </c>
      <c r="FH24" s="22">
        <f t="shared" si="22"/>
        <v>167.56178150748116</v>
      </c>
      <c r="FI24" s="62">
        <f t="shared" si="23"/>
        <v>353.41189130547684</v>
      </c>
      <c r="FJ24" s="62">
        <f ca="1">AVERAGE(OFFSET($FI$3,0,0,'Données projet'!$E$16+1,1))-AVERAGE(OFFSET($H$3,0,0,'Données projet'!$E$16+1,1))</f>
        <v>547.89540791313675</v>
      </c>
      <c r="FK24" s="62">
        <f t="shared" si="48"/>
        <v>345.19555189302378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5.5909090909090908</v>
      </c>
      <c r="FZ24" s="13">
        <f>IF('Données projet'!$A$244&gt;35,FZ23+FY24-GH23,IF(A24&lt;'Données projet'!$A$244,$FW$205^A24,IF(A24='Données projet'!$A$244,'Données projet'!$B$244,FZ23+FY24-GH23)))</f>
        <v>98.834694582689295</v>
      </c>
      <c r="GA24" s="18">
        <f>FZ24*VLOOKUP('Données projet'!$B$17,Paramètres!$A$1:$I$89,3,0)*VLOOKUP('Données projet'!$B$17,Paramètres!$A$1:$I$89,5,0)</f>
        <v>59.103147360448204</v>
      </c>
      <c r="GB24" s="14">
        <f t="shared" si="49"/>
        <v>16.94131815778756</v>
      </c>
      <c r="GC24" s="22">
        <f t="shared" si="25"/>
        <v>132.44411077759398</v>
      </c>
      <c r="GD24" s="62">
        <f t="shared" si="26"/>
        <v>318.29422057558969</v>
      </c>
      <c r="GE24" s="62">
        <f ca="1">AVERAGE(OFFSET($GD$3,0,0,'Données projet'!$E$17+1,1))-AVERAGE(OFFSET($H$3,0,0,'Données projet'!$E$17+1,1))</f>
        <v>409.68685886029164</v>
      </c>
      <c r="GF24" s="62">
        <f t="shared" si="50"/>
        <v>330.8416508650887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73.098184695482075</v>
      </c>
      <c r="T25" s="62">
        <f t="shared" si="34"/>
        <v>334.38551711782793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64.159754523834721</v>
      </c>
      <c r="AA25" s="23">
        <f>EXP(-LN(2)/25)*AA24+(1-EXP(-LN(2)/25))/(LN(2)/25)*Calculateur!V25*Calculateur!X25*VLOOKUP('Données projet'!$B$9,Paramètres!$A$1:$I$89,3,0)*0.475*44/12</f>
        <v>17.155256641770116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81.31501116560483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70.520400819593021</v>
      </c>
      <c r="AO25" s="62">
        <f t="shared" si="36"/>
        <v>321.48616153644309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61.207618579486478</v>
      </c>
      <c r="AV25" s="23">
        <f>EXP(-LN(2)/25)*AV24+(1-EXP(-LN(2)/25))/(LN(2)/25)*Calculateur!AQ25*Calculateur!AS25*VLOOKUP('Données projet'!$B$10,Paramètres!$A$1:$I$89,3,0)*0.475*44/12</f>
        <v>16.365904342302162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77.573522921788637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47.792386231317963</v>
      </c>
      <c r="BE25" s="14">
        <f>BD25*VLOOKUP('Données projet'!$B$11,Paramètres!$A$1:$I$89,3,0)*VLOOKUP('Données projet'!$B$11,Paramètres!$A$1:$I$89,5,0)</f>
        <v>22.366836756256806</v>
      </c>
      <c r="BF25" s="14">
        <f t="shared" si="37"/>
        <v>7.178978641053865</v>
      </c>
      <c r="BG25" s="22">
        <f t="shared" si="7"/>
        <v>51.458961816982743</v>
      </c>
      <c r="BH25" s="62">
        <f t="shared" si="8"/>
        <v>240.20506206136574</v>
      </c>
      <c r="BI25" s="62">
        <f ca="1">AVERAGE(OFFSET($BH$3,0,0,'Données projet'!$E$11+1,1))-AVERAGE(OFFSET($H$3,0,0,'Données projet'!$E$11+1,1))</f>
        <v>374.62597460242665</v>
      </c>
      <c r="BJ25" s="62">
        <f t="shared" si="38"/>
        <v>277.50105097454616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2.1666666666666665</v>
      </c>
      <c r="BY25" s="13">
        <f>IF('Données projet'!$A$114&gt;35,BY24+BX25-CG24,IF(A25&lt;'Données projet'!$A$114,$BV$205^A25,IF(A25='Données projet'!$A$114,'Données projet'!$B$114,BY24+BX25-CG24)))</f>
        <v>21.353535673010061</v>
      </c>
      <c r="BZ25" s="14">
        <f>BY25*VLOOKUP('Données projet'!$B$12,Paramètres!$A$1:$I$89,3,0)*VLOOKUP('Données projet'!$B$12,Paramètres!$A$1:$I$89,5,0)</f>
        <v>9.9934546949687082</v>
      </c>
      <c r="CA25" s="14">
        <f t="shared" si="39"/>
        <v>3.5229040217650818</v>
      </c>
      <c r="CB25" s="22">
        <f t="shared" si="10"/>
        <v>23.540991431644684</v>
      </c>
      <c r="CC25" s="62">
        <f t="shared" si="11"/>
        <v>212.28709167602767</v>
      </c>
      <c r="CD25" s="62">
        <f ca="1">AVERAGE(OFFSET($CC$3,0,0,'Données projet'!$E$12+1,1))-AVERAGE(OFFSET($H$3,0,0,'Données projet'!$E$12+1,1))</f>
        <v>329.79342219561465</v>
      </c>
      <c r="CE25" s="62">
        <f t="shared" si="40"/>
        <v>144.63206563329757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13.4</v>
      </c>
      <c r="CT25" s="13">
        <f>IF('Données projet'!$A$140&gt;35,CT24+CS25-DB24,IF(A25&lt;'Données projet'!$A$140,$CQ$205^A25,IF(A25='Données projet'!$A$140,'Données projet'!$B$140,CT24+CS25-DB24)))</f>
        <v>117.80000000000001</v>
      </c>
      <c r="CU25" s="18">
        <f>CT25*VLOOKUP('Données projet'!$B$13,Paramètres!$A$1:$I$89,3,0)*VLOOKUP('Données projet'!$B$13,Paramètres!$A$1:$I$89,5,0)</f>
        <v>70.444400000000016</v>
      </c>
      <c r="CV25" s="14">
        <f t="shared" si="41"/>
        <v>19.783777073379611</v>
      </c>
      <c r="CW25" s="22">
        <f t="shared" si="13"/>
        <v>157.14740840280285</v>
      </c>
      <c r="CX25" s="62">
        <f t="shared" si="14"/>
        <v>345.89350864718585</v>
      </c>
      <c r="CY25" s="62">
        <f ca="1">AVERAGE(OFFSET($CX$3,0,0,'Données projet'!$E$13+1,1))-AVERAGE(OFFSET($H$3,0,0,'Données projet'!$E$13+1,1))</f>
        <v>530.27599556821826</v>
      </c>
      <c r="CZ25" s="62">
        <f t="shared" si="42"/>
        <v>370.62231794492129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2.3697621987228938</v>
      </c>
      <c r="DI25" s="24">
        <f t="shared" si="15"/>
        <v>2.3697621987228938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48.479128650468184</v>
      </c>
      <c r="DQ25" s="14">
        <f t="shared" si="43"/>
        <v>14.220284684155688</v>
      </c>
      <c r="DR25" s="22">
        <f t="shared" si="16"/>
        <v>109.20147822446989</v>
      </c>
      <c r="DS25" s="62">
        <f t="shared" si="17"/>
        <v>297.9475784688529</v>
      </c>
      <c r="DT25" s="62">
        <f ca="1">AVERAGE(OFFSET($DS$3,0,0,'Données projet'!$E$14+1,1))-AVERAGE(OFFSET($H$3,0,0,'Données projet'!$E$14+1,1))</f>
        <v>520.23742527061836</v>
      </c>
      <c r="DU25" s="62">
        <f t="shared" si="44"/>
        <v>321.35925479331274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12.2</v>
      </c>
      <c r="EJ25" s="13">
        <f>IF('Données projet'!$A$192&gt;35,EJ24+EI25-ER24,IF(A25&lt;'Données projet'!$A$192,$EG$205^A25,IF(A25='Données projet'!$A$192,'Données projet'!$B$192,EJ24+EI25-ER24)))</f>
        <v>106.39999999999999</v>
      </c>
      <c r="EK25" s="18">
        <f>EJ25*VLOOKUP('Données projet'!$B$15,Paramètres!$A$1:$I$89,3,0)*VLOOKUP('Données projet'!$B$15,Paramètres!$A$1:$I$89,5,0)</f>
        <v>111.20927999999999</v>
      </c>
      <c r="EL25" s="14">
        <f t="shared" si="45"/>
        <v>29.615718819501168</v>
      </c>
      <c r="EM25" s="22">
        <f t="shared" si="19"/>
        <v>245.27020627729783</v>
      </c>
      <c r="EN25" s="62">
        <f t="shared" si="20"/>
        <v>434.0163065216808</v>
      </c>
      <c r="EO25" s="62">
        <f ca="1">AVERAGE(OFFSET($EN$3,0,0,'Données projet'!$E$15+1,1))-AVERAGE(OFFSET($H$3,0,0,'Données projet'!$E$15+1,1))</f>
        <v>435.44444011810265</v>
      </c>
      <c r="EP25" s="62">
        <f t="shared" si="46"/>
        <v>447.15868732689762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7.2</v>
      </c>
      <c r="FE25" s="13">
        <f>IF('Données projet'!$A$218&gt;35,FE24+FD25-FM24,IF(A25&lt;'Données projet'!$A$218,$FB$205^A25,IF(A25='Données projet'!$A$218,'Données projet'!$B$218,FE24+FD25-FM24)))</f>
        <v>81.400000000000006</v>
      </c>
      <c r="FF25" s="18">
        <f>FE25*VLOOKUP('Données projet'!$B$16,Paramètres!$A$1:$I$89,3,0)*VLOOKUP('Données projet'!$B$16,Paramètres!$A$1:$I$89,5,0)</f>
        <v>82.539600000000007</v>
      </c>
      <c r="FG25" s="14">
        <f t="shared" si="47"/>
        <v>22.756995627482848</v>
      </c>
      <c r="FH25" s="22">
        <f t="shared" si="22"/>
        <v>183.39157071786599</v>
      </c>
      <c r="FI25" s="62">
        <f t="shared" si="23"/>
        <v>372.13767096224899</v>
      </c>
      <c r="FJ25" s="62">
        <f ca="1">AVERAGE(OFFSET($FI$3,0,0,'Données projet'!$E$16+1,1))-AVERAGE(OFFSET($H$3,0,0,'Données projet'!$E$16+1,1))</f>
        <v>547.89540791313675</v>
      </c>
      <c r="FK25" s="62">
        <f t="shared" si="48"/>
        <v>345.19555189302378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>
        <f>VLOOKUP(A25,'Données projet'!$A$243:$I$263,2,0)</f>
        <v>123</v>
      </c>
      <c r="FX25" s="13">
        <f>VLOOKUP(A25,'Données projet'!$A$243:$I$263,9,0)</f>
        <v>5.5909090909090908</v>
      </c>
      <c r="FY25" s="13">
        <f t="array" ref="FY25">INDEX(FX:FX,MIN(IF(ISNUMBER(FX25:FX221),ROW(FX25:FX221),"")))</f>
        <v>5.5909090909090908</v>
      </c>
      <c r="FZ25" s="13">
        <f>IF('Données projet'!$A$244&gt;35,FZ24+FY25-GH24,IF(A25&lt;'Données projet'!$A$244,$FW$205^A25,IF(A25='Données projet'!$A$244,'Données projet'!$B$244,FZ24+FY25-GH24)))</f>
        <v>123</v>
      </c>
      <c r="GA25" s="18">
        <f>FZ25*VLOOKUP('Données projet'!$B$17,Paramètres!$A$1:$I$89,3,0)*VLOOKUP('Données projet'!$B$17,Paramètres!$A$1:$I$89,5,0)</f>
        <v>73.554000000000016</v>
      </c>
      <c r="GB25" s="14">
        <f t="shared" si="49"/>
        <v>20.553481077376691</v>
      </c>
      <c r="GC25" s="22">
        <f t="shared" si="25"/>
        <v>163.90386287643108</v>
      </c>
      <c r="GD25" s="62">
        <f t="shared" si="26"/>
        <v>352.64996312081405</v>
      </c>
      <c r="GE25" s="62">
        <f ca="1">AVERAGE(OFFSET($GD$3,0,0,'Données projet'!$E$17+1,1))-AVERAGE(OFFSET($H$3,0,0,'Données projet'!$E$17+1,1))</f>
        <v>409.68685886029164</v>
      </c>
      <c r="GF25" s="62">
        <f t="shared" si="50"/>
        <v>330.8416508650887</v>
      </c>
      <c r="GG25" s="16">
        <f>IF(ISNA(VLOOKUP(A25,'Données projet'!$A$243:$I$263,3,0)),0,VLOOKUP(A25,'Données projet'!$A$243:$I$263,3,0))</f>
        <v>1</v>
      </c>
      <c r="GH25" s="16">
        <f>IF(ISNA(VLOOKUP(A25,'Données projet'!$A$243:$I$263,4,0)),0,VLOOKUP(A25,'Données projet'!$A$243:$I$263,4,0))</f>
        <v>16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1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10.833198622733226</v>
      </c>
      <c r="GO25" s="23">
        <f t="shared" si="27"/>
        <v>10.833198622733226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73.098184695482075</v>
      </c>
      <c r="T26" s="62">
        <f t="shared" si="34"/>
        <v>334.38551711782793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62.901620871208458</v>
      </c>
      <c r="AA26" s="23">
        <f>EXP(-LN(2)/25)*AA25+(1-EXP(-LN(2)/25))/(LN(2)/25)*Calculateur!V26*Calculateur!X26*VLOOKUP('Données projet'!$B$9,Paramètres!$A$1:$I$89,3,0)*0.475*44/12</f>
        <v>16.686145246745173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79.587766117953635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70.520400819593021</v>
      </c>
      <c r="AO26" s="62">
        <f t="shared" si="36"/>
        <v>321.48616153644309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60.007374512103759</v>
      </c>
      <c r="AV26" s="23">
        <f>EXP(-LN(2)/25)*AV25+(1-EXP(-LN(2)/25))/(LN(2)/25)*Calculateur!AQ26*Calculateur!AS26*VLOOKUP('Données projet'!$B$10,Paramètres!$A$1:$I$89,3,0)*0.475*44/12</f>
        <v>15.918377827416405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75.925752339520159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56.976163428110333</v>
      </c>
      <c r="BE26" s="14">
        <f>BD26*VLOOKUP('Données projet'!$B$11,Paramètres!$A$1:$I$89,3,0)*VLOOKUP('Données projet'!$B$11,Paramètres!$A$1:$I$89,5,0)</f>
        <v>26.664844484355637</v>
      </c>
      <c r="BF26" s="14">
        <f t="shared" si="37"/>
        <v>8.3851688821551527</v>
      </c>
      <c r="BG26" s="22">
        <f t="shared" si="7"/>
        <v>61.045439946672957</v>
      </c>
      <c r="BH26" s="62">
        <f t="shared" si="8"/>
        <v>252.65849450073918</v>
      </c>
      <c r="BI26" s="62">
        <f ca="1">AVERAGE(OFFSET($BH$3,0,0,'Données projet'!$E$11+1,1))-AVERAGE(OFFSET($H$3,0,0,'Données projet'!$E$11+1,1))</f>
        <v>374.62597460242665</v>
      </c>
      <c r="BJ26" s="62">
        <f t="shared" si="38"/>
        <v>277.50105097454616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2.1666666666666665</v>
      </c>
      <c r="BY26" s="13">
        <f>IF('Données projet'!$A$114&gt;35,BY25+BX26-CG25,IF(A26&lt;'Données projet'!$A$114,$BV$205^A26,IF(A26='Données projet'!$A$114,'Données projet'!$B$114,BY25+BX26-CG25)))</f>
        <v>24.541451198724882</v>
      </c>
      <c r="BZ26" s="14">
        <f>BY26*VLOOKUP('Données projet'!$B$12,Paramètres!$A$1:$I$89,3,0)*VLOOKUP('Données projet'!$B$12,Paramètres!$A$1:$I$89,5,0)</f>
        <v>11.485399161003244</v>
      </c>
      <c r="CA26" s="14">
        <f t="shared" si="39"/>
        <v>3.9837965648757119</v>
      </c>
      <c r="CB26" s="22">
        <f t="shared" si="10"/>
        <v>26.942182555905848</v>
      </c>
      <c r="CC26" s="62">
        <f t="shared" si="11"/>
        <v>218.55523710997207</v>
      </c>
      <c r="CD26" s="62">
        <f ca="1">AVERAGE(OFFSET($CC$3,0,0,'Données projet'!$E$12+1,1))-AVERAGE(OFFSET($H$3,0,0,'Données projet'!$E$12+1,1))</f>
        <v>329.79342219561465</v>
      </c>
      <c r="CE26" s="62">
        <f t="shared" si="40"/>
        <v>144.63206563329757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13.4</v>
      </c>
      <c r="CT26" s="13">
        <f>IF('Données projet'!$A$140&gt;35,CT25+CS26-DB25,IF(A26&lt;'Données projet'!$A$140,$CQ$205^A26,IF(A26='Données projet'!$A$140,'Données projet'!$B$140,CT25+CS26-DB25)))</f>
        <v>131.20000000000002</v>
      </c>
      <c r="CU26" s="18">
        <f>CT26*VLOOKUP('Données projet'!$B$13,Paramètres!$A$1:$I$89,3,0)*VLOOKUP('Données projet'!$B$13,Paramètres!$A$1:$I$89,5,0)</f>
        <v>78.457600000000014</v>
      </c>
      <c r="CV26" s="14">
        <f t="shared" si="41"/>
        <v>21.759633072453035</v>
      </c>
      <c r="CW26" s="22">
        <f t="shared" si="13"/>
        <v>174.54501426785569</v>
      </c>
      <c r="CX26" s="62">
        <f t="shared" si="14"/>
        <v>366.15806882192192</v>
      </c>
      <c r="CY26" s="62">
        <f ca="1">AVERAGE(OFFSET($CX$3,0,0,'Données projet'!$E$13+1,1))-AVERAGE(OFFSET($H$3,0,0,'Données projet'!$E$13+1,1))</f>
        <v>530.27599556821826</v>
      </c>
      <c r="CZ26" s="62">
        <f t="shared" si="42"/>
        <v>370.62231794492129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1.6756749205165011</v>
      </c>
      <c r="DI26" s="24">
        <f t="shared" si="15"/>
        <v>1.6756749205165011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57.491698490365089</v>
      </c>
      <c r="DQ26" s="14">
        <f t="shared" si="43"/>
        <v>16.532524156727764</v>
      </c>
      <c r="DR26" s="22">
        <f t="shared" si="16"/>
        <v>128.9255211103534</v>
      </c>
      <c r="DS26" s="62">
        <f t="shared" si="17"/>
        <v>320.53857566441962</v>
      </c>
      <c r="DT26" s="62">
        <f ca="1">AVERAGE(OFFSET($DS$3,0,0,'Données projet'!$E$14+1,1))-AVERAGE(OFFSET($H$3,0,0,'Données projet'!$E$14+1,1))</f>
        <v>520.23742527061836</v>
      </c>
      <c r="DU26" s="62">
        <f t="shared" si="44"/>
        <v>321.35925479331274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12.2</v>
      </c>
      <c r="EJ26" s="13">
        <f>IF('Données projet'!$A$192&gt;35,EJ25+EI26-ER25,IF(A26&lt;'Données projet'!$A$192,$EG$205^A26,IF(A26='Données projet'!$A$192,'Données projet'!$B$192,EJ25+EI26-ER25)))</f>
        <v>118.6</v>
      </c>
      <c r="EK26" s="18">
        <f>EJ26*VLOOKUP('Données projet'!$B$15,Paramètres!$A$1:$I$89,3,0)*VLOOKUP('Données projet'!$B$15,Paramètres!$A$1:$I$89,5,0)</f>
        <v>123.96072000000001</v>
      </c>
      <c r="EL26" s="14">
        <f t="shared" si="45"/>
        <v>32.59701909372265</v>
      </c>
      <c r="EM26" s="22">
        <f t="shared" si="19"/>
        <v>272.67139558823362</v>
      </c>
      <c r="EN26" s="62">
        <f t="shared" si="20"/>
        <v>464.28445014229987</v>
      </c>
      <c r="EO26" s="62">
        <f ca="1">AVERAGE(OFFSET($EN$3,0,0,'Données projet'!$E$15+1,1))-AVERAGE(OFFSET($H$3,0,0,'Données projet'!$E$15+1,1))</f>
        <v>435.44444011810265</v>
      </c>
      <c r="EP26" s="62">
        <f t="shared" si="46"/>
        <v>447.15868732689762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7.2</v>
      </c>
      <c r="FE26" s="13">
        <f>IF('Données projet'!$A$218&gt;35,FE25+FD26-FM25,IF(A26&lt;'Données projet'!$A$218,$FB$205^A26,IF(A26='Données projet'!$A$218,'Données projet'!$B$218,FE25+FD26-FM25)))</f>
        <v>88.600000000000009</v>
      </c>
      <c r="FF26" s="18">
        <f>FE26*VLOOKUP('Données projet'!$B$16,Paramètres!$A$1:$I$89,3,0)*VLOOKUP('Données projet'!$B$16,Paramètres!$A$1:$I$89,5,0)</f>
        <v>89.840400000000017</v>
      </c>
      <c r="FG26" s="14">
        <f t="shared" si="47"/>
        <v>24.526729341796202</v>
      </c>
      <c r="FH26" s="22">
        <f t="shared" si="22"/>
        <v>199.18941693696172</v>
      </c>
      <c r="FI26" s="62">
        <f t="shared" si="23"/>
        <v>390.80247149102797</v>
      </c>
      <c r="FJ26" s="62">
        <f ca="1">AVERAGE(OFFSET($FI$3,0,0,'Données projet'!$E$16+1,1))-AVERAGE(OFFSET($H$3,0,0,'Données projet'!$E$16+1,1))</f>
        <v>547.89540791313675</v>
      </c>
      <c r="FK26" s="62">
        <f t="shared" si="48"/>
        <v>345.19555189302378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12.333333333333334</v>
      </c>
      <c r="FZ26" s="13">
        <f>IF('Données projet'!$A$244&gt;35,FZ25+FY26-GH25,IF(A26&lt;'Données projet'!$A$244,$FW$205^A26,IF(A26='Données projet'!$A$244,'Données projet'!$B$244,FZ25+FY26-GH25)))</f>
        <v>119.33333333333334</v>
      </c>
      <c r="GA26" s="18">
        <f>FZ26*VLOOKUP('Données projet'!$B$17,Paramètres!$A$1:$I$89,3,0)*VLOOKUP('Données projet'!$B$17,Paramètres!$A$1:$I$89,5,0)</f>
        <v>71.361333333333349</v>
      </c>
      <c r="GB26" s="14">
        <f t="shared" si="49"/>
        <v>20.011144716858571</v>
      </c>
      <c r="GC26" s="22">
        <f t="shared" si="25"/>
        <v>159.14039927075092</v>
      </c>
      <c r="GD26" s="62">
        <f t="shared" si="26"/>
        <v>350.75345382481714</v>
      </c>
      <c r="GE26" s="62">
        <f ca="1">AVERAGE(OFFSET($GD$3,0,0,'Données projet'!$E$17+1,1))-AVERAGE(OFFSET($H$3,0,0,'Données projet'!$E$17+1,1))</f>
        <v>409.68685886029164</v>
      </c>
      <c r="GF26" s="62">
        <f t="shared" si="50"/>
        <v>330.8416508650887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7.6602282080754316</v>
      </c>
      <c r="GO26" s="23">
        <f t="shared" si="27"/>
        <v>7.6602282080754316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73.098184695482075</v>
      </c>
      <c r="T27" s="62">
        <f t="shared" si="34"/>
        <v>334.38551711782793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61.668158452124445</v>
      </c>
      <c r="AA27" s="23">
        <f>EXP(-LN(2)/25)*AA26+(1-EXP(-LN(2)/25))/(LN(2)/25)*Calculateur!V27*Calculateur!X27*VLOOKUP('Données projet'!$B$9,Paramètres!$A$1:$I$89,3,0)*0.475*44/12</f>
        <v>16.229861727486686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77.898020179611137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70.520400819593021</v>
      </c>
      <c r="AO27" s="62">
        <f t="shared" si="36"/>
        <v>321.48616153644309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58.830666498805819</v>
      </c>
      <c r="AV27" s="23">
        <f>EXP(-LN(2)/25)*AV26+(1-EXP(-LN(2)/25))/(LN(2)/25)*Calculateur!AQ27*Calculateur!AS27*VLOOKUP('Données projet'!$B$10,Paramètres!$A$1:$I$89,3,0)*0.475*44/12</f>
        <v>15.483088948614595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74.313755447420419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67.924693763448758</v>
      </c>
      <c r="BE27" s="14">
        <f>BD27*VLOOKUP('Données projet'!$B$11,Paramètres!$A$1:$I$89,3,0)*VLOOKUP('Données projet'!$B$11,Paramètres!$A$1:$I$89,5,0)</f>
        <v>31.788756681294021</v>
      </c>
      <c r="BF27" s="14">
        <f t="shared" si="37"/>
        <v>9.7940195531688623</v>
      </c>
      <c r="BG27" s="22">
        <f t="shared" si="7"/>
        <v>72.423335275022851</v>
      </c>
      <c r="BH27" s="62">
        <f t="shared" si="8"/>
        <v>266.87481171412492</v>
      </c>
      <c r="BI27" s="62">
        <f ca="1">AVERAGE(OFFSET($BH$3,0,0,'Données projet'!$E$11+1,1))-AVERAGE(OFFSET($H$3,0,0,'Données projet'!$E$11+1,1))</f>
        <v>374.62597460242665</v>
      </c>
      <c r="BJ27" s="62">
        <f t="shared" si="38"/>
        <v>277.50105097454616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2.1666666666666665</v>
      </c>
      <c r="BY27" s="13">
        <f>IF('Données projet'!$A$114&gt;35,BY26+BX27-CG26,IF(A27&lt;'Données projet'!$A$114,$BV$205^A27,IF(A27='Données projet'!$A$114,'Données projet'!$B$114,BY26+BX27-CG26)))</f>
        <v>28.20529752834582</v>
      </c>
      <c r="BZ27" s="14">
        <f>BY27*VLOOKUP('Données projet'!$B$12,Paramètres!$A$1:$I$89,3,0)*VLOOKUP('Données projet'!$B$12,Paramètres!$A$1:$I$89,5,0)</f>
        <v>13.200079243265844</v>
      </c>
      <c r="CA27" s="14">
        <f t="shared" si="39"/>
        <v>4.5049865032553083</v>
      </c>
      <c r="CB27" s="22">
        <f t="shared" si="10"/>
        <v>30.836322841857669</v>
      </c>
      <c r="CC27" s="62">
        <f t="shared" si="11"/>
        <v>225.28779928095977</v>
      </c>
      <c r="CD27" s="62">
        <f ca="1">AVERAGE(OFFSET($CC$3,0,0,'Données projet'!$E$12+1,1))-AVERAGE(OFFSET($H$3,0,0,'Données projet'!$E$12+1,1))</f>
        <v>329.79342219561465</v>
      </c>
      <c r="CE27" s="62">
        <f t="shared" si="40"/>
        <v>144.63206563329757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13.4</v>
      </c>
      <c r="CT27" s="13">
        <f>IF('Données projet'!$A$140&gt;35,CT26+CS27-DB26,IF(A27&lt;'Données projet'!$A$140,$CQ$205^A27,IF(A27='Données projet'!$A$140,'Données projet'!$B$140,CT26+CS27-DB26)))</f>
        <v>144.60000000000002</v>
      </c>
      <c r="CU27" s="18">
        <f>CT27*VLOOKUP('Données projet'!$B$13,Paramètres!$A$1:$I$89,3,0)*VLOOKUP('Données projet'!$B$13,Paramètres!$A$1:$I$89,5,0)</f>
        <v>86.470800000000025</v>
      </c>
      <c r="CV27" s="14">
        <f t="shared" si="41"/>
        <v>23.712095460938677</v>
      </c>
      <c r="CW27" s="22">
        <f t="shared" si="13"/>
        <v>191.9018762611349</v>
      </c>
      <c r="CX27" s="62">
        <f t="shared" si="14"/>
        <v>386.353352700237</v>
      </c>
      <c r="CY27" s="62">
        <f ca="1">AVERAGE(OFFSET($CX$3,0,0,'Données projet'!$E$13+1,1))-AVERAGE(OFFSET($H$3,0,0,'Données projet'!$E$13+1,1))</f>
        <v>530.27599556821826</v>
      </c>
      <c r="CZ27" s="62">
        <f t="shared" si="42"/>
        <v>370.62231794492129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1.1848810993614471</v>
      </c>
      <c r="DI27" s="24">
        <f t="shared" si="15"/>
        <v>1.1848810993614471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68.179760802592838</v>
      </c>
      <c r="DQ27" s="14">
        <f t="shared" si="43"/>
        <v>19.220737211915747</v>
      </c>
      <c r="DR27" s="22">
        <f t="shared" si="16"/>
        <v>152.22253404193577</v>
      </c>
      <c r="DS27" s="62">
        <f t="shared" si="17"/>
        <v>346.67401048103784</v>
      </c>
      <c r="DT27" s="62">
        <f ca="1">AVERAGE(OFFSET($DS$3,0,0,'Données projet'!$E$14+1,1))-AVERAGE(OFFSET($H$3,0,0,'Données projet'!$E$14+1,1))</f>
        <v>520.23742527061836</v>
      </c>
      <c r="DU27" s="62">
        <f t="shared" si="44"/>
        <v>321.35925479331274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12.2</v>
      </c>
      <c r="EJ27" s="13">
        <f>IF('Données projet'!$A$192&gt;35,EJ26+EI27-ER26,IF(A27&lt;'Données projet'!$A$192,$EG$205^A27,IF(A27='Données projet'!$A$192,'Données projet'!$B$192,EJ26+EI27-ER26)))</f>
        <v>130.79999999999998</v>
      </c>
      <c r="EK27" s="18">
        <f>EJ27*VLOOKUP('Données projet'!$B$15,Paramètres!$A$1:$I$89,3,0)*VLOOKUP('Données projet'!$B$15,Paramètres!$A$1:$I$89,5,0)</f>
        <v>136.71216000000001</v>
      </c>
      <c r="EL27" s="14">
        <f t="shared" si="45"/>
        <v>35.542768937412866</v>
      </c>
      <c r="EM27" s="22">
        <f t="shared" si="19"/>
        <v>300.01066789932742</v>
      </c>
      <c r="EN27" s="62">
        <f t="shared" si="20"/>
        <v>494.46214433842954</v>
      </c>
      <c r="EO27" s="62">
        <f ca="1">AVERAGE(OFFSET($EN$3,0,0,'Données projet'!$E$15+1,1))-AVERAGE(OFFSET($H$3,0,0,'Données projet'!$E$15+1,1))</f>
        <v>435.44444011810265</v>
      </c>
      <c r="EP27" s="62">
        <f t="shared" si="46"/>
        <v>447.15868732689762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7.2</v>
      </c>
      <c r="FE27" s="13">
        <f>IF('Données projet'!$A$218&gt;35,FE26+FD27-FM26,IF(A27&lt;'Données projet'!$A$218,$FB$205^A27,IF(A27='Données projet'!$A$218,'Données projet'!$B$218,FE26+FD27-FM26)))</f>
        <v>95.800000000000011</v>
      </c>
      <c r="FF27" s="18">
        <f>FE27*VLOOKUP('Données projet'!$B$16,Paramètres!$A$1:$I$89,3,0)*VLOOKUP('Données projet'!$B$16,Paramètres!$A$1:$I$89,5,0)</f>
        <v>97.141200000000026</v>
      </c>
      <c r="FG27" s="14">
        <f t="shared" si="47"/>
        <v>26.279782450761708</v>
      </c>
      <c r="FH27" s="22">
        <f t="shared" si="22"/>
        <v>214.95821110174333</v>
      </c>
      <c r="FI27" s="62">
        <f t="shared" si="23"/>
        <v>409.40968754084543</v>
      </c>
      <c r="FJ27" s="62">
        <f ca="1">AVERAGE(OFFSET($FI$3,0,0,'Données projet'!$E$16+1,1))-AVERAGE(OFFSET($H$3,0,0,'Données projet'!$E$16+1,1))</f>
        <v>547.89540791313675</v>
      </c>
      <c r="FK27" s="62">
        <f t="shared" si="48"/>
        <v>345.19555189302378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12.333333333333334</v>
      </c>
      <c r="FZ27" s="13">
        <f>IF('Données projet'!$A$244&gt;35,FZ26+FY27-GH26,IF(A27&lt;'Données projet'!$A$244,$FW$205^A27,IF(A27='Données projet'!$A$244,'Données projet'!$B$244,FZ26+FY27-GH26)))</f>
        <v>131.66666666666669</v>
      </c>
      <c r="GA27" s="18">
        <f>FZ27*VLOOKUP('Données projet'!$B$17,Paramètres!$A$1:$I$89,3,0)*VLOOKUP('Données projet'!$B$17,Paramètres!$A$1:$I$89,5,0)</f>
        <v>78.736666666666679</v>
      </c>
      <c r="GB27" s="14">
        <f t="shared" si="49"/>
        <v>21.828006984037064</v>
      </c>
      <c r="GC27" s="22">
        <f t="shared" si="25"/>
        <v>175.15013994164235</v>
      </c>
      <c r="GD27" s="62">
        <f t="shared" si="26"/>
        <v>369.60161638074442</v>
      </c>
      <c r="GE27" s="62">
        <f ca="1">AVERAGE(OFFSET($GD$3,0,0,'Données projet'!$E$17+1,1))-AVERAGE(OFFSET($H$3,0,0,'Données projet'!$E$17+1,1))</f>
        <v>409.68685886029164</v>
      </c>
      <c r="GF27" s="62">
        <f t="shared" si="50"/>
        <v>330.8416508650887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5.416599311366614</v>
      </c>
      <c r="GO27" s="23">
        <f t="shared" si="27"/>
        <v>5.416599311366614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73.098184695482075</v>
      </c>
      <c r="T28" s="62">
        <f t="shared" si="34"/>
        <v>334.38551711782793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60.45888347874088</v>
      </c>
      <c r="AA28" s="23">
        <f>EXP(-LN(2)/25)*AA27+(1-EXP(-LN(2)/25))/(LN(2)/25)*Calculateur!V28*Calculateur!X28*VLOOKUP('Données projet'!$B$9,Paramètres!$A$1:$I$89,3,0)*0.475*44/12</f>
        <v>15.786055305057229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76.244938783798105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70.520400819593021</v>
      </c>
      <c r="AO28" s="62">
        <f t="shared" si="36"/>
        <v>321.48616153644309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57.677033011927634</v>
      </c>
      <c r="AV28" s="23">
        <f>EXP(-LN(2)/25)*AV27+(1-EXP(-LN(2)/25))/(LN(2)/25)*Calculateur!AQ28*Calculateur!AS28*VLOOKUP('Données projet'!$B$10,Paramètres!$A$1:$I$89,3,0)*0.475*44/12</f>
        <v>15.059703067094468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72.736736079022108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80.977091914581294</v>
      </c>
      <c r="BE28" s="14">
        <f>BD28*VLOOKUP('Données projet'!$B$11,Paramètres!$A$1:$I$89,3,0)*VLOOKUP('Données projet'!$B$11,Paramètres!$A$1:$I$89,5,0)</f>
        <v>37.897279016024044</v>
      </c>
      <c r="BF28" s="14">
        <f t="shared" si="37"/>
        <v>11.43958104552808</v>
      </c>
      <c r="BG28" s="22">
        <f t="shared" si="7"/>
        <v>85.928364607203278</v>
      </c>
      <c r="BH28" s="62">
        <f t="shared" si="8"/>
        <v>283.19022548047258</v>
      </c>
      <c r="BI28" s="62">
        <f ca="1">AVERAGE(OFFSET($BH$3,0,0,'Données projet'!$E$11+1,1))-AVERAGE(OFFSET($H$3,0,0,'Données projet'!$E$11+1,1))</f>
        <v>374.62597460242665</v>
      </c>
      <c r="BJ28" s="62">
        <f t="shared" si="38"/>
        <v>277.50105097454616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2.1666666666666665</v>
      </c>
      <c r="BY28" s="13">
        <f>IF('Données projet'!$A$114&gt;35,BY27+BX28-CG27,IF(A28&lt;'Données projet'!$A$114,$BV$205^A28,IF(A28='Données projet'!$A$114,'Données projet'!$B$114,BY27+BX28-CG27)))</f>
        <v>32.41612740096825</v>
      </c>
      <c r="BZ28" s="14">
        <f>BY28*VLOOKUP('Données projet'!$B$12,Paramètres!$A$1:$I$89,3,0)*VLOOKUP('Données projet'!$B$12,Paramètres!$A$1:$I$89,5,0)</f>
        <v>15.170747623653142</v>
      </c>
      <c r="CA28" s="14">
        <f t="shared" si="39"/>
        <v>5.0943623912546965</v>
      </c>
      <c r="CB28" s="22">
        <f t="shared" si="10"/>
        <v>35.295066609297812</v>
      </c>
      <c r="CC28" s="62">
        <f t="shared" si="11"/>
        <v>232.55692748256709</v>
      </c>
      <c r="CD28" s="62">
        <f ca="1">AVERAGE(OFFSET($CC$3,0,0,'Données projet'!$E$12+1,1))-AVERAGE(OFFSET($H$3,0,0,'Données projet'!$E$12+1,1))</f>
        <v>329.79342219561465</v>
      </c>
      <c r="CE28" s="62">
        <f t="shared" si="40"/>
        <v>144.63206563329757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13.4</v>
      </c>
      <c r="CT28" s="13">
        <f>IF('Données projet'!$A$140&gt;35,CT27+CS28-DB27,IF(A28&lt;'Données projet'!$A$140,$CQ$205^A28,IF(A28='Données projet'!$A$140,'Données projet'!$B$140,CT27+CS28-DB27)))</f>
        <v>158.00000000000003</v>
      </c>
      <c r="CU28" s="18">
        <f>CT28*VLOOKUP('Données projet'!$B$13,Paramètres!$A$1:$I$89,3,0)*VLOOKUP('Données projet'!$B$13,Paramètres!$A$1:$I$89,5,0)</f>
        <v>94.484000000000037</v>
      </c>
      <c r="CV28" s="14">
        <f t="shared" si="41"/>
        <v>25.643578691511802</v>
      </c>
      <c r="CW28" s="22">
        <f t="shared" si="13"/>
        <v>209.22219955438311</v>
      </c>
      <c r="CX28" s="62">
        <f t="shared" si="14"/>
        <v>406.48406042765237</v>
      </c>
      <c r="CY28" s="62">
        <f ca="1">AVERAGE(OFFSET($CX$3,0,0,'Données projet'!$E$13+1,1))-AVERAGE(OFFSET($H$3,0,0,'Données projet'!$E$13+1,1))</f>
        <v>530.27599556821826</v>
      </c>
      <c r="CZ28" s="62">
        <f t="shared" si="42"/>
        <v>370.62231794492129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0.83783746025825079</v>
      </c>
      <c r="DI28" s="24">
        <f t="shared" si="15"/>
        <v>0.83783746025825079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80.854799999999997</v>
      </c>
      <c r="DQ28" s="14">
        <f t="shared" si="43"/>
        <v>22.346057714313609</v>
      </c>
      <c r="DR28" s="22">
        <f t="shared" si="16"/>
        <v>179.7414938524295</v>
      </c>
      <c r="DS28" s="62">
        <f t="shared" si="17"/>
        <v>377.00335472569878</v>
      </c>
      <c r="DT28" s="62">
        <f ca="1">AVERAGE(OFFSET($DS$3,0,0,'Données projet'!$E$14+1,1))-AVERAGE(OFFSET($H$3,0,0,'Données projet'!$E$14+1,1))</f>
        <v>520.23742527061836</v>
      </c>
      <c r="DU28" s="62">
        <f t="shared" si="44"/>
        <v>321.35925479331274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143</v>
      </c>
      <c r="EH28" s="13">
        <f>VLOOKUP(A28,'Données projet'!$A$191:$I$211,9,0)</f>
        <v>12.2</v>
      </c>
      <c r="EI28" s="13">
        <f t="array" ref="EI28">INDEX(EH:EH,MIN(IF(ISNUMBER(EH28:EH224),ROW(EH28:EH224),"")))</f>
        <v>12.2</v>
      </c>
      <c r="EJ28" s="13">
        <f>IF('Données projet'!$A$192&gt;35,EJ27+EI28-ER27,IF(A28&lt;'Données projet'!$A$192,$EG$205^A28,IF(A28='Données projet'!$A$192,'Données projet'!$B$192,EJ27+EI28-ER27)))</f>
        <v>142.99999999999997</v>
      </c>
      <c r="EK28" s="18">
        <f>EJ28*VLOOKUP('Données projet'!$B$15,Paramètres!$A$1:$I$89,3,0)*VLOOKUP('Données projet'!$B$15,Paramètres!$A$1:$I$89,5,0)</f>
        <v>149.46359999999999</v>
      </c>
      <c r="EL28" s="14">
        <f t="shared" si="45"/>
        <v>38.45666139225672</v>
      </c>
      <c r="EM28" s="22">
        <f t="shared" si="19"/>
        <v>327.29445525818039</v>
      </c>
      <c r="EN28" s="62">
        <f t="shared" si="20"/>
        <v>524.55631613144965</v>
      </c>
      <c r="EO28" s="62">
        <f ca="1">AVERAGE(OFFSET($EN$3,0,0,'Données projet'!$E$15+1,1))-AVERAGE(OFFSET($H$3,0,0,'Données projet'!$E$15+1,1))</f>
        <v>435.44444011810265</v>
      </c>
      <c r="EP28" s="62">
        <f t="shared" si="46"/>
        <v>447.15868732689762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37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103</v>
      </c>
      <c r="FC28" s="13">
        <f>VLOOKUP(A28,'Données projet'!$A$217:$I$237,9,0)</f>
        <v>7.2</v>
      </c>
      <c r="FD28" s="13">
        <f t="array" ref="FD28">INDEX(FC:FC,MIN(IF(ISNUMBER(FC28:FC224),ROW(FC28:FC224),"")))</f>
        <v>7.2</v>
      </c>
      <c r="FE28" s="13">
        <f>IF('Données projet'!$A$218&gt;35,FE27+FD28-FM27,IF(A28&lt;'Données projet'!$A$218,$FB$205^A28,IF(A28='Données projet'!$A$218,'Données projet'!$B$218,FE27+FD28-FM27)))</f>
        <v>103.00000000000001</v>
      </c>
      <c r="FF28" s="18">
        <f>FE28*VLOOKUP('Données projet'!$B$16,Paramètres!$A$1:$I$89,3,0)*VLOOKUP('Données projet'!$B$16,Paramètres!$A$1:$I$89,5,0)</f>
        <v>104.44200000000004</v>
      </c>
      <c r="FG28" s="14">
        <f t="shared" si="47"/>
        <v>28.01755116176631</v>
      </c>
      <c r="FH28" s="22">
        <f t="shared" si="22"/>
        <v>230.70038494007636</v>
      </c>
      <c r="FI28" s="62">
        <f t="shared" si="23"/>
        <v>427.96224581334565</v>
      </c>
      <c r="FJ28" s="62">
        <f ca="1">AVERAGE(OFFSET($FI$3,0,0,'Données projet'!$E$16+1,1))-AVERAGE(OFFSET($H$3,0,0,'Données projet'!$E$16+1,1))</f>
        <v>547.89540791313675</v>
      </c>
      <c r="FK28" s="62">
        <f t="shared" si="48"/>
        <v>345.19555189302378</v>
      </c>
      <c r="FL28" s="16">
        <f>IF(ISNA(VLOOKUP(A28,'Données projet'!$A$217:$I$237,3,0)),0,VLOOKUP(A28,'Données projet'!$A$217:$I$237,3,0))</f>
        <v>2</v>
      </c>
      <c r="FM28" s="16">
        <f>IF(ISNA(VLOOKUP(A28,'Données projet'!$A$217:$I$237,4,0)),0,VLOOKUP(A28,'Données projet'!$A$217:$I$237,4,0))</f>
        <v>28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144</v>
      </c>
      <c r="FX28" s="13">
        <f>VLOOKUP(A28,'Données projet'!$A$243:$I$263,9,0)</f>
        <v>12.333333333333334</v>
      </c>
      <c r="FY28" s="13">
        <f t="array" ref="FY28">INDEX(FX:FX,MIN(IF(ISNUMBER(FX28:FX224),ROW(FX28:FX224),"")))</f>
        <v>12.333333333333334</v>
      </c>
      <c r="FZ28" s="13">
        <f>IF('Données projet'!$A$244&gt;35,FZ27+FY28-GH27,IF(A28&lt;'Données projet'!$A$244,$FW$205^A28,IF(A28='Données projet'!$A$244,'Données projet'!$B$244,FZ27+FY28-GH27)))</f>
        <v>144.00000000000003</v>
      </c>
      <c r="GA28" s="18">
        <f>FZ28*VLOOKUP('Données projet'!$B$17,Paramètres!$A$1:$I$89,3,0)*VLOOKUP('Données projet'!$B$17,Paramètres!$A$1:$I$89,5,0)</f>
        <v>86.112000000000009</v>
      </c>
      <c r="GB28" s="14">
        <f t="shared" si="49"/>
        <v>23.625136642852297</v>
      </c>
      <c r="GC28" s="22">
        <f t="shared" si="25"/>
        <v>191.12551298630106</v>
      </c>
      <c r="GD28" s="62">
        <f t="shared" si="26"/>
        <v>388.38737385957035</v>
      </c>
      <c r="GE28" s="62">
        <f ca="1">AVERAGE(OFFSET($GD$3,0,0,'Données projet'!$E$17+1,1))-AVERAGE(OFFSET($H$3,0,0,'Données projet'!$E$17+1,1))</f>
        <v>409.68685886029164</v>
      </c>
      <c r="GF28" s="62">
        <f t="shared" si="50"/>
        <v>330.8416508650887</v>
      </c>
      <c r="GG28" s="16">
        <f>IF(ISNA(VLOOKUP(A28,'Données projet'!$A$243:$I$263,3,0)),0,VLOOKUP(A28,'Données projet'!$A$243:$I$263,3,0))</f>
        <v>2</v>
      </c>
      <c r="GH28" s="16">
        <f>IF(ISNA(VLOOKUP(A28,'Données projet'!$A$243:$I$263,4,0)),0,VLOOKUP(A28,'Données projet'!$A$243:$I$263,4,0))</f>
        <v>17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1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15.34038764069177</v>
      </c>
      <c r="GO28" s="23">
        <f t="shared" si="27"/>
        <v>15.34038764069177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73.098184695482075</v>
      </c>
      <c r="T29" s="62">
        <f t="shared" si="34"/>
        <v>334.38551711782793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59.273321650000462</v>
      </c>
      <c r="AA29" s="23">
        <f>EXP(-LN(2)/25)*AA28+(1-EXP(-LN(2)/25))/(LN(2)/25)*Calculateur!V29*Calculateur!X29*VLOOKUP('Données projet'!$B$9,Paramètres!$A$1:$I$89,3,0)*0.475*44/12</f>
        <v>15.35438479258787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74.627706442588334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70.520400819593021</v>
      </c>
      <c r="AO29" s="62">
        <f t="shared" si="36"/>
        <v>321.48616153644309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56.546021574080179</v>
      </c>
      <c r="AV29" s="23">
        <f>EXP(-LN(2)/25)*AV28+(1-EXP(-LN(2)/25))/(LN(2)/25)*Calculateur!AQ29*Calculateur!AS29*VLOOKUP('Données projet'!$B$10,Paramètres!$A$1:$I$89,3,0)*0.475*44/12</f>
        <v>14.647894694769404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71.193916268849577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96.537636780206071</v>
      </c>
      <c r="BE29" s="14">
        <f>BD29*VLOOKUP('Données projet'!$B$11,Paramètres!$A$1:$I$89,3,0)*VLOOKUP('Données projet'!$B$11,Paramètres!$A$1:$I$89,5,0)</f>
        <v>45.179614013136444</v>
      </c>
      <c r="BF29" s="14">
        <f t="shared" si="37"/>
        <v>13.361624794271938</v>
      </c>
      <c r="BG29" s="22">
        <f t="shared" si="7"/>
        <v>101.95932425623626</v>
      </c>
      <c r="BH29" s="62">
        <f t="shared" si="8"/>
        <v>302.00401849989424</v>
      </c>
      <c r="BI29" s="62">
        <f ca="1">AVERAGE(OFFSET($BH$3,0,0,'Données projet'!$E$11+1,1))-AVERAGE(OFFSET($H$3,0,0,'Données projet'!$E$11+1,1))</f>
        <v>374.62597460242665</v>
      </c>
      <c r="BJ29" s="62">
        <f t="shared" si="38"/>
        <v>277.50105097454616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2.1666666666666665</v>
      </c>
      <c r="BY29" s="13">
        <f>IF('Données projet'!$A$114&gt;35,BY28+BX29-CG28,IF(A29&lt;'Données projet'!$A$114,$BV$205^A29,IF(A29='Données projet'!$A$114,'Données projet'!$B$114,BY28+BX29-CG28)))</f>
        <v>37.255601172785504</v>
      </c>
      <c r="BZ29" s="14">
        <f>BY29*VLOOKUP('Données projet'!$B$12,Paramètres!$A$1:$I$89,3,0)*VLOOKUP('Données projet'!$B$12,Paramètres!$A$1:$I$89,5,0)</f>
        <v>17.435621348863616</v>
      </c>
      <c r="CA29" s="14">
        <f t="shared" si="39"/>
        <v>5.7608448226597222</v>
      </c>
      <c r="CB29" s="22">
        <f t="shared" si="10"/>
        <v>40.40051191540315</v>
      </c>
      <c r="CC29" s="62">
        <f t="shared" si="11"/>
        <v>240.44520615906114</v>
      </c>
      <c r="CD29" s="62">
        <f ca="1">AVERAGE(OFFSET($CC$3,0,0,'Données projet'!$E$12+1,1))-AVERAGE(OFFSET($H$3,0,0,'Données projet'!$E$12+1,1))</f>
        <v>329.79342219561465</v>
      </c>
      <c r="CE29" s="62">
        <f t="shared" si="40"/>
        <v>144.63206563329757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13.4</v>
      </c>
      <c r="CT29" s="13">
        <f>IF('Données projet'!$A$140&gt;35,CT28+CS29-DB28,IF(A29&lt;'Données projet'!$A$140,$CQ$205^A29,IF(A29='Données projet'!$A$140,'Données projet'!$B$140,CT28+CS29-DB28)))</f>
        <v>171.40000000000003</v>
      </c>
      <c r="CU29" s="18">
        <f>CT29*VLOOKUP('Données projet'!$B$13,Paramètres!$A$1:$I$89,3,0)*VLOOKUP('Données projet'!$B$13,Paramètres!$A$1:$I$89,5,0)</f>
        <v>102.49720000000003</v>
      </c>
      <c r="CV29" s="14">
        <f t="shared" si="41"/>
        <v>27.556064299174871</v>
      </c>
      <c r="CW29" s="22">
        <f t="shared" si="13"/>
        <v>226.50943532106294</v>
      </c>
      <c r="CX29" s="62">
        <f t="shared" si="14"/>
        <v>426.55412956472094</v>
      </c>
      <c r="CY29" s="62">
        <f ca="1">AVERAGE(OFFSET($CX$3,0,0,'Données projet'!$E$13+1,1))-AVERAGE(OFFSET($H$3,0,0,'Données projet'!$E$13+1,1))</f>
        <v>530.27599556821826</v>
      </c>
      <c r="CZ29" s="62">
        <f t="shared" si="42"/>
        <v>370.62231794492129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0.59244054968072368</v>
      </c>
      <c r="DI29" s="24">
        <f t="shared" si="15"/>
        <v>0.59244054968072368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79.716000000000008</v>
      </c>
      <c r="DQ29" s="14">
        <f t="shared" si="43"/>
        <v>22.067730286351054</v>
      </c>
      <c r="DR29" s="22">
        <f t="shared" si="16"/>
        <v>177.27333024872806</v>
      </c>
      <c r="DS29" s="62">
        <f t="shared" si="17"/>
        <v>377.31802449238603</v>
      </c>
      <c r="DT29" s="62">
        <f ca="1">AVERAGE(OFFSET($DS$3,0,0,'Données projet'!$E$14+1,1))-AVERAGE(OFFSET($H$3,0,0,'Données projet'!$E$14+1,1))</f>
        <v>520.23742527061836</v>
      </c>
      <c r="DU29" s="62">
        <f t="shared" si="44"/>
        <v>321.35925479331274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11.4</v>
      </c>
      <c r="EJ29" s="13">
        <f>IF('Données projet'!$A$192&gt;35,EJ28+EI29-ER28,IF(A29&lt;'Données projet'!$A$192,$EG$205^A29,IF(A29='Données projet'!$A$192,'Données projet'!$B$192,EJ28+EI29-ER28)))</f>
        <v>117.39999999999998</v>
      </c>
      <c r="EK29" s="18">
        <f>EJ29*VLOOKUP('Données projet'!$B$15,Paramètres!$A$1:$I$89,3,0)*VLOOKUP('Données projet'!$B$15,Paramètres!$A$1:$I$89,5,0)</f>
        <v>122.70647999999998</v>
      </c>
      <c r="EL29" s="14">
        <f t="shared" si="45"/>
        <v>32.305419586028329</v>
      </c>
      <c r="EM29" s="22">
        <f t="shared" si="19"/>
        <v>269.979058445666</v>
      </c>
      <c r="EN29" s="62">
        <f t="shared" si="20"/>
        <v>470.023752689324</v>
      </c>
      <c r="EO29" s="62">
        <f ca="1">AVERAGE(OFFSET($EN$3,0,0,'Données projet'!$E$15+1,1))-AVERAGE(OFFSET($H$3,0,0,'Données projet'!$E$15+1,1))</f>
        <v>435.44444011810265</v>
      </c>
      <c r="EP29" s="62">
        <f t="shared" si="46"/>
        <v>447.15868732689762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9.1999999999999993</v>
      </c>
      <c r="FE29" s="13">
        <f>IF('Données projet'!$A$218&gt;35,FE28+FD29-FM28,IF(A29&lt;'Données projet'!$A$218,$FB$205^A29,IF(A29='Données projet'!$A$218,'Données projet'!$B$218,FE28+FD29-FM28)))</f>
        <v>84.200000000000017</v>
      </c>
      <c r="FF29" s="18">
        <f>FE29*VLOOKUP('Données projet'!$B$16,Paramètres!$A$1:$I$89,3,0)*VLOOKUP('Données projet'!$B$16,Paramètres!$A$1:$I$89,5,0)</f>
        <v>85.378800000000027</v>
      </c>
      <c r="FG29" s="14">
        <f t="shared" si="47"/>
        <v>23.447306793896516</v>
      </c>
      <c r="FH29" s="22">
        <f t="shared" si="22"/>
        <v>189.53880266603645</v>
      </c>
      <c r="FI29" s="62">
        <f t="shared" si="23"/>
        <v>389.58349690969442</v>
      </c>
      <c r="FJ29" s="62">
        <f ca="1">AVERAGE(OFFSET($FI$3,0,0,'Données projet'!$E$16+1,1))-AVERAGE(OFFSET($H$3,0,0,'Données projet'!$E$16+1,1))</f>
        <v>547.89540791313675</v>
      </c>
      <c r="FK29" s="62">
        <f t="shared" si="48"/>
        <v>345.19555189302378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13.4</v>
      </c>
      <c r="FZ29" s="13">
        <f>IF('Données projet'!$A$244&gt;35,FZ28+FY29-GH28,IF(A29&lt;'Données projet'!$A$244,$FW$205^A29,IF(A29='Données projet'!$A$244,'Données projet'!$B$244,FZ28+FY29-GH28)))</f>
        <v>140.40000000000003</v>
      </c>
      <c r="GA29" s="18">
        <f>FZ29*VLOOKUP('Données projet'!$B$17,Paramètres!$A$1:$I$89,3,0)*VLOOKUP('Données projet'!$B$17,Paramètres!$A$1:$I$89,5,0)</f>
        <v>83.959200000000024</v>
      </c>
      <c r="GB29" s="14">
        <f t="shared" si="49"/>
        <v>23.102490880810642</v>
      </c>
      <c r="GC29" s="22">
        <f t="shared" si="25"/>
        <v>186.46577828407854</v>
      </c>
      <c r="GD29" s="62">
        <f t="shared" si="26"/>
        <v>386.51047252773651</v>
      </c>
      <c r="GE29" s="62">
        <f ca="1">AVERAGE(OFFSET($GD$3,0,0,'Données projet'!$E$17+1,1))-AVERAGE(OFFSET($H$3,0,0,'Données projet'!$E$17+1,1))</f>
        <v>409.68685886029164</v>
      </c>
      <c r="GF29" s="62">
        <f t="shared" si="50"/>
        <v>330.8416508650887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10.847292126763454</v>
      </c>
      <c r="GO29" s="23">
        <f t="shared" si="27"/>
        <v>10.847292126763454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73.098184695482075</v>
      </c>
      <c r="T30" s="62">
        <f t="shared" si="34"/>
        <v>334.38551711782793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58.111007965600329</v>
      </c>
      <c r="AA30" s="23">
        <f>EXP(-LN(2)/25)*AA29+(1-EXP(-LN(2)/25))/(LN(2)/25)*Calculateur!V30*Calculateur!X30*VLOOKUP('Données projet'!$B$9,Paramètres!$A$1:$I$89,3,0)*0.475*44/12</f>
        <v>14.934518332982552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73.045526298582885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70.520400819593021</v>
      </c>
      <c r="AO30" s="62">
        <f t="shared" si="36"/>
        <v>321.48616153644309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55.437188580680058</v>
      </c>
      <c r="AV30" s="23">
        <f>EXP(-LN(2)/25)*AV29+(1-EXP(-LN(2)/25))/(LN(2)/25)*Calculateur!AQ30*Calculateur!AS30*VLOOKUP('Données projet'!$B$10,Paramètres!$A$1:$I$89,3,0)*0.475*44/12</f>
        <v>14.247347244041631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69.684535824721692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115.08829342671002</v>
      </c>
      <c r="BE30" s="14">
        <f>BD30*VLOOKUP('Données projet'!$B$11,Paramètres!$A$1:$I$89,3,0)*VLOOKUP('Données projet'!$B$11,Paramètres!$A$1:$I$89,5,0)</f>
        <v>53.861321323700288</v>
      </c>
      <c r="BF30" s="14">
        <f t="shared" si="37"/>
        <v>15.606604510459258</v>
      </c>
      <c r="BG30" s="22">
        <f t="shared" si="7"/>
        <v>120.98997082782786</v>
      </c>
      <c r="BH30" s="62">
        <f t="shared" si="8"/>
        <v>323.79042532745774</v>
      </c>
      <c r="BI30" s="62">
        <f ca="1">AVERAGE(OFFSET($BH$3,0,0,'Données projet'!$E$11+1,1))-AVERAGE(OFFSET($H$3,0,0,'Données projet'!$E$11+1,1))</f>
        <v>374.62597460242665</v>
      </c>
      <c r="BJ30" s="62">
        <f t="shared" si="38"/>
        <v>277.50105097454616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2.1666666666666665</v>
      </c>
      <c r="BY30" s="13">
        <f>IF('Données projet'!$A$114&gt;35,BY29+BX30-CG29,IF(A30&lt;'Données projet'!$A$114,$BV$205^A30,IF(A30='Données projet'!$A$114,'Données projet'!$B$114,BY29+BX30-CG29)))</f>
        <v>42.817570451188395</v>
      </c>
      <c r="BZ30" s="14">
        <f>BY30*VLOOKUP('Données projet'!$B$12,Paramètres!$A$1:$I$89,3,0)*VLOOKUP('Données projet'!$B$12,Paramètres!$A$1:$I$89,5,0)</f>
        <v>20.038622971156169</v>
      </c>
      <c r="CA30" s="14">
        <f t="shared" si="39"/>
        <v>6.5145214497768746</v>
      </c>
      <c r="CB30" s="22">
        <f t="shared" si="10"/>
        <v>46.246726533125049</v>
      </c>
      <c r="CC30" s="62">
        <f t="shared" si="11"/>
        <v>249.04718103275491</v>
      </c>
      <c r="CD30" s="62">
        <f ca="1">AVERAGE(OFFSET($CC$3,0,0,'Données projet'!$E$12+1,1))-AVERAGE(OFFSET($H$3,0,0,'Données projet'!$E$12+1,1))</f>
        <v>329.79342219561465</v>
      </c>
      <c r="CE30" s="62">
        <f t="shared" si="40"/>
        <v>144.63206563329757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13.4</v>
      </c>
      <c r="CT30" s="13">
        <f>IF('Données projet'!$A$140&gt;35,CT29+CS30-DB29,IF(A30&lt;'Données projet'!$A$140,$CQ$205^A30,IF(A30='Données projet'!$A$140,'Données projet'!$B$140,CT29+CS30-DB29)))</f>
        <v>184.80000000000004</v>
      </c>
      <c r="CU30" s="18">
        <f>CT30*VLOOKUP('Données projet'!$B$13,Paramètres!$A$1:$I$89,3,0)*VLOOKUP('Données projet'!$B$13,Paramètres!$A$1:$I$89,5,0)</f>
        <v>110.51040000000003</v>
      </c>
      <c r="CV30" s="14">
        <f t="shared" si="41"/>
        <v>29.451206375056412</v>
      </c>
      <c r="CW30" s="22">
        <f t="shared" si="13"/>
        <v>243.76646443655662</v>
      </c>
      <c r="CX30" s="62">
        <f t="shared" si="14"/>
        <v>446.56691893618648</v>
      </c>
      <c r="CY30" s="62">
        <f ca="1">AVERAGE(OFFSET($CX$3,0,0,'Données projet'!$E$13+1,1))-AVERAGE(OFFSET($H$3,0,0,'Données projet'!$E$13+1,1))</f>
        <v>530.27599556821826</v>
      </c>
      <c r="CZ30" s="62">
        <f t="shared" si="42"/>
        <v>370.62231794492129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0.41891873012912545</v>
      </c>
      <c r="DI30" s="24">
        <f t="shared" si="15"/>
        <v>0.41891873012912545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87.687600000000003</v>
      </c>
      <c r="DQ30" s="14">
        <f t="shared" si="43"/>
        <v>24.006687761899297</v>
      </c>
      <c r="DR30" s="22">
        <f t="shared" si="16"/>
        <v>194.53421785197463</v>
      </c>
      <c r="DS30" s="62">
        <f t="shared" si="17"/>
        <v>397.33467235160447</v>
      </c>
      <c r="DT30" s="62">
        <f ca="1">AVERAGE(OFFSET($DS$3,0,0,'Données projet'!$E$14+1,1))-AVERAGE(OFFSET($H$3,0,0,'Données projet'!$E$14+1,1))</f>
        <v>520.23742527061836</v>
      </c>
      <c r="DU30" s="62">
        <f t="shared" si="44"/>
        <v>321.35925479331274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11.4</v>
      </c>
      <c r="EJ30" s="13">
        <f>IF('Données projet'!$A$192&gt;35,EJ29+EI30-ER29,IF(A30&lt;'Données projet'!$A$192,$EG$205^A30,IF(A30='Données projet'!$A$192,'Données projet'!$B$192,EJ29+EI30-ER29)))</f>
        <v>128.79999999999998</v>
      </c>
      <c r="EK30" s="18">
        <f>EJ30*VLOOKUP('Données projet'!$B$15,Paramètres!$A$1:$I$89,3,0)*VLOOKUP('Données projet'!$B$15,Paramètres!$A$1:$I$89,5,0)</f>
        <v>134.62175999999999</v>
      </c>
      <c r="EL30" s="14">
        <f t="shared" si="45"/>
        <v>35.062131337194764</v>
      </c>
      <c r="EM30" s="22">
        <f t="shared" si="19"/>
        <v>295.53277741228084</v>
      </c>
      <c r="EN30" s="62">
        <f t="shared" si="20"/>
        <v>498.33323191191073</v>
      </c>
      <c r="EO30" s="62">
        <f ca="1">AVERAGE(OFFSET($EN$3,0,0,'Données projet'!$E$15+1,1))-AVERAGE(OFFSET($H$3,0,0,'Données projet'!$E$15+1,1))</f>
        <v>435.44444011810265</v>
      </c>
      <c r="EP30" s="62">
        <f t="shared" si="46"/>
        <v>447.15868732689762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9.1999999999999993</v>
      </c>
      <c r="FE30" s="13">
        <f>IF('Données projet'!$A$218&gt;35,FE29+FD30-FM29,IF(A30&lt;'Données projet'!$A$218,$FB$205^A30,IF(A30='Données projet'!$A$218,'Données projet'!$B$218,FE29+FD30-FM29)))</f>
        <v>93.40000000000002</v>
      </c>
      <c r="FF30" s="18">
        <f>FE30*VLOOKUP('Données projet'!$B$16,Paramètres!$A$1:$I$89,3,0)*VLOOKUP('Données projet'!$B$16,Paramètres!$A$1:$I$89,5,0)</f>
        <v>94.707600000000028</v>
      </c>
      <c r="FG30" s="14">
        <f t="shared" si="47"/>
        <v>25.697193912523566</v>
      </c>
      <c r="FH30" s="22">
        <f t="shared" si="22"/>
        <v>209.70501606431188</v>
      </c>
      <c r="FI30" s="62">
        <f t="shared" si="23"/>
        <v>412.50547056394174</v>
      </c>
      <c r="FJ30" s="62">
        <f ca="1">AVERAGE(OFFSET($FI$3,0,0,'Données projet'!$E$16+1,1))-AVERAGE(OFFSET($H$3,0,0,'Données projet'!$E$16+1,1))</f>
        <v>547.89540791313675</v>
      </c>
      <c r="FK30" s="62">
        <f t="shared" si="48"/>
        <v>345.19555189302378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13.4</v>
      </c>
      <c r="FZ30" s="13">
        <f>IF('Données projet'!$A$244&gt;35,FZ29+FY30-GH29,IF(A30&lt;'Données projet'!$A$244,$FW$205^A30,IF(A30='Données projet'!$A$244,'Données projet'!$B$244,FZ29+FY30-GH29)))</f>
        <v>153.80000000000004</v>
      </c>
      <c r="GA30" s="18">
        <f>FZ30*VLOOKUP('Données projet'!$B$17,Paramètres!$A$1:$I$89,3,0)*VLOOKUP('Données projet'!$B$17,Paramètres!$A$1:$I$89,5,0)</f>
        <v>91.972400000000022</v>
      </c>
      <c r="GB30" s="14">
        <f t="shared" si="49"/>
        <v>25.040318527820091</v>
      </c>
      <c r="GC30" s="22">
        <f t="shared" si="25"/>
        <v>203.79715143595334</v>
      </c>
      <c r="GD30" s="62">
        <f t="shared" si="26"/>
        <v>406.5976059355832</v>
      </c>
      <c r="GE30" s="62">
        <f ca="1">AVERAGE(OFFSET($GD$3,0,0,'Données projet'!$E$17+1,1))-AVERAGE(OFFSET($H$3,0,0,'Données projet'!$E$17+1,1))</f>
        <v>409.68685886029164</v>
      </c>
      <c r="GF30" s="62">
        <f t="shared" si="50"/>
        <v>330.8416508650887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7.6701938203458866</v>
      </c>
      <c r="GO30" s="23">
        <f t="shared" si="27"/>
        <v>7.6701938203458866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73.098184695482075</v>
      </c>
      <c r="T31" s="62">
        <f t="shared" si="34"/>
        <v>334.38551711782793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56.971486543609942</v>
      </c>
      <c r="AA31" s="23">
        <f>EXP(-LN(2)/25)*AA30+(1-EXP(-LN(2)/25))/(LN(2)/25)*Calculateur!V31*Calculateur!X31*VLOOKUP('Données projet'!$B$9,Paramètres!$A$1:$I$89,3,0)*0.475*44/12</f>
        <v>14.526133143794958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71.497619687404892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70.520400819593021</v>
      </c>
      <c r="AO31" s="62">
        <f t="shared" si="36"/>
        <v>321.48616153644309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54.350099125959169</v>
      </c>
      <c r="AV31" s="23">
        <f>EXP(-LN(2)/25)*AV30+(1-EXP(-LN(2)/25))/(LN(2)/25)*Calculateur!AQ31*Calculateur!AS31*VLOOKUP('Données projet'!$B$10,Paramètres!$A$1:$I$89,3,0)*0.475*44/12</f>
        <v>13.857752784417883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68.207851910377059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137.20364124956808</v>
      </c>
      <c r="BE31" s="14">
        <f>BD31*VLOOKUP('Données projet'!$B$11,Paramètres!$A$1:$I$89,3,0)*VLOOKUP('Données projet'!$B$11,Paramètres!$A$1:$I$89,5,0)</f>
        <v>64.211304104797861</v>
      </c>
      <c r="BF31" s="14">
        <f t="shared" si="37"/>
        <v>18.228778916940001</v>
      </c>
      <c r="BG31" s="22">
        <f t="shared" si="7"/>
        <v>143.58314459619342</v>
      </c>
      <c r="BH31" s="62">
        <f t="shared" si="8"/>
        <v>349.11275589538701</v>
      </c>
      <c r="BI31" s="62">
        <f ca="1">AVERAGE(OFFSET($BH$3,0,0,'Données projet'!$E$11+1,1))-AVERAGE(OFFSET($H$3,0,0,'Données projet'!$E$11+1,1))</f>
        <v>374.62597460242665</v>
      </c>
      <c r="BJ31" s="62">
        <f t="shared" si="38"/>
        <v>277.50105097454616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2.1666666666666665</v>
      </c>
      <c r="BY31" s="13">
        <f>IF('Données projet'!$A$114&gt;35,BY30+BX31-CG30,IF(A31&lt;'Données projet'!$A$114,$BV$205^A31,IF(A31='Données projet'!$A$114,'Données projet'!$B$114,BY30+BX31-CG30)))</f>
        <v>49.209898153024689</v>
      </c>
      <c r="BZ31" s="14">
        <f>BY31*VLOOKUP('Données projet'!$B$12,Paramètres!$A$1:$I$89,3,0)*VLOOKUP('Données projet'!$B$12,Paramètres!$A$1:$I$89,5,0)</f>
        <v>23.030232335615555</v>
      </c>
      <c r="CA31" s="14">
        <f t="shared" si="39"/>
        <v>7.366799666721338</v>
      </c>
      <c r="CB31" s="22">
        <f t="shared" si="10"/>
        <v>52.941497404070084</v>
      </c>
      <c r="CC31" s="62">
        <f t="shared" si="11"/>
        <v>258.47110870326367</v>
      </c>
      <c r="CD31" s="62">
        <f ca="1">AVERAGE(OFFSET($CC$3,0,0,'Données projet'!$E$12+1,1))-AVERAGE(OFFSET($H$3,0,0,'Données projet'!$E$12+1,1))</f>
        <v>329.79342219561465</v>
      </c>
      <c r="CE31" s="62">
        <f t="shared" si="40"/>
        <v>144.63206563329757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13.4</v>
      </c>
      <c r="CT31" s="13">
        <f>IF('Données projet'!$A$140&gt;35,CT30+CS31-DB30,IF(A31&lt;'Données projet'!$A$140,$CQ$205^A31,IF(A31='Données projet'!$A$140,'Données projet'!$B$140,CT30+CS31-DB30)))</f>
        <v>198.20000000000005</v>
      </c>
      <c r="CU31" s="18">
        <f>CT31*VLOOKUP('Données projet'!$B$13,Paramètres!$A$1:$I$89,3,0)*VLOOKUP('Données projet'!$B$13,Paramètres!$A$1:$I$89,5,0)</f>
        <v>118.52360000000003</v>
      </c>
      <c r="CV31" s="14">
        <f t="shared" si="41"/>
        <v>31.330405532670223</v>
      </c>
      <c r="CW31" s="22">
        <f t="shared" si="13"/>
        <v>260.995726302734</v>
      </c>
      <c r="CX31" s="62">
        <f t="shared" si="14"/>
        <v>466.52533760192762</v>
      </c>
      <c r="CY31" s="62">
        <f ca="1">AVERAGE(OFFSET($CX$3,0,0,'Données projet'!$E$13+1,1))-AVERAGE(OFFSET($H$3,0,0,'Données projet'!$E$13+1,1))</f>
        <v>530.27599556821826</v>
      </c>
      <c r="CZ31" s="62">
        <f t="shared" si="42"/>
        <v>370.62231794492129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0.2962202748403619</v>
      </c>
      <c r="DI31" s="24">
        <f t="shared" si="15"/>
        <v>0.2962202748403619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95.659199999999998</v>
      </c>
      <c r="DQ31" s="14">
        <f t="shared" si="43"/>
        <v>25.92520602338745</v>
      </c>
      <c r="DR31" s="22">
        <f t="shared" si="16"/>
        <v>211.75950715739978</v>
      </c>
      <c r="DS31" s="62">
        <f t="shared" si="17"/>
        <v>417.28911845659337</v>
      </c>
      <c r="DT31" s="62">
        <f ca="1">AVERAGE(OFFSET($DS$3,0,0,'Données projet'!$E$14+1,1))-AVERAGE(OFFSET($H$3,0,0,'Données projet'!$E$14+1,1))</f>
        <v>520.23742527061836</v>
      </c>
      <c r="DU31" s="62">
        <f t="shared" si="44"/>
        <v>321.35925479331274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11.4</v>
      </c>
      <c r="EJ31" s="13">
        <f>IF('Données projet'!$A$192&gt;35,EJ30+EI31-ER30,IF(A31&lt;'Données projet'!$A$192,$EG$205^A31,IF(A31='Données projet'!$A$192,'Données projet'!$B$192,EJ30+EI31-ER30)))</f>
        <v>140.19999999999999</v>
      </c>
      <c r="EK31" s="18">
        <f>EJ31*VLOOKUP('Données projet'!$B$15,Paramètres!$A$1:$I$89,3,0)*VLOOKUP('Données projet'!$B$15,Paramètres!$A$1:$I$89,5,0)</f>
        <v>146.53703999999999</v>
      </c>
      <c r="EL31" s="14">
        <f t="shared" si="45"/>
        <v>37.790548942168961</v>
      </c>
      <c r="EM31" s="22">
        <f t="shared" si="19"/>
        <v>321.03721740761085</v>
      </c>
      <c r="EN31" s="62">
        <f t="shared" si="20"/>
        <v>526.56682870680447</v>
      </c>
      <c r="EO31" s="62">
        <f ca="1">AVERAGE(OFFSET($EN$3,0,0,'Données projet'!$E$15+1,1))-AVERAGE(OFFSET($H$3,0,0,'Données projet'!$E$15+1,1))</f>
        <v>435.44444011810265</v>
      </c>
      <c r="EP31" s="62">
        <f t="shared" si="46"/>
        <v>447.15868732689762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9.1999999999999993</v>
      </c>
      <c r="FE31" s="13">
        <f>IF('Données projet'!$A$218&gt;35,FE30+FD31-FM30,IF(A31&lt;'Données projet'!$A$218,$FB$205^A31,IF(A31='Données projet'!$A$218,'Données projet'!$B$218,FE30+FD31-FM30)))</f>
        <v>102.60000000000002</v>
      </c>
      <c r="FF31" s="18">
        <f>FE31*VLOOKUP('Données projet'!$B$16,Paramètres!$A$1:$I$89,3,0)*VLOOKUP('Données projet'!$B$16,Paramètres!$A$1:$I$89,5,0)</f>
        <v>104.03640000000003</v>
      </c>
      <c r="FG31" s="14">
        <f t="shared" si="47"/>
        <v>27.921388397820998</v>
      </c>
      <c r="FH31" s="22">
        <f t="shared" si="22"/>
        <v>229.82648145953826</v>
      </c>
      <c r="FI31" s="62">
        <f t="shared" si="23"/>
        <v>435.35609275873185</v>
      </c>
      <c r="FJ31" s="62">
        <f ca="1">AVERAGE(OFFSET($FI$3,0,0,'Données projet'!$E$16+1,1))-AVERAGE(OFFSET($H$3,0,0,'Données projet'!$E$16+1,1))</f>
        <v>547.89540791313675</v>
      </c>
      <c r="FK31" s="62">
        <f t="shared" si="48"/>
        <v>345.19555189302378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13.4</v>
      </c>
      <c r="FZ31" s="13">
        <f>IF('Données projet'!$A$244&gt;35,FZ30+FY31-GH30,IF(A31&lt;'Données projet'!$A$244,$FW$205^A31,IF(A31='Données projet'!$A$244,'Données projet'!$B$244,FZ30+FY31-GH30)))</f>
        <v>167.20000000000005</v>
      </c>
      <c r="GA31" s="18">
        <f>FZ31*VLOOKUP('Données projet'!$B$17,Paramètres!$A$1:$I$89,3,0)*VLOOKUP('Données projet'!$B$17,Paramètres!$A$1:$I$89,5,0)</f>
        <v>99.985600000000034</v>
      </c>
      <c r="GB31" s="14">
        <f t="shared" si="49"/>
        <v>26.958566918169435</v>
      </c>
      <c r="GC31" s="22">
        <f t="shared" si="25"/>
        <v>221.09442404914515</v>
      </c>
      <c r="GD31" s="62">
        <f t="shared" si="26"/>
        <v>426.62403534833874</v>
      </c>
      <c r="GE31" s="62">
        <f ca="1">AVERAGE(OFFSET($GD$3,0,0,'Données projet'!$E$17+1,1))-AVERAGE(OFFSET($H$3,0,0,'Données projet'!$E$17+1,1))</f>
        <v>409.68685886029164</v>
      </c>
      <c r="GF31" s="62">
        <f t="shared" si="50"/>
        <v>330.8416508650887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5.4236460633817281</v>
      </c>
      <c r="GO31" s="23">
        <f t="shared" si="27"/>
        <v>5.4236460633817281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73.098184695482075</v>
      </c>
      <c r="T32" s="62">
        <f t="shared" si="34"/>
        <v>334.38551711782793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55.854310441665348</v>
      </c>
      <c r="AA32" s="23">
        <f>EXP(-LN(2)/25)*AA31+(1-EXP(-LN(2)/25))/(LN(2)/25)*Calculateur!V32*Calculateur!X32*VLOOKUP('Données projet'!$B$9,Paramètres!$A$1:$I$89,3,0)*0.475*44/12</f>
        <v>14.128915269081743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69.983225710747092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70.520400819593021</v>
      </c>
      <c r="AO32" s="62">
        <f t="shared" si="36"/>
        <v>321.48616153644309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53.284326832386256</v>
      </c>
      <c r="AV32" s="23">
        <f>EXP(-LN(2)/25)*AV31+(1-EXP(-LN(2)/25))/(LN(2)/25)*Calculateur!AQ32*Calculateur!AS32*VLOOKUP('Données projet'!$B$10,Paramètres!$A$1:$I$89,3,0)*0.475*44/12</f>
        <v>13.478811805780429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66.76313863816668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163.5686707278193</v>
      </c>
      <c r="BE32" s="14">
        <f>BD32*VLOOKUP('Données projet'!$B$11,Paramètres!$A$1:$I$89,3,0)*VLOOKUP('Données projet'!$B$11,Paramètres!$A$1:$I$89,5,0)</f>
        <v>76.550137900619433</v>
      </c>
      <c r="BF32" s="14">
        <f t="shared" si="37"/>
        <v>21.291523122789648</v>
      </c>
      <c r="BG32" s="22">
        <f t="shared" si="7"/>
        <v>170.40755961577079</v>
      </c>
      <c r="BH32" s="62">
        <f t="shared" si="8"/>
        <v>378.64018576861224</v>
      </c>
      <c r="BI32" s="62">
        <f ca="1">AVERAGE(OFFSET($BH$3,0,0,'Données projet'!$E$11+1,1))-AVERAGE(OFFSET($H$3,0,0,'Données projet'!$E$11+1,1))</f>
        <v>374.62597460242665</v>
      </c>
      <c r="BJ32" s="62">
        <f t="shared" si="38"/>
        <v>277.50105097454616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2.1666666666666665</v>
      </c>
      <c r="BY32" s="13">
        <f>IF('Données projet'!$A$114&gt;35,BY31+BX32-CG31,IF(A32&lt;'Données projet'!$A$114,$BV$205^A32,IF(A32='Données projet'!$A$114,'Données projet'!$B$114,BY31+BX32-CG31)))</f>
        <v>56.556550283292651</v>
      </c>
      <c r="BZ32" s="14">
        <f>BY32*VLOOKUP('Données projet'!$B$12,Paramètres!$A$1:$I$89,3,0)*VLOOKUP('Données projet'!$B$12,Paramètres!$A$1:$I$89,5,0)</f>
        <v>26.468465532580961</v>
      </c>
      <c r="CA32" s="14">
        <f t="shared" si="39"/>
        <v>8.3305792678699895</v>
      </c>
      <c r="CB32" s="22">
        <f t="shared" si="10"/>
        <v>60.608336360785408</v>
      </c>
      <c r="CC32" s="62">
        <f t="shared" si="11"/>
        <v>268.84096251362683</v>
      </c>
      <c r="CD32" s="62">
        <f ca="1">AVERAGE(OFFSET($CC$3,0,0,'Données projet'!$E$12+1,1))-AVERAGE(OFFSET($H$3,0,0,'Données projet'!$E$12+1,1))</f>
        <v>329.79342219561465</v>
      </c>
      <c r="CE32" s="62">
        <f t="shared" si="40"/>
        <v>144.63206563329757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13.4</v>
      </c>
      <c r="CT32" s="13">
        <f>IF('Données projet'!$A$140&gt;35,CT31+CS32-DB31,IF(A32&lt;'Données projet'!$A$140,$CQ$205^A32,IF(A32='Données projet'!$A$140,'Données projet'!$B$140,CT31+CS32-DB31)))</f>
        <v>211.60000000000005</v>
      </c>
      <c r="CU32" s="18">
        <f>CT32*VLOOKUP('Données projet'!$B$13,Paramètres!$A$1:$I$89,3,0)*VLOOKUP('Données projet'!$B$13,Paramètres!$A$1:$I$89,5,0)</f>
        <v>126.53680000000004</v>
      </c>
      <c r="CV32" s="14">
        <f t="shared" si="41"/>
        <v>33.194862281434972</v>
      </c>
      <c r="CW32" s="22">
        <f t="shared" si="13"/>
        <v>278.19931180683267</v>
      </c>
      <c r="CX32" s="62">
        <f t="shared" si="14"/>
        <v>486.43193795967409</v>
      </c>
      <c r="CY32" s="62">
        <f ca="1">AVERAGE(OFFSET($CX$3,0,0,'Données projet'!$E$13+1,1))-AVERAGE(OFFSET($H$3,0,0,'Données projet'!$E$13+1,1))</f>
        <v>530.27599556821826</v>
      </c>
      <c r="CZ32" s="62">
        <f t="shared" si="42"/>
        <v>370.62231794492129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0.20945936506456275</v>
      </c>
      <c r="DI32" s="24">
        <f t="shared" si="15"/>
        <v>0.20945936506456275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103.63079999999999</v>
      </c>
      <c r="DQ32" s="14">
        <f t="shared" si="43"/>
        <v>27.825181985080775</v>
      </c>
      <c r="DR32" s="22">
        <f t="shared" si="16"/>
        <v>228.952501957349</v>
      </c>
      <c r="DS32" s="62">
        <f t="shared" si="17"/>
        <v>437.18512811019048</v>
      </c>
      <c r="DT32" s="62">
        <f ca="1">AVERAGE(OFFSET($DS$3,0,0,'Données projet'!$E$14+1,1))-AVERAGE(OFFSET($H$3,0,0,'Données projet'!$E$14+1,1))</f>
        <v>520.23742527061836</v>
      </c>
      <c r="DU32" s="62">
        <f t="shared" si="44"/>
        <v>321.35925479331274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11.4</v>
      </c>
      <c r="EJ32" s="13">
        <f>IF('Données projet'!$A$192&gt;35,EJ31+EI32-ER31,IF(A32&lt;'Données projet'!$A$192,$EG$205^A32,IF(A32='Données projet'!$A$192,'Données projet'!$B$192,EJ31+EI32-ER31)))</f>
        <v>151.6</v>
      </c>
      <c r="EK32" s="18">
        <f>EJ32*VLOOKUP('Données projet'!$B$15,Paramètres!$A$1:$I$89,3,0)*VLOOKUP('Données projet'!$B$15,Paramètres!$A$1:$I$89,5,0)</f>
        <v>158.45232000000001</v>
      </c>
      <c r="EL32" s="14">
        <f t="shared" si="45"/>
        <v>40.493234628474802</v>
      </c>
      <c r="EM32" s="22">
        <f t="shared" si="19"/>
        <v>346.49684097792692</v>
      </c>
      <c r="EN32" s="62">
        <f t="shared" si="20"/>
        <v>554.7294671307684</v>
      </c>
      <c r="EO32" s="62">
        <f ca="1">AVERAGE(OFFSET($EN$3,0,0,'Données projet'!$E$15+1,1))-AVERAGE(OFFSET($H$3,0,0,'Données projet'!$E$15+1,1))</f>
        <v>435.44444011810265</v>
      </c>
      <c r="EP32" s="62">
        <f t="shared" si="46"/>
        <v>447.15868732689762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9.1999999999999993</v>
      </c>
      <c r="FE32" s="13">
        <f>IF('Données projet'!$A$218&gt;35,FE31+FD32-FM31,IF(A32&lt;'Données projet'!$A$218,$FB$205^A32,IF(A32='Données projet'!$A$218,'Données projet'!$B$218,FE31+FD32-FM31)))</f>
        <v>111.80000000000003</v>
      </c>
      <c r="FF32" s="18">
        <f>FE32*VLOOKUP('Données projet'!$B$16,Paramètres!$A$1:$I$89,3,0)*VLOOKUP('Données projet'!$B$16,Paramètres!$A$1:$I$89,5,0)</f>
        <v>113.36520000000003</v>
      </c>
      <c r="FG32" s="14">
        <f t="shared" si="47"/>
        <v>30.122456058687614</v>
      </c>
      <c r="FH32" s="22">
        <f t="shared" si="22"/>
        <v>249.9076676355476</v>
      </c>
      <c r="FI32" s="62">
        <f t="shared" si="23"/>
        <v>458.14029378838904</v>
      </c>
      <c r="FJ32" s="62">
        <f ca="1">AVERAGE(OFFSET($FI$3,0,0,'Données projet'!$E$16+1,1))-AVERAGE(OFFSET($H$3,0,0,'Données projet'!$E$16+1,1))</f>
        <v>547.89540791313675</v>
      </c>
      <c r="FK32" s="62">
        <f t="shared" si="48"/>
        <v>345.19555189302378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13.4</v>
      </c>
      <c r="FZ32" s="13">
        <f>IF('Données projet'!$A$244&gt;35,FZ31+FY32-GH31,IF(A32&lt;'Données projet'!$A$244,$FW$205^A32,IF(A32='Données projet'!$A$244,'Données projet'!$B$244,FZ31+FY32-GH31)))</f>
        <v>180.60000000000005</v>
      </c>
      <c r="GA32" s="18">
        <f>FZ32*VLOOKUP('Données projet'!$B$17,Paramètres!$A$1:$I$89,3,0)*VLOOKUP('Données projet'!$B$17,Paramètres!$A$1:$I$89,5,0)</f>
        <v>107.99880000000003</v>
      </c>
      <c r="GB32" s="14">
        <f t="shared" si="49"/>
        <v>28.85898360070161</v>
      </c>
      <c r="GC32" s="22">
        <f t="shared" si="25"/>
        <v>238.36063977122203</v>
      </c>
      <c r="GD32" s="62">
        <f t="shared" si="26"/>
        <v>446.59326592406347</v>
      </c>
      <c r="GE32" s="62">
        <f ca="1">AVERAGE(OFFSET($GD$3,0,0,'Données projet'!$E$17+1,1))-AVERAGE(OFFSET($H$3,0,0,'Données projet'!$E$17+1,1))</f>
        <v>409.68685886029164</v>
      </c>
      <c r="GF32" s="62">
        <f t="shared" si="50"/>
        <v>330.8416508650887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3.8350969101729437</v>
      </c>
      <c r="GO32" s="23">
        <f t="shared" si="27"/>
        <v>3.8350969101729437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73.098184695482075</v>
      </c>
      <c r="T33" s="62">
        <f t="shared" si="34"/>
        <v>334.38551711782793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54.759041481669747</v>
      </c>
      <c r="AA33" s="23">
        <f>EXP(-LN(2)/25)*AA32+(1-EXP(-LN(2)/25))/(LN(2)/25)*Calculateur!V33*Calculateur!X33*VLOOKUP('Données projet'!$B$9,Paramètres!$A$1:$I$89,3,0)*0.475*44/12</f>
        <v>13.742559338041341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68.501600819711086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70.520400819593021</v>
      </c>
      <c r="AO33" s="62">
        <f t="shared" si="36"/>
        <v>321.48616153644309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52.239453683433396</v>
      </c>
      <c r="AV33" s="23">
        <f>EXP(-LN(2)/25)*AV32+(1-EXP(-LN(2)/25))/(LN(2)/25)*Calculateur!AQ33*Calculateur!AS33*VLOOKUP('Données projet'!$B$10,Paramètres!$A$1:$I$89,3,0)*0.475*44/12</f>
        <v>13.110232988131457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65.349686671564854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195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195</v>
      </c>
      <c r="BE33" s="14">
        <f>BD33*VLOOKUP('Données projet'!$B$11,Paramètres!$A$1:$I$89,3,0)*VLOOKUP('Données projet'!$B$11,Paramètres!$A$1:$I$89,5,0)</f>
        <v>91.26</v>
      </c>
      <c r="BF33" s="14">
        <f t="shared" si="37"/>
        <v>24.868860330902777</v>
      </c>
      <c r="BG33" s="22">
        <f t="shared" si="7"/>
        <v>202.25776507632233</v>
      </c>
      <c r="BH33" s="62">
        <f t="shared" si="8"/>
        <v>413.16771764121279</v>
      </c>
      <c r="BI33" s="62">
        <f ca="1">AVERAGE(OFFSET($BH$3,0,0,'Données projet'!$E$11+1,1))-AVERAGE(OFFSET($H$3,0,0,'Données projet'!$E$11+1,1))</f>
        <v>374.62597460242665</v>
      </c>
      <c r="BJ33" s="62">
        <f t="shared" si="38"/>
        <v>277.50105097454616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65</v>
      </c>
      <c r="BW33" s="13">
        <f>VLOOKUP(A33,'Données projet'!$A$113:$I$133,9,0)</f>
        <v>2.1666666666666665</v>
      </c>
      <c r="BX33" s="13">
        <f t="array" ref="BX33">INDEX(BW:BW,MIN(IF(ISNUMBER(BW33:BW229),ROW(BW33:BW229),"")))</f>
        <v>2.1666666666666665</v>
      </c>
      <c r="BY33" s="13">
        <f>IF('Données projet'!$A$114&gt;35,BY32+BX33-CG32,IF(A33&lt;'Données projet'!$A$114,$BV$205^A33,IF(A33='Données projet'!$A$114,'Données projet'!$B$114,BY32+BX33-CG32)))</f>
        <v>65</v>
      </c>
      <c r="BZ33" s="14">
        <f>BY33*VLOOKUP('Données projet'!$B$12,Paramètres!$A$1:$I$89,3,0)*VLOOKUP('Données projet'!$B$12,Paramètres!$A$1:$I$89,5,0)</f>
        <v>30.419999999999998</v>
      </c>
      <c r="CA33" s="14">
        <f t="shared" si="39"/>
        <v>9.4204476947792024</v>
      </c>
      <c r="CB33" s="22">
        <f t="shared" si="10"/>
        <v>69.388779735073783</v>
      </c>
      <c r="CC33" s="62">
        <f t="shared" si="11"/>
        <v>280.29873229996423</v>
      </c>
      <c r="CD33" s="62">
        <f ca="1">AVERAGE(OFFSET($CC$3,0,0,'Données projet'!$E$12+1,1))-AVERAGE(OFFSET($H$3,0,0,'Données projet'!$E$12+1,1))</f>
        <v>329.79342219561465</v>
      </c>
      <c r="CE33" s="62">
        <f t="shared" si="40"/>
        <v>144.63206563329757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225</v>
      </c>
      <c r="CR33" s="13">
        <f>VLOOKUP(A33,'Données projet'!$A$139:$I$159,9,0)</f>
        <v>13.4</v>
      </c>
      <c r="CS33" s="13">
        <f t="array" ref="CS33">INDEX(CR:CR,MIN(IF(ISNUMBER(CR33:CR229),ROW(CR33:CR229),"")))</f>
        <v>13.4</v>
      </c>
      <c r="CT33" s="13">
        <f>IF('Données projet'!$A$140&gt;35,CT32+CS33-DB32,IF(A33&lt;'Données projet'!$A$140,$CQ$205^A33,IF(A33='Données projet'!$A$140,'Données projet'!$B$140,CT32+CS33-DB32)))</f>
        <v>225.00000000000006</v>
      </c>
      <c r="CU33" s="18">
        <f>CT33*VLOOKUP('Données projet'!$B$13,Paramètres!$A$1:$I$89,3,0)*VLOOKUP('Données projet'!$B$13,Paramètres!$A$1:$I$89,5,0)</f>
        <v>134.55000000000004</v>
      </c>
      <c r="CV33" s="14">
        <f t="shared" si="41"/>
        <v>35.045616486142094</v>
      </c>
      <c r="CW33" s="22">
        <f t="shared" si="13"/>
        <v>295.37903204669755</v>
      </c>
      <c r="CX33" s="62">
        <f t="shared" si="14"/>
        <v>506.28898461158798</v>
      </c>
      <c r="CY33" s="62">
        <f ca="1">AVERAGE(OFFSET($CX$3,0,0,'Données projet'!$E$13+1,1))-AVERAGE(OFFSET($H$3,0,0,'Données projet'!$E$13+1,1))</f>
        <v>530.27599556821826</v>
      </c>
      <c r="CZ33" s="62">
        <f t="shared" si="42"/>
        <v>370.62231794492129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22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1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15.043758243678367</v>
      </c>
      <c r="DI33" s="24">
        <f t="shared" si="15"/>
        <v>15.043758243678367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111.60239999999999</v>
      </c>
      <c r="DQ33" s="14">
        <f t="shared" si="43"/>
        <v>29.708204150290328</v>
      </c>
      <c r="DR33" s="22">
        <f t="shared" si="16"/>
        <v>246.11596889508897</v>
      </c>
      <c r="DS33" s="62">
        <f t="shared" si="17"/>
        <v>457.02592145997937</v>
      </c>
      <c r="DT33" s="62">
        <f ca="1">AVERAGE(OFFSET($DS$3,0,0,'Données projet'!$E$14+1,1))-AVERAGE(OFFSET($H$3,0,0,'Données projet'!$E$14+1,1))</f>
        <v>520.23742527061836</v>
      </c>
      <c r="DU33" s="62">
        <f t="shared" si="44"/>
        <v>321.35925479331274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163</v>
      </c>
      <c r="EH33" s="13">
        <f>VLOOKUP(A33,'Données projet'!$A$191:$I$211,9,0)</f>
        <v>11.4</v>
      </c>
      <c r="EI33" s="13">
        <f t="array" ref="EI33">INDEX(EH:EH,MIN(IF(ISNUMBER(EH33:EH229),ROW(EH33:EH229),"")))</f>
        <v>11.4</v>
      </c>
      <c r="EJ33" s="13">
        <f>IF('Données projet'!$A$192&gt;35,EJ32+EI33-ER32,IF(A33&lt;'Données projet'!$A$192,$EG$205^A33,IF(A33='Données projet'!$A$192,'Données projet'!$B$192,EJ32+EI33-ER32)))</f>
        <v>163</v>
      </c>
      <c r="EK33" s="18">
        <f>EJ33*VLOOKUP('Données projet'!$B$15,Paramètres!$A$1:$I$89,3,0)*VLOOKUP('Données projet'!$B$15,Paramètres!$A$1:$I$89,5,0)</f>
        <v>170.36760000000001</v>
      </c>
      <c r="EL33" s="14">
        <f t="shared" si="45"/>
        <v>43.172343404023245</v>
      </c>
      <c r="EM33" s="22">
        <f t="shared" si="19"/>
        <v>371.91540142867387</v>
      </c>
      <c r="EN33" s="62">
        <f t="shared" si="20"/>
        <v>582.82535399356425</v>
      </c>
      <c r="EO33" s="62">
        <f ca="1">AVERAGE(OFFSET($EN$3,0,0,'Données projet'!$E$15+1,1))-AVERAGE(OFFSET($H$3,0,0,'Données projet'!$E$15+1,1))</f>
        <v>435.44444011810265</v>
      </c>
      <c r="EP33" s="62">
        <f t="shared" si="46"/>
        <v>447.15868732689762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37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121</v>
      </c>
      <c r="FC33" s="13">
        <f>VLOOKUP(A33,'Données projet'!$A$217:$I$237,9,0)</f>
        <v>9.1999999999999993</v>
      </c>
      <c r="FD33" s="13">
        <f t="array" ref="FD33">INDEX(FC:FC,MIN(IF(ISNUMBER(FC33:FC229),ROW(FC33:FC229),"")))</f>
        <v>9.1999999999999993</v>
      </c>
      <c r="FE33" s="13">
        <f>IF('Données projet'!$A$218&gt;35,FE32+FD33-FM32,IF(A33&lt;'Données projet'!$A$218,$FB$205^A33,IF(A33='Données projet'!$A$218,'Données projet'!$B$218,FE32+FD33-FM32)))</f>
        <v>121.00000000000003</v>
      </c>
      <c r="FF33" s="18">
        <f>FE33*VLOOKUP('Données projet'!$B$16,Paramètres!$A$1:$I$89,3,0)*VLOOKUP('Données projet'!$B$16,Paramètres!$A$1:$I$89,5,0)</f>
        <v>122.69400000000003</v>
      </c>
      <c r="FG33" s="14">
        <f t="shared" si="47"/>
        <v>32.302516360650685</v>
      </c>
      <c r="FH33" s="22">
        <f t="shared" si="22"/>
        <v>269.95226599480003</v>
      </c>
      <c r="FI33" s="62">
        <f t="shared" si="23"/>
        <v>480.86221855969046</v>
      </c>
      <c r="FJ33" s="62">
        <f ca="1">AVERAGE(OFFSET($FI$3,0,0,'Données projet'!$E$16+1,1))-AVERAGE(OFFSET($H$3,0,0,'Données projet'!$E$16+1,1))</f>
        <v>547.89540791313675</v>
      </c>
      <c r="FK33" s="62">
        <f t="shared" si="48"/>
        <v>345.19555189302378</v>
      </c>
      <c r="FL33" s="16">
        <f>IF(ISNA(VLOOKUP(A33,'Données projet'!$A$217:$I$237,3,0)),0,VLOOKUP(A33,'Données projet'!$A$217:$I$237,3,0))</f>
        <v>3</v>
      </c>
      <c r="FM33" s="16">
        <f>IF(ISNA(VLOOKUP(A33,'Données projet'!$A$217:$I$237,4,0)),0,VLOOKUP(A33,'Données projet'!$A$217:$I$237,4,0))</f>
        <v>28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194</v>
      </c>
      <c r="FX33" s="13">
        <f>VLOOKUP(A33,'Données projet'!$A$243:$I$263,9,0)</f>
        <v>13.4</v>
      </c>
      <c r="FY33" s="13">
        <f t="array" ref="FY33">INDEX(FX:FX,MIN(IF(ISNUMBER(FX33:FX229),ROW(FX33:FX229),"")))</f>
        <v>13.4</v>
      </c>
      <c r="FZ33" s="13">
        <f>IF('Données projet'!$A$244&gt;35,FZ32+FY33-GH32,IF(A33&lt;'Données projet'!$A$244,$FW$205^A33,IF(A33='Données projet'!$A$244,'Données projet'!$B$244,FZ32+FY33-GH32)))</f>
        <v>194.00000000000006</v>
      </c>
      <c r="GA33" s="18">
        <f>FZ33*VLOOKUP('Données projet'!$B$17,Paramètres!$A$1:$I$89,3,0)*VLOOKUP('Données projet'!$B$17,Paramètres!$A$1:$I$89,5,0)</f>
        <v>116.01200000000003</v>
      </c>
      <c r="GB33" s="14">
        <f t="shared" si="49"/>
        <v>30.743042086238173</v>
      </c>
      <c r="GC33" s="22">
        <f t="shared" si="25"/>
        <v>255.59836496686489</v>
      </c>
      <c r="GD33" s="62">
        <f t="shared" si="26"/>
        <v>466.50831753175532</v>
      </c>
      <c r="GE33" s="62">
        <f ca="1">AVERAGE(OFFSET($GD$3,0,0,'Données projet'!$E$17+1,1))-AVERAGE(OFFSET($H$3,0,0,'Données projet'!$E$17+1,1))</f>
        <v>409.68685886029164</v>
      </c>
      <c r="GF33" s="62">
        <f t="shared" si="50"/>
        <v>330.8416508650887</v>
      </c>
      <c r="GG33" s="16">
        <f>IF(ISNA(VLOOKUP(A33,'Données projet'!$A$243:$I$263,3,0)),0,VLOOKUP(A33,'Données projet'!$A$243:$I$263,3,0))</f>
        <v>3</v>
      </c>
      <c r="GH33" s="16">
        <f>IF(ISNA(VLOOKUP(A33,'Données projet'!$A$243:$I$263,4,0)),0,VLOOKUP(A33,'Données projet'!$A$243:$I$263,4,0))</f>
        <v>34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1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25.732370104998971</v>
      </c>
      <c r="GO33" s="23">
        <f t="shared" si="27"/>
        <v>25.732370104998971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73.098184695482075</v>
      </c>
      <c r="T34" s="62">
        <f t="shared" si="34"/>
        <v>334.38551711782793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53.685250077931556</v>
      </c>
      <c r="AA34" s="23">
        <f>EXP(-LN(2)/25)*AA33+(1-EXP(-LN(2)/25))/(LN(2)/25)*Calculateur!V34*Calculateur!X34*VLOOKUP('Données projet'!$B$9,Paramètres!$A$1:$I$89,3,0)*0.475*44/12</f>
        <v>13.366768330252814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67.052018408184367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70.520400819593021</v>
      </c>
      <c r="AO34" s="62">
        <f t="shared" si="36"/>
        <v>321.48616153644309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51.215069859621813</v>
      </c>
      <c r="AV34" s="23">
        <f>EXP(-LN(2)/25)*AV33+(1-EXP(-LN(2)/25))/(LN(2)/25)*Calculateur!AQ34*Calculateur!AS34*VLOOKUP('Données projet'!$B$10,Paramètres!$A$1:$I$89,3,0)*0.475*44/12</f>
        <v>12.751732977633814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63.966802837255628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17</v>
      </c>
      <c r="BD34" s="13">
        <f>IF('Données projet'!$A$88&gt;35,BD33+BC34-BL33,IF(A34&lt;'Données projet'!$A$88,$BA$205^A34,IF(A34='Données projet'!$A$88,'Données projet'!$B$88,BD33+BC34-BL33)))</f>
        <v>212</v>
      </c>
      <c r="BE34" s="14">
        <f>BD34*VLOOKUP('Données projet'!$B$11,Paramètres!$A$1:$I$89,3,0)*VLOOKUP('Données projet'!$B$11,Paramètres!$A$1:$I$89,5,0)</f>
        <v>99.215999999999994</v>
      </c>
      <c r="BF34" s="14">
        <f t="shared" si="37"/>
        <v>26.775134885576414</v>
      </c>
      <c r="BG34" s="22">
        <f t="shared" si="7"/>
        <v>219.43455992571219</v>
      </c>
      <c r="BH34" s="62">
        <f t="shared" si="8"/>
        <v>431.7743738758615</v>
      </c>
      <c r="BI34" s="62">
        <f ca="1">AVERAGE(OFFSET($BH$3,0,0,'Données projet'!$E$11+1,1))-AVERAGE(OFFSET($H$3,0,0,'Données projet'!$E$11+1,1))</f>
        <v>374.62597460242665</v>
      </c>
      <c r="BJ34" s="62">
        <f t="shared" si="38"/>
        <v>277.50105097454616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5.875</v>
      </c>
      <c r="BY34" s="13">
        <f>IF('Données projet'!$A$114&gt;35,BY33+BX34-CG33,IF(A34&lt;'Données projet'!$A$114,$BV$205^A34,IF(A34='Données projet'!$A$114,'Données projet'!$B$114,BY33+BX34-CG33)))</f>
        <v>70.875</v>
      </c>
      <c r="BZ34" s="14">
        <f>BY34*VLOOKUP('Données projet'!$B$12,Paramètres!$A$1:$I$89,3,0)*VLOOKUP('Données projet'!$B$12,Paramètres!$A$1:$I$89,5,0)</f>
        <v>33.169499999999999</v>
      </c>
      <c r="CA34" s="14">
        <f t="shared" si="39"/>
        <v>10.16897030148654</v>
      </c>
      <c r="CB34" s="22">
        <f t="shared" si="10"/>
        <v>75.481169108422378</v>
      </c>
      <c r="CC34" s="62">
        <f t="shared" si="11"/>
        <v>287.8209830585717</v>
      </c>
      <c r="CD34" s="62">
        <f ca="1">AVERAGE(OFFSET($CC$3,0,0,'Données projet'!$E$12+1,1))-AVERAGE(OFFSET($H$3,0,0,'Données projet'!$E$12+1,1))</f>
        <v>329.79342219561465</v>
      </c>
      <c r="CE34" s="62">
        <f t="shared" si="40"/>
        <v>144.63206563329757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13.4</v>
      </c>
      <c r="CT34" s="13">
        <f>IF('Données projet'!$A$140&gt;35,CT33+CS34-DB33,IF(A34&lt;'Données projet'!$A$140,$CQ$205^A34,IF(A34='Données projet'!$A$140,'Données projet'!$B$140,CT33+CS34-DB33)))</f>
        <v>216.40000000000006</v>
      </c>
      <c r="CU34" s="18">
        <f>CT34*VLOOKUP('Données projet'!$B$13,Paramètres!$A$1:$I$89,3,0)*VLOOKUP('Données projet'!$B$13,Paramètres!$A$1:$I$89,5,0)</f>
        <v>129.40720000000005</v>
      </c>
      <c r="CV34" s="14">
        <f t="shared" si="41"/>
        <v>33.859344242503859</v>
      </c>
      <c r="CW34" s="22">
        <f t="shared" si="13"/>
        <v>284.35589788902757</v>
      </c>
      <c r="CX34" s="62">
        <f t="shared" si="14"/>
        <v>496.69571183917685</v>
      </c>
      <c r="CY34" s="62">
        <f ca="1">AVERAGE(OFFSET($CX$3,0,0,'Données projet'!$E$13+1,1))-AVERAGE(OFFSET($H$3,0,0,'Données projet'!$E$13+1,1))</f>
        <v>530.27599556821826</v>
      </c>
      <c r="CZ34" s="62">
        <f t="shared" si="42"/>
        <v>370.62231794492129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10.637543468636</v>
      </c>
      <c r="DI34" s="24">
        <f t="shared" si="15"/>
        <v>10.637543468636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96.570239999999998</v>
      </c>
      <c r="DQ34" s="14">
        <f t="shared" si="43"/>
        <v>26.143252304444918</v>
      </c>
      <c r="DR34" s="22">
        <f t="shared" si="16"/>
        <v>213.72599909690823</v>
      </c>
      <c r="DS34" s="62">
        <f t="shared" si="17"/>
        <v>426.06581304705753</v>
      </c>
      <c r="DT34" s="62">
        <f ca="1">AVERAGE(OFFSET($DS$3,0,0,'Données projet'!$E$14+1,1))-AVERAGE(OFFSET($H$3,0,0,'Données projet'!$E$14+1,1))</f>
        <v>520.23742527061836</v>
      </c>
      <c r="DU34" s="62">
        <f t="shared" si="44"/>
        <v>321.35925479331274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10.6</v>
      </c>
      <c r="EJ34" s="13">
        <f>IF('Données projet'!$A$192&gt;35,EJ33+EI34-ER33,IF(A34&lt;'Données projet'!$A$192,$EG$205^A34,IF(A34='Données projet'!$A$192,'Données projet'!$B$192,EJ33+EI34-ER33)))</f>
        <v>136.6</v>
      </c>
      <c r="EK34" s="18">
        <f>EJ34*VLOOKUP('Données projet'!$B$15,Paramètres!$A$1:$I$89,3,0)*VLOOKUP('Données projet'!$B$15,Paramètres!$A$1:$I$89,5,0)</f>
        <v>142.77432000000002</v>
      </c>
      <c r="EL34" s="14">
        <f t="shared" si="45"/>
        <v>36.931835593911373</v>
      </c>
      <c r="EM34" s="22">
        <f t="shared" si="19"/>
        <v>312.98822099272894</v>
      </c>
      <c r="EN34" s="62">
        <f t="shared" si="20"/>
        <v>525.32803494287828</v>
      </c>
      <c r="EO34" s="62">
        <f ca="1">AVERAGE(OFFSET($EN$3,0,0,'Données projet'!$E$15+1,1))-AVERAGE(OFFSET($H$3,0,0,'Données projet'!$E$15+1,1))</f>
        <v>435.44444011810265</v>
      </c>
      <c r="EP34" s="62">
        <f t="shared" si="46"/>
        <v>447.15868732689762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10.8</v>
      </c>
      <c r="FE34" s="13">
        <f>IF('Données projet'!$A$218&gt;35,FE33+FD34-FM33,IF(A34&lt;'Données projet'!$A$218,$FB$205^A34,IF(A34='Données projet'!$A$218,'Données projet'!$B$218,FE33+FD34-FM33)))</f>
        <v>103.80000000000004</v>
      </c>
      <c r="FF34" s="18">
        <f>FE34*VLOOKUP('Données projet'!$B$16,Paramètres!$A$1:$I$89,3,0)*VLOOKUP('Données projet'!$B$16,Paramètres!$A$1:$I$89,5,0)</f>
        <v>105.25320000000005</v>
      </c>
      <c r="FG34" s="14">
        <f t="shared" si="47"/>
        <v>28.209746498519422</v>
      </c>
      <c r="FH34" s="22">
        <f t="shared" si="22"/>
        <v>232.44796515158808</v>
      </c>
      <c r="FI34" s="62">
        <f t="shared" si="23"/>
        <v>444.78777910173739</v>
      </c>
      <c r="FJ34" s="62">
        <f ca="1">AVERAGE(OFFSET($FI$3,0,0,'Données projet'!$E$16+1,1))-AVERAGE(OFFSET($H$3,0,0,'Données projet'!$E$16+1,1))</f>
        <v>547.89540791313675</v>
      </c>
      <c r="FK34" s="62">
        <f t="shared" si="48"/>
        <v>345.19555189302378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14.6</v>
      </c>
      <c r="FZ34" s="13">
        <f>IF('Données projet'!$A$244&gt;35,FZ33+FY34-GH33,IF(A34&lt;'Données projet'!$A$244,$FW$205^A34,IF(A34='Données projet'!$A$244,'Données projet'!$B$244,FZ33+FY34-GH33)))</f>
        <v>174.60000000000005</v>
      </c>
      <c r="GA34" s="18">
        <f>FZ34*VLOOKUP('Données projet'!$B$17,Paramètres!$A$1:$I$89,3,0)*VLOOKUP('Données projet'!$B$17,Paramètres!$A$1:$I$89,5,0)</f>
        <v>104.41080000000004</v>
      </c>
      <c r="GB34" s="14">
        <f t="shared" si="49"/>
        <v>28.010155571424168</v>
      </c>
      <c r="GC34" s="22">
        <f t="shared" si="25"/>
        <v>230.63316428689714</v>
      </c>
      <c r="GD34" s="62">
        <f t="shared" si="26"/>
        <v>442.97297823704645</v>
      </c>
      <c r="GE34" s="62">
        <f ca="1">AVERAGE(OFFSET($GD$3,0,0,'Données projet'!$E$17+1,1))-AVERAGE(OFFSET($H$3,0,0,'Données projet'!$E$17+1,1))</f>
        <v>409.68685886029164</v>
      </c>
      <c r="GF34" s="62">
        <f t="shared" si="50"/>
        <v>330.8416508650887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18.195533397246766</v>
      </c>
      <c r="GO34" s="23">
        <f t="shared" si="27"/>
        <v>18.195533397246766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73.098184695482075</v>
      </c>
      <c r="T35" s="62">
        <f t="shared" si="34"/>
        <v>334.38551711782793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52.632515068672589</v>
      </c>
      <c r="AA35" s="23">
        <f>EXP(-LN(2)/25)*AA34+(1-EXP(-LN(2)/25))/(LN(2)/25)*Calculateur!V35*Calculateur!X35*VLOOKUP('Données projet'!$B$9,Paramètres!$A$1:$I$89,3,0)*0.475*44/12</f>
        <v>13.001253347334254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65.633768416006845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70.520400819593021</v>
      </c>
      <c r="AO35" s="62">
        <f t="shared" si="36"/>
        <v>321.48616153644309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50.210773577782739</v>
      </c>
      <c r="AV35" s="23">
        <f>EXP(-LN(2)/25)*AV34+(1-EXP(-LN(2)/25))/(LN(2)/25)*Calculateur!AQ35*Calculateur!AS35*VLOOKUP('Données projet'!$B$10,Paramètres!$A$1:$I$89,3,0)*0.475*44/12</f>
        <v>12.403036168775925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62.613809746558665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17</v>
      </c>
      <c r="BD35" s="13">
        <f>IF('Données projet'!$A$88&gt;35,BD34+BC35-BL34,IF(A35&lt;'Données projet'!$A$88,$BA$205^A35,IF(A35='Données projet'!$A$88,'Données projet'!$B$88,BD34+BC35-BL34)))</f>
        <v>229</v>
      </c>
      <c r="BE35" s="14">
        <f>BD35*VLOOKUP('Données projet'!$B$11,Paramètres!$A$1:$I$89,3,0)*VLOOKUP('Données projet'!$B$11,Paramètres!$A$1:$I$89,5,0)</f>
        <v>107.172</v>
      </c>
      <c r="BF35" s="14">
        <f t="shared" si="37"/>
        <v>28.663679082578788</v>
      </c>
      <c r="BG35" s="22">
        <f t="shared" si="7"/>
        <v>236.58047440215805</v>
      </c>
      <c r="BH35" s="62">
        <f t="shared" si="8"/>
        <v>450.32534483922319</v>
      </c>
      <c r="BI35" s="62">
        <f ca="1">AVERAGE(OFFSET($BH$3,0,0,'Données projet'!$E$11+1,1))-AVERAGE(OFFSET($H$3,0,0,'Données projet'!$E$11+1,1))</f>
        <v>374.62597460242665</v>
      </c>
      <c r="BJ35" s="62">
        <f t="shared" si="38"/>
        <v>277.50105097454616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5.875</v>
      </c>
      <c r="BY35" s="13">
        <f>IF('Données projet'!$A$114&gt;35,BY34+BX35-CG34,IF(A35&lt;'Données projet'!$A$114,$BV$205^A35,IF(A35='Données projet'!$A$114,'Données projet'!$B$114,BY34+BX35-CG34)))</f>
        <v>76.75</v>
      </c>
      <c r="BZ35" s="14">
        <f>BY35*VLOOKUP('Données projet'!$B$12,Paramètres!$A$1:$I$89,3,0)*VLOOKUP('Données projet'!$B$12,Paramètres!$A$1:$I$89,5,0)</f>
        <v>35.918999999999997</v>
      </c>
      <c r="CA35" s="14">
        <f t="shared" si="39"/>
        <v>10.910296692775225</v>
      </c>
      <c r="CB35" s="22">
        <f t="shared" si="10"/>
        <v>81.561025073250178</v>
      </c>
      <c r="CC35" s="62">
        <f t="shared" si="11"/>
        <v>295.30589551031534</v>
      </c>
      <c r="CD35" s="62">
        <f ca="1">AVERAGE(OFFSET($CC$3,0,0,'Données projet'!$E$12+1,1))-AVERAGE(OFFSET($H$3,0,0,'Données projet'!$E$12+1,1))</f>
        <v>329.79342219561465</v>
      </c>
      <c r="CE35" s="62">
        <f t="shared" si="40"/>
        <v>144.63206563329757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13.4</v>
      </c>
      <c r="CT35" s="13">
        <f>IF('Données projet'!$A$140&gt;35,CT34+CS35-DB34,IF(A35&lt;'Données projet'!$A$140,$CQ$205^A35,IF(A35='Données projet'!$A$140,'Données projet'!$B$140,CT34+CS35-DB34)))</f>
        <v>229.80000000000007</v>
      </c>
      <c r="CU35" s="18">
        <f>CT35*VLOOKUP('Données projet'!$B$13,Paramètres!$A$1:$I$89,3,0)*VLOOKUP('Données projet'!$B$13,Paramètres!$A$1:$I$89,5,0)</f>
        <v>137.42040000000006</v>
      </c>
      <c r="CV35" s="14">
        <f t="shared" si="41"/>
        <v>35.705417249692559</v>
      </c>
      <c r="CW35" s="22">
        <f t="shared" si="13"/>
        <v>301.52746504321459</v>
      </c>
      <c r="CX35" s="62">
        <f t="shared" si="14"/>
        <v>515.27233548027971</v>
      </c>
      <c r="CY35" s="62">
        <f ca="1">AVERAGE(OFFSET($CX$3,0,0,'Données projet'!$E$13+1,1))-AVERAGE(OFFSET($H$3,0,0,'Données projet'!$E$13+1,1))</f>
        <v>530.27599556821826</v>
      </c>
      <c r="CZ35" s="62">
        <f t="shared" si="42"/>
        <v>370.62231794492129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7.5218791218391843</v>
      </c>
      <c r="DI35" s="24">
        <f t="shared" si="15"/>
        <v>7.5218791218391843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105.45288000000001</v>
      </c>
      <c r="DQ35" s="14">
        <f t="shared" si="43"/>
        <v>28.25702962977704</v>
      </c>
      <c r="DR35" s="22">
        <f t="shared" si="16"/>
        <v>232.87809260519506</v>
      </c>
      <c r="DS35" s="62">
        <f t="shared" si="17"/>
        <v>446.62296304226021</v>
      </c>
      <c r="DT35" s="62">
        <f ca="1">AVERAGE(OFFSET($DS$3,0,0,'Données projet'!$E$14+1,1))-AVERAGE(OFFSET($H$3,0,0,'Données projet'!$E$14+1,1))</f>
        <v>520.23742527061836</v>
      </c>
      <c r="DU35" s="62">
        <f t="shared" si="44"/>
        <v>321.35925479331274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10.6</v>
      </c>
      <c r="EJ35" s="13">
        <f>IF('Données projet'!$A$192&gt;35,EJ34+EI35-ER34,IF(A35&lt;'Données projet'!$A$192,$EG$205^A35,IF(A35='Données projet'!$A$192,'Données projet'!$B$192,EJ34+EI35-ER34)))</f>
        <v>147.19999999999999</v>
      </c>
      <c r="EK35" s="18">
        <f>EJ35*VLOOKUP('Données projet'!$B$15,Paramètres!$A$1:$I$89,3,0)*VLOOKUP('Données projet'!$B$15,Paramètres!$A$1:$I$89,5,0)</f>
        <v>153.85344000000001</v>
      </c>
      <c r="EL35" s="14">
        <f t="shared" si="45"/>
        <v>39.452996736271224</v>
      </c>
      <c r="EM35" s="22">
        <f t="shared" si="19"/>
        <v>336.67537731567239</v>
      </c>
      <c r="EN35" s="62">
        <f t="shared" si="20"/>
        <v>550.42024775273751</v>
      </c>
      <c r="EO35" s="62">
        <f ca="1">AVERAGE(OFFSET($EN$3,0,0,'Données projet'!$E$15+1,1))-AVERAGE(OFFSET($H$3,0,0,'Données projet'!$E$15+1,1))</f>
        <v>435.44444011810265</v>
      </c>
      <c r="EP35" s="62">
        <f t="shared" si="46"/>
        <v>447.15868732689762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10.8</v>
      </c>
      <c r="FE35" s="13">
        <f>IF('Données projet'!$A$218&gt;35,FE34+FD35-FM34,IF(A35&lt;'Données projet'!$A$218,$FB$205^A35,IF(A35='Données projet'!$A$218,'Données projet'!$B$218,FE34+FD35-FM34)))</f>
        <v>114.60000000000004</v>
      </c>
      <c r="FF35" s="18">
        <f>FE35*VLOOKUP('Données projet'!$B$16,Paramètres!$A$1:$I$89,3,0)*VLOOKUP('Données projet'!$B$16,Paramètres!$A$1:$I$89,5,0)</f>
        <v>116.20440000000004</v>
      </c>
      <c r="FG35" s="14">
        <f t="shared" si="47"/>
        <v>30.788088768016376</v>
      </c>
      <c r="FH35" s="22">
        <f t="shared" si="22"/>
        <v>256.01191793762854</v>
      </c>
      <c r="FI35" s="62">
        <f t="shared" si="23"/>
        <v>469.75678837469366</v>
      </c>
      <c r="FJ35" s="62">
        <f ca="1">AVERAGE(OFFSET($FI$3,0,0,'Données projet'!$E$16+1,1))-AVERAGE(OFFSET($H$3,0,0,'Données projet'!$E$16+1,1))</f>
        <v>547.89540791313675</v>
      </c>
      <c r="FK35" s="62">
        <f t="shared" si="48"/>
        <v>345.19555189302378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14.6</v>
      </c>
      <c r="FZ35" s="13">
        <f>IF('Données projet'!$A$244&gt;35,FZ34+FY35-GH34,IF(A35&lt;'Données projet'!$A$244,$FW$205^A35,IF(A35='Données projet'!$A$244,'Données projet'!$B$244,FZ34+FY35-GH34)))</f>
        <v>189.20000000000005</v>
      </c>
      <c r="GA35" s="18">
        <f>FZ35*VLOOKUP('Données projet'!$B$17,Paramètres!$A$1:$I$89,3,0)*VLOOKUP('Données projet'!$B$17,Paramètres!$A$1:$I$89,5,0)</f>
        <v>113.14160000000004</v>
      </c>
      <c r="GB35" s="14">
        <f t="shared" si="49"/>
        <v>30.069952587742019</v>
      </c>
      <c r="GC35" s="22">
        <f t="shared" si="25"/>
        <v>249.42678742365072</v>
      </c>
      <c r="GD35" s="62">
        <f t="shared" si="26"/>
        <v>463.17165786071587</v>
      </c>
      <c r="GE35" s="62">
        <f ca="1">AVERAGE(OFFSET($GD$3,0,0,'Données projet'!$E$17+1,1))-AVERAGE(OFFSET($H$3,0,0,'Données projet'!$E$17+1,1))</f>
        <v>409.68685886029164</v>
      </c>
      <c r="GF35" s="62">
        <f t="shared" si="50"/>
        <v>330.8416508650887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12.866185052499487</v>
      </c>
      <c r="GO35" s="23">
        <f t="shared" si="27"/>
        <v>12.866185052499487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73.098184695482075</v>
      </c>
      <c r="T36" s="62">
        <f t="shared" si="34"/>
        <v>334.38551711782793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51.60042355084024</v>
      </c>
      <c r="AA36" s="23">
        <f>EXP(-LN(2)/25)*AA35+(1-EXP(-LN(2)/25))/(LN(2)/25)*Calculateur!V36*Calculateur!X36*VLOOKUP('Données projet'!$B$9,Paramètres!$A$1:$I$89,3,0)*0.475*44/12</f>
        <v>12.6457333908452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64.246156941685442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70.520400819593021</v>
      </c>
      <c r="AO36" s="62">
        <f t="shared" si="36"/>
        <v>321.48616153644309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49.226170933470279</v>
      </c>
      <c r="AV36" s="23">
        <f>EXP(-LN(2)/25)*AV35+(1-EXP(-LN(2)/25))/(LN(2)/25)*Calculateur!AQ36*Calculateur!AS36*VLOOKUP('Données projet'!$B$10,Paramètres!$A$1:$I$89,3,0)*0.475*44/12</f>
        <v>12.063874492493422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61.290045425963697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17</v>
      </c>
      <c r="BD36" s="13">
        <f>IF('Données projet'!$A$88&gt;35,BD35+BC36-BL35,IF(A36&lt;'Données projet'!$A$88,$BA$205^A36,IF(A36='Données projet'!$A$88,'Données projet'!$B$88,BD35+BC36-BL35)))</f>
        <v>246</v>
      </c>
      <c r="BE36" s="14">
        <f>BD36*VLOOKUP('Données projet'!$B$11,Paramètres!$A$1:$I$89,3,0)*VLOOKUP('Données projet'!$B$11,Paramètres!$A$1:$I$89,5,0)</f>
        <v>115.128</v>
      </c>
      <c r="BF36" s="14">
        <f t="shared" si="37"/>
        <v>30.53595882135</v>
      </c>
      <c r="BG36" s="22">
        <f t="shared" si="7"/>
        <v>253.69806161385125</v>
      </c>
      <c r="BH36" s="62">
        <f t="shared" si="8"/>
        <v>468.82361394901989</v>
      </c>
      <c r="BI36" s="62">
        <f ca="1">AVERAGE(OFFSET($BH$3,0,0,'Données projet'!$E$11+1,1))-AVERAGE(OFFSET($H$3,0,0,'Données projet'!$E$11+1,1))</f>
        <v>374.62597460242665</v>
      </c>
      <c r="BJ36" s="62">
        <f t="shared" si="38"/>
        <v>277.50105097454616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5.875</v>
      </c>
      <c r="BY36" s="13">
        <f>IF('Données projet'!$A$114&gt;35,BY35+BX36-CG35,IF(A36&lt;'Données projet'!$A$114,$BV$205^A36,IF(A36='Données projet'!$A$114,'Données projet'!$B$114,BY35+BX36-CG35)))</f>
        <v>82.625</v>
      </c>
      <c r="BZ36" s="14">
        <f>BY36*VLOOKUP('Données projet'!$B$12,Paramètres!$A$1:$I$89,3,0)*VLOOKUP('Données projet'!$B$12,Paramètres!$A$1:$I$89,5,0)</f>
        <v>38.668499999999995</v>
      </c>
      <c r="CA36" s="14">
        <f t="shared" si="39"/>
        <v>11.645040351072758</v>
      </c>
      <c r="CB36" s="22">
        <f t="shared" si="10"/>
        <v>87.629416111451704</v>
      </c>
      <c r="CC36" s="62">
        <f t="shared" si="11"/>
        <v>302.75496844662035</v>
      </c>
      <c r="CD36" s="62">
        <f ca="1">AVERAGE(OFFSET($CC$3,0,0,'Données projet'!$E$12+1,1))-AVERAGE(OFFSET($H$3,0,0,'Données projet'!$E$12+1,1))</f>
        <v>329.79342219561465</v>
      </c>
      <c r="CE36" s="62">
        <f t="shared" si="40"/>
        <v>144.63206563329757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13.4</v>
      </c>
      <c r="CT36" s="13">
        <f>IF('Données projet'!$A$140&gt;35,CT35+CS36-DB35,IF(A36&lt;'Données projet'!$A$140,$CQ$205^A36,IF(A36='Données projet'!$A$140,'Données projet'!$B$140,CT35+CS36-DB35)))</f>
        <v>243.20000000000007</v>
      </c>
      <c r="CU36" s="18">
        <f>CT36*VLOOKUP('Données projet'!$B$13,Paramètres!$A$1:$I$89,3,0)*VLOOKUP('Données projet'!$B$13,Paramètres!$A$1:$I$89,5,0)</f>
        <v>145.43360000000007</v>
      </c>
      <c r="CV36" s="14">
        <f t="shared" si="41"/>
        <v>37.538995050574634</v>
      </c>
      <c r="CW36" s="22">
        <f t="shared" si="13"/>
        <v>318.67726971308429</v>
      </c>
      <c r="CX36" s="62">
        <f t="shared" si="14"/>
        <v>533.80282204825289</v>
      </c>
      <c r="CY36" s="62">
        <f ca="1">AVERAGE(OFFSET($CX$3,0,0,'Données projet'!$E$13+1,1))-AVERAGE(OFFSET($H$3,0,0,'Données projet'!$E$13+1,1))</f>
        <v>530.27599556821826</v>
      </c>
      <c r="CZ36" s="62">
        <f t="shared" si="42"/>
        <v>370.62231794492129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5.318771734318001</v>
      </c>
      <c r="DI36" s="24">
        <f t="shared" si="15"/>
        <v>5.318771734318001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114.33551999999999</v>
      </c>
      <c r="DQ36" s="14">
        <f t="shared" si="43"/>
        <v>30.350157406239582</v>
      </c>
      <c r="DR36" s="22">
        <f t="shared" si="16"/>
        <v>251.99422148253385</v>
      </c>
      <c r="DS36" s="62">
        <f t="shared" si="17"/>
        <v>467.11977381770248</v>
      </c>
      <c r="DT36" s="62">
        <f ca="1">AVERAGE(OFFSET($DS$3,0,0,'Données projet'!$E$14+1,1))-AVERAGE(OFFSET($H$3,0,0,'Données projet'!$E$14+1,1))</f>
        <v>520.23742527061836</v>
      </c>
      <c r="DU36" s="62">
        <f t="shared" si="44"/>
        <v>321.35925479331274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10.6</v>
      </c>
      <c r="EJ36" s="13">
        <f>IF('Données projet'!$A$192&gt;35,EJ35+EI36-ER35,IF(A36&lt;'Données projet'!$A$192,$EG$205^A36,IF(A36='Données projet'!$A$192,'Données projet'!$B$192,EJ35+EI36-ER35)))</f>
        <v>157.79999999999998</v>
      </c>
      <c r="EK36" s="18">
        <f>EJ36*VLOOKUP('Données projet'!$B$15,Paramètres!$A$1:$I$89,3,0)*VLOOKUP('Données projet'!$B$15,Paramètres!$A$1:$I$89,5,0)</f>
        <v>164.93256</v>
      </c>
      <c r="EL36" s="14">
        <f t="shared" si="45"/>
        <v>41.953094454391525</v>
      </c>
      <c r="EM36" s="22">
        <f t="shared" si="19"/>
        <v>360.3258481747319</v>
      </c>
      <c r="EN36" s="62">
        <f t="shared" si="20"/>
        <v>575.45140050990062</v>
      </c>
      <c r="EO36" s="62">
        <f ca="1">AVERAGE(OFFSET($EN$3,0,0,'Données projet'!$E$15+1,1))-AVERAGE(OFFSET($H$3,0,0,'Données projet'!$E$15+1,1))</f>
        <v>435.44444011810265</v>
      </c>
      <c r="EP36" s="62">
        <f t="shared" si="46"/>
        <v>447.15868732689762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10.8</v>
      </c>
      <c r="FE36" s="13">
        <f>IF('Données projet'!$A$218&gt;35,FE35+FD36-FM35,IF(A36&lt;'Données projet'!$A$218,$FB$205^A36,IF(A36='Données projet'!$A$218,'Données projet'!$B$218,FE35+FD36-FM35)))</f>
        <v>125.40000000000003</v>
      </c>
      <c r="FF36" s="18">
        <f>FE36*VLOOKUP('Données projet'!$B$16,Paramètres!$A$1:$I$89,3,0)*VLOOKUP('Données projet'!$B$16,Paramètres!$A$1:$I$89,5,0)</f>
        <v>127.15560000000004</v>
      </c>
      <c r="FG36" s="14">
        <f t="shared" si="47"/>
        <v>33.338258149231912</v>
      </c>
      <c r="FH36" s="22">
        <f t="shared" si="22"/>
        <v>279.52680294324563</v>
      </c>
      <c r="FI36" s="62">
        <f t="shared" si="23"/>
        <v>494.65235527841429</v>
      </c>
      <c r="FJ36" s="62">
        <f ca="1">AVERAGE(OFFSET($FI$3,0,0,'Données projet'!$E$16+1,1))-AVERAGE(OFFSET($H$3,0,0,'Données projet'!$E$16+1,1))</f>
        <v>547.89540791313675</v>
      </c>
      <c r="FK36" s="62">
        <f t="shared" si="48"/>
        <v>345.19555189302378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14.6</v>
      </c>
      <c r="FZ36" s="13">
        <f>IF('Données projet'!$A$244&gt;35,FZ35+FY36-GH35,IF(A36&lt;'Données projet'!$A$244,$FW$205^A36,IF(A36='Données projet'!$A$244,'Données projet'!$B$244,FZ35+FY36-GH35)))</f>
        <v>203.80000000000004</v>
      </c>
      <c r="GA36" s="18">
        <f>FZ36*VLOOKUP('Données projet'!$B$17,Paramètres!$A$1:$I$89,3,0)*VLOOKUP('Données projet'!$B$17,Paramètres!$A$1:$I$89,5,0)</f>
        <v>121.87240000000003</v>
      </c>
      <c r="GB36" s="14">
        <f t="shared" si="49"/>
        <v>32.111311550408985</v>
      </c>
      <c r="GC36" s="22">
        <f t="shared" si="25"/>
        <v>268.1882976169623</v>
      </c>
      <c r="GD36" s="62">
        <f t="shared" si="26"/>
        <v>483.31384995213097</v>
      </c>
      <c r="GE36" s="62">
        <f ca="1">AVERAGE(OFFSET($GD$3,0,0,'Données projet'!$E$17+1,1))-AVERAGE(OFFSET($H$3,0,0,'Données projet'!$E$17+1,1))</f>
        <v>409.68685886029164</v>
      </c>
      <c r="GF36" s="62">
        <f t="shared" si="50"/>
        <v>330.8416508650887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9.0977666986233832</v>
      </c>
      <c r="GO36" s="23">
        <f t="shared" si="27"/>
        <v>9.0977666986233832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73.098184695482075</v>
      </c>
      <c r="T37" s="62">
        <f t="shared" si="34"/>
        <v>334.38551711782793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50.588570718158913</v>
      </c>
      <c r="AA37" s="23">
        <f>EXP(-LN(2)/25)*AA36+(1-EXP(-LN(2)/25))/(LN(2)/25)*Calculateur!V37*Calculateur!X37*VLOOKUP('Données projet'!$B$9,Paramètres!$A$1:$I$89,3,0)*0.475*44/12</f>
        <v>12.299935146262321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62.888505864421234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70.520400819593021</v>
      </c>
      <c r="AO37" s="62">
        <f t="shared" si="36"/>
        <v>321.48616153644309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48.260875746464471</v>
      </c>
      <c r="AV37" s="23">
        <f>EXP(-LN(2)/25)*AV36+(1-EXP(-LN(2)/25))/(LN(2)/25)*Calculateur!AQ37*Calculateur!AS37*VLOOKUP('Données projet'!$B$10,Paramètres!$A$1:$I$89,3,0)*0.475*44/12</f>
        <v>11.733987210084603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59.994862956549071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17</v>
      </c>
      <c r="BD37" s="13">
        <f>IF('Données projet'!$A$88&gt;35,BD36+BC37-BL36,IF(A37&lt;'Données projet'!$A$88,$BA$205^A37,IF(A37='Données projet'!$A$88,'Données projet'!$B$88,BD36+BC37-BL36)))</f>
        <v>263</v>
      </c>
      <c r="BE37" s="14">
        <f>BD37*VLOOKUP('Données projet'!$B$11,Paramètres!$A$1:$I$89,3,0)*VLOOKUP('Données projet'!$B$11,Paramètres!$A$1:$I$89,5,0)</f>
        <v>123.08399999999999</v>
      </c>
      <c r="BF37" s="14">
        <f t="shared" si="37"/>
        <v>32.393225926509828</v>
      </c>
      <c r="BG37" s="22">
        <f t="shared" si="7"/>
        <v>270.78950182200458</v>
      </c>
      <c r="BH37" s="62">
        <f t="shared" si="8"/>
        <v>487.271784311087</v>
      </c>
      <c r="BI37" s="62">
        <f ca="1">AVERAGE(OFFSET($BH$3,0,0,'Données projet'!$E$11+1,1))-AVERAGE(OFFSET($H$3,0,0,'Données projet'!$E$11+1,1))</f>
        <v>374.62597460242665</v>
      </c>
      <c r="BJ37" s="62">
        <f t="shared" si="38"/>
        <v>277.50105097454616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5.875</v>
      </c>
      <c r="BY37" s="13">
        <f>IF('Données projet'!$A$114&gt;35,BY36+BX37-CG36,IF(A37&lt;'Données projet'!$A$114,$BV$205^A37,IF(A37='Données projet'!$A$114,'Données projet'!$B$114,BY36+BX37-CG36)))</f>
        <v>88.5</v>
      </c>
      <c r="BZ37" s="14">
        <f>BY37*VLOOKUP('Données projet'!$B$12,Paramètres!$A$1:$I$89,3,0)*VLOOKUP('Données projet'!$B$12,Paramètres!$A$1:$I$89,5,0)</f>
        <v>41.417999999999999</v>
      </c>
      <c r="CA37" s="14">
        <f t="shared" si="39"/>
        <v>12.373722573264635</v>
      </c>
      <c r="CB37" s="22">
        <f t="shared" si="10"/>
        <v>93.687250148435893</v>
      </c>
      <c r="CC37" s="62">
        <f t="shared" si="11"/>
        <v>310.16953263751827</v>
      </c>
      <c r="CD37" s="62">
        <f ca="1">AVERAGE(OFFSET($CC$3,0,0,'Données projet'!$E$12+1,1))-AVERAGE(OFFSET($H$3,0,0,'Données projet'!$E$12+1,1))</f>
        <v>329.79342219561465</v>
      </c>
      <c r="CE37" s="62">
        <f t="shared" si="40"/>
        <v>144.63206563329757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13.4</v>
      </c>
      <c r="CT37" s="13">
        <f>IF('Données projet'!$A$140&gt;35,CT36+CS37-DB36,IF(A37&lt;'Données projet'!$A$140,$CQ$205^A37,IF(A37='Données projet'!$A$140,'Données projet'!$B$140,CT36+CS37-DB36)))</f>
        <v>256.60000000000008</v>
      </c>
      <c r="CU37" s="18">
        <f>CT37*VLOOKUP('Données projet'!$B$13,Paramètres!$A$1:$I$89,3,0)*VLOOKUP('Données projet'!$B$13,Paramètres!$A$1:$I$89,5,0)</f>
        <v>153.44680000000005</v>
      </c>
      <c r="CV37" s="14">
        <f t="shared" si="41"/>
        <v>39.360844589868847</v>
      </c>
      <c r="CW37" s="22">
        <f t="shared" si="13"/>
        <v>335.80664766068833</v>
      </c>
      <c r="CX37" s="62">
        <f t="shared" si="14"/>
        <v>552.28893014977075</v>
      </c>
      <c r="CY37" s="62">
        <f ca="1">AVERAGE(OFFSET($CX$3,0,0,'Données projet'!$E$13+1,1))-AVERAGE(OFFSET($H$3,0,0,'Données projet'!$E$13+1,1))</f>
        <v>530.27599556821826</v>
      </c>
      <c r="CZ37" s="62">
        <f t="shared" si="42"/>
        <v>370.62231794492129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3.760939560919593</v>
      </c>
      <c r="DI37" s="24">
        <f t="shared" si="15"/>
        <v>3.760939560919593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123.21815999999998</v>
      </c>
      <c r="DQ37" s="14">
        <f t="shared" si="43"/>
        <v>32.424422278731427</v>
      </c>
      <c r="DR37" s="22">
        <f t="shared" si="16"/>
        <v>271.07749746879057</v>
      </c>
      <c r="DS37" s="62">
        <f t="shared" si="17"/>
        <v>487.55977995787293</v>
      </c>
      <c r="DT37" s="62">
        <f ca="1">AVERAGE(OFFSET($DS$3,0,0,'Données projet'!$E$14+1,1))-AVERAGE(OFFSET($H$3,0,0,'Données projet'!$E$14+1,1))</f>
        <v>520.23742527061836</v>
      </c>
      <c r="DU37" s="62">
        <f t="shared" si="44"/>
        <v>321.35925479331274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10.6</v>
      </c>
      <c r="EJ37" s="13">
        <f>IF('Données projet'!$A$192&gt;35,EJ36+EI37-ER36,IF(A37&lt;'Données projet'!$A$192,$EG$205^A37,IF(A37='Données projet'!$A$192,'Données projet'!$B$192,EJ36+EI37-ER36)))</f>
        <v>168.39999999999998</v>
      </c>
      <c r="EK37" s="18">
        <f>EJ37*VLOOKUP('Données projet'!$B$15,Paramètres!$A$1:$I$89,3,0)*VLOOKUP('Données projet'!$B$15,Paramètres!$A$1:$I$89,5,0)</f>
        <v>176.01167999999998</v>
      </c>
      <c r="EL37" s="14">
        <f t="shared" si="45"/>
        <v>44.433704640372461</v>
      </c>
      <c r="EM37" s="22">
        <f t="shared" si="19"/>
        <v>383.94237824864871</v>
      </c>
      <c r="EN37" s="62">
        <f t="shared" si="20"/>
        <v>600.42466073773107</v>
      </c>
      <c r="EO37" s="62">
        <f ca="1">AVERAGE(OFFSET($EN$3,0,0,'Données projet'!$E$15+1,1))-AVERAGE(OFFSET($H$3,0,0,'Données projet'!$E$15+1,1))</f>
        <v>435.44444011810265</v>
      </c>
      <c r="EP37" s="62">
        <f t="shared" si="46"/>
        <v>447.15868732689762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10.8</v>
      </c>
      <c r="FE37" s="13">
        <f>IF('Données projet'!$A$218&gt;35,FE36+FD37-FM36,IF(A37&lt;'Données projet'!$A$218,$FB$205^A37,IF(A37='Données projet'!$A$218,'Données projet'!$B$218,FE36+FD37-FM36)))</f>
        <v>136.20000000000005</v>
      </c>
      <c r="FF37" s="18">
        <f>FE37*VLOOKUP('Données projet'!$B$16,Paramètres!$A$1:$I$89,3,0)*VLOOKUP('Données projet'!$B$16,Paramètres!$A$1:$I$89,5,0)</f>
        <v>138.10680000000005</v>
      </c>
      <c r="FG37" s="14">
        <f t="shared" si="47"/>
        <v>35.862956890686135</v>
      </c>
      <c r="FH37" s="22">
        <f t="shared" si="22"/>
        <v>302.99732658461176</v>
      </c>
      <c r="FI37" s="62">
        <f t="shared" si="23"/>
        <v>519.47960907369418</v>
      </c>
      <c r="FJ37" s="62">
        <f ca="1">AVERAGE(OFFSET($FI$3,0,0,'Données projet'!$E$16+1,1))-AVERAGE(OFFSET($H$3,0,0,'Données projet'!$E$16+1,1))</f>
        <v>547.89540791313675</v>
      </c>
      <c r="FK37" s="62">
        <f t="shared" si="48"/>
        <v>345.19555189302378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14.6</v>
      </c>
      <c r="FZ37" s="13">
        <f>IF('Données projet'!$A$244&gt;35,FZ36+FY37-GH36,IF(A37&lt;'Données projet'!$A$244,$FW$205^A37,IF(A37='Données projet'!$A$244,'Données projet'!$B$244,FZ36+FY37-GH36)))</f>
        <v>218.40000000000003</v>
      </c>
      <c r="GA37" s="18">
        <f>FZ37*VLOOKUP('Données projet'!$B$17,Paramètres!$A$1:$I$89,3,0)*VLOOKUP('Données projet'!$B$17,Paramètres!$A$1:$I$89,5,0)</f>
        <v>130.60320000000004</v>
      </c>
      <c r="GB37" s="14">
        <f t="shared" si="49"/>
        <v>34.135703567016428</v>
      </c>
      <c r="GC37" s="22">
        <f t="shared" si="25"/>
        <v>286.92025704588701</v>
      </c>
      <c r="GD37" s="62">
        <f t="shared" si="26"/>
        <v>503.40253953496938</v>
      </c>
      <c r="GE37" s="62">
        <f ca="1">AVERAGE(OFFSET($GD$3,0,0,'Données projet'!$E$17+1,1))-AVERAGE(OFFSET($H$3,0,0,'Données projet'!$E$17+1,1))</f>
        <v>409.68685886029164</v>
      </c>
      <c r="GF37" s="62">
        <f t="shared" si="50"/>
        <v>330.8416508650887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6.4330925262497436</v>
      </c>
      <c r="GO37" s="23">
        <f t="shared" si="27"/>
        <v>6.4330925262497436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73.098184695482075</v>
      </c>
      <c r="T38" s="62">
        <f t="shared" si="34"/>
        <v>334.38551711782793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49.596559702357176</v>
      </c>
      <c r="AA38" s="23">
        <f>EXP(-LN(2)/25)*AA37+(1-EXP(-LN(2)/25))/(LN(2)/25)*Calculateur!V38*Calculateur!X38*VLOOKUP('Données projet'!$B$9,Paramètres!$A$1:$I$89,3,0)*0.475*44/12</f>
        <v>11.963592772862301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61.560152475219475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70.520400819593021</v>
      </c>
      <c r="AO38" s="62">
        <f t="shared" si="36"/>
        <v>321.48616153644309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47.314509409303923</v>
      </c>
      <c r="AV38" s="23">
        <f>EXP(-LN(2)/25)*AV37+(1-EXP(-LN(2)/25))/(LN(2)/25)*Calculateur!AQ38*Calculateur!AS38*VLOOKUP('Données projet'!$B$10,Paramètres!$A$1:$I$89,3,0)*0.475*44/12</f>
        <v>11.41312071276127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58.727630122065193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280</v>
      </c>
      <c r="BB38" s="13">
        <f>VLOOKUP(A38,'Données projet'!$A$87:$I$107,9,0)</f>
        <v>17</v>
      </c>
      <c r="BC38" s="13">
        <f t="array" ref="BC38">INDEX(BB:BB,MIN(IF(ISNUMBER(BB38:BB234),ROW(BB38:BB234),"")))</f>
        <v>17</v>
      </c>
      <c r="BD38" s="13">
        <f>IF('Données projet'!$A$88&gt;35,BD37+BC38-BL37,IF(A38&lt;'Données projet'!$A$88,$BA$205^A38,IF(A38='Données projet'!$A$88,'Données projet'!$B$88,BD37+BC38-BL37)))</f>
        <v>280</v>
      </c>
      <c r="BE38" s="14">
        <f>BD38*VLOOKUP('Données projet'!$B$11,Paramètres!$A$1:$I$89,3,0)*VLOOKUP('Données projet'!$B$11,Paramètres!$A$1:$I$89,5,0)</f>
        <v>131.04</v>
      </c>
      <c r="BF38" s="14">
        <f t="shared" si="37"/>
        <v>34.236561238949918</v>
      </c>
      <c r="BG38" s="22">
        <f t="shared" si="7"/>
        <v>287.85667749117107</v>
      </c>
      <c r="BH38" s="62">
        <f t="shared" si="8"/>
        <v>505.67215389919102</v>
      </c>
      <c r="BI38" s="62">
        <f ca="1">AVERAGE(OFFSET($BH$3,0,0,'Données projet'!$E$11+1,1))-AVERAGE(OFFSET($H$3,0,0,'Données projet'!$E$11+1,1))</f>
        <v>374.62597460242665</v>
      </c>
      <c r="BJ38" s="62">
        <f t="shared" si="38"/>
        <v>277.50105097454616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5.875</v>
      </c>
      <c r="BY38" s="13">
        <f>IF('Données projet'!$A$114&gt;35,BY37+BX38-CG37,IF(A38&lt;'Données projet'!$A$114,$BV$205^A38,IF(A38='Données projet'!$A$114,'Données projet'!$B$114,BY37+BX38-CG37)))</f>
        <v>94.375</v>
      </c>
      <c r="BZ38" s="14">
        <f>BY38*VLOOKUP('Données projet'!$B$12,Paramètres!$A$1:$I$89,3,0)*VLOOKUP('Données projet'!$B$12,Paramètres!$A$1:$I$89,5,0)</f>
        <v>44.167500000000004</v>
      </c>
      <c r="CA38" s="14">
        <f t="shared" si="39"/>
        <v>13.096791529180528</v>
      </c>
      <c r="CB38" s="22">
        <f t="shared" si="10"/>
        <v>99.73530774665609</v>
      </c>
      <c r="CC38" s="62">
        <f t="shared" si="11"/>
        <v>317.55078415467602</v>
      </c>
      <c r="CD38" s="62">
        <f ca="1">AVERAGE(OFFSET($CC$3,0,0,'Données projet'!$E$12+1,1))-AVERAGE(OFFSET($H$3,0,0,'Données projet'!$E$12+1,1))</f>
        <v>329.79342219561465</v>
      </c>
      <c r="CE38" s="62">
        <f t="shared" si="40"/>
        <v>144.63206563329757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13.4</v>
      </c>
      <c r="CT38" s="13">
        <f>IF('Données projet'!$A$140&gt;35,CT37+CS38-DB37,IF(A38&lt;'Données projet'!$A$140,$CQ$205^A38,IF(A38='Données projet'!$A$140,'Données projet'!$B$140,CT37+CS38-DB37)))</f>
        <v>270.00000000000006</v>
      </c>
      <c r="CU38" s="18">
        <f>CT38*VLOOKUP('Données projet'!$B$13,Paramètres!$A$1:$I$89,3,0)*VLOOKUP('Données projet'!$B$13,Paramètres!$A$1:$I$89,5,0)</f>
        <v>161.46000000000004</v>
      </c>
      <c r="CV38" s="14">
        <f t="shared" si="41"/>
        <v>41.171648186302534</v>
      </c>
      <c r="CW38" s="22">
        <f t="shared" si="13"/>
        <v>352.91678725781031</v>
      </c>
      <c r="CX38" s="62">
        <f t="shared" si="14"/>
        <v>570.73226366583026</v>
      </c>
      <c r="CY38" s="62">
        <f ca="1">AVERAGE(OFFSET($CX$3,0,0,'Données projet'!$E$13+1,1))-AVERAGE(OFFSET($H$3,0,0,'Données projet'!$E$13+1,1))</f>
        <v>530.27599556821826</v>
      </c>
      <c r="CZ38" s="62">
        <f t="shared" si="42"/>
        <v>370.62231794492129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2.6593858671590009</v>
      </c>
      <c r="DI38" s="24">
        <f t="shared" si="15"/>
        <v>2.6593858671590009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132.10079999999999</v>
      </c>
      <c r="DQ38" s="14">
        <f t="shared" si="43"/>
        <v>34.481338697931115</v>
      </c>
      <c r="DR38" s="22">
        <f t="shared" si="16"/>
        <v>290.13055823222999</v>
      </c>
      <c r="DS38" s="62">
        <f t="shared" si="17"/>
        <v>507.94603464024988</v>
      </c>
      <c r="DT38" s="62">
        <f ca="1">AVERAGE(OFFSET($DS$3,0,0,'Données projet'!$E$14+1,1))-AVERAGE(OFFSET($H$3,0,0,'Données projet'!$E$14+1,1))</f>
        <v>520.23742527061836</v>
      </c>
      <c r="DU38" s="62">
        <f t="shared" si="44"/>
        <v>321.35925479331274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179</v>
      </c>
      <c r="EH38" s="13">
        <f>VLOOKUP(A38,'Données projet'!$A$191:$I$211,9,0)</f>
        <v>10.6</v>
      </c>
      <c r="EI38" s="13">
        <f t="array" ref="EI38">INDEX(EH:EH,MIN(IF(ISNUMBER(EH38:EH234),ROW(EH38:EH234),"")))</f>
        <v>10.6</v>
      </c>
      <c r="EJ38" s="13">
        <f>IF('Données projet'!$A$192&gt;35,EJ37+EI38-ER37,IF(A38&lt;'Données projet'!$A$192,$EG$205^A38,IF(A38='Données projet'!$A$192,'Données projet'!$B$192,EJ37+EI38-ER37)))</f>
        <v>178.99999999999997</v>
      </c>
      <c r="EK38" s="18">
        <f>EJ38*VLOOKUP('Données projet'!$B$15,Paramètres!$A$1:$I$89,3,0)*VLOOKUP('Données projet'!$B$15,Paramètres!$A$1:$I$89,5,0)</f>
        <v>187.0908</v>
      </c>
      <c r="EL38" s="14">
        <f t="shared" si="45"/>
        <v>46.896193582104758</v>
      </c>
      <c r="EM38" s="22">
        <f t="shared" si="19"/>
        <v>407.52734715549917</v>
      </c>
      <c r="EN38" s="62">
        <f t="shared" si="20"/>
        <v>625.34282356351912</v>
      </c>
      <c r="EO38" s="62">
        <f ca="1">AVERAGE(OFFSET($EN$3,0,0,'Données projet'!$E$15+1,1))-AVERAGE(OFFSET($H$3,0,0,'Données projet'!$E$15+1,1))</f>
        <v>435.44444011810265</v>
      </c>
      <c r="EP38" s="62">
        <f t="shared" si="46"/>
        <v>447.15868732689762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36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147</v>
      </c>
      <c r="FC38" s="13">
        <f>VLOOKUP(A38,'Données projet'!$A$217:$I$237,9,0)</f>
        <v>10.8</v>
      </c>
      <c r="FD38" s="13">
        <f t="array" ref="FD38">INDEX(FC:FC,MIN(IF(ISNUMBER(FC38:FC234),ROW(FC38:FC234),"")))</f>
        <v>10.8</v>
      </c>
      <c r="FE38" s="13">
        <f>IF('Données projet'!$A$218&gt;35,FE37+FD38-FM37,IF(A38&lt;'Données projet'!$A$218,$FB$205^A38,IF(A38='Données projet'!$A$218,'Données projet'!$B$218,FE37+FD38-FM37)))</f>
        <v>147.00000000000006</v>
      </c>
      <c r="FF38" s="18">
        <f>FE38*VLOOKUP('Données projet'!$B$16,Paramètres!$A$1:$I$89,3,0)*VLOOKUP('Données projet'!$B$16,Paramètres!$A$1:$I$89,5,0)</f>
        <v>149.05800000000008</v>
      </c>
      <c r="FG38" s="14">
        <f t="shared" si="47"/>
        <v>38.364434314370335</v>
      </c>
      <c r="FH38" s="22">
        <f t="shared" si="22"/>
        <v>326.42740643086182</v>
      </c>
      <c r="FI38" s="62">
        <f t="shared" si="23"/>
        <v>544.24288283888177</v>
      </c>
      <c r="FJ38" s="62">
        <f ca="1">AVERAGE(OFFSET($FI$3,0,0,'Données projet'!$E$16+1,1))-AVERAGE(OFFSET($H$3,0,0,'Données projet'!$E$16+1,1))</f>
        <v>547.89540791313675</v>
      </c>
      <c r="FK38" s="62">
        <f t="shared" si="48"/>
        <v>345.19555189302378</v>
      </c>
      <c r="FL38" s="16">
        <f>IF(ISNA(VLOOKUP(A38,'Données projet'!$A$217:$I$237,3,0)),0,VLOOKUP(A38,'Données projet'!$A$217:$I$237,3,0))</f>
        <v>4</v>
      </c>
      <c r="FM38" s="16">
        <f>IF(ISNA(VLOOKUP(A38,'Données projet'!$A$217:$I$237,4,0)),0,VLOOKUP(A38,'Données projet'!$A$217:$I$237,4,0))</f>
        <v>28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233</v>
      </c>
      <c r="FX38" s="13">
        <f>VLOOKUP(A38,'Données projet'!$A$243:$I$263,9,0)</f>
        <v>14.6</v>
      </c>
      <c r="FY38" s="13">
        <f t="array" ref="FY38">INDEX(FX:FX,MIN(IF(ISNUMBER(FX38:FX234),ROW(FX38:FX234),"")))</f>
        <v>14.6</v>
      </c>
      <c r="FZ38" s="13">
        <f>IF('Données projet'!$A$244&gt;35,FZ37+FY38-GH37,IF(A38&lt;'Données projet'!$A$244,$FW$205^A38,IF(A38='Données projet'!$A$244,'Données projet'!$B$244,FZ37+FY38-GH37)))</f>
        <v>233.00000000000003</v>
      </c>
      <c r="GA38" s="18">
        <f>FZ38*VLOOKUP('Données projet'!$B$17,Paramètres!$A$1:$I$89,3,0)*VLOOKUP('Données projet'!$B$17,Paramètres!$A$1:$I$89,5,0)</f>
        <v>139.33400000000003</v>
      </c>
      <c r="GB38" s="14">
        <f t="shared" si="49"/>
        <v>36.144391930570897</v>
      </c>
      <c r="GC38" s="22">
        <f t="shared" si="25"/>
        <v>305.62486594574438</v>
      </c>
      <c r="GD38" s="62">
        <f t="shared" si="26"/>
        <v>523.44034235376432</v>
      </c>
      <c r="GE38" s="62">
        <f ca="1">AVERAGE(OFFSET($GD$3,0,0,'Données projet'!$E$17+1,1))-AVERAGE(OFFSET($H$3,0,0,'Données projet'!$E$17+1,1))</f>
        <v>409.68685886029164</v>
      </c>
      <c r="GF38" s="62">
        <f t="shared" si="50"/>
        <v>330.8416508650887</v>
      </c>
      <c r="GG38" s="16">
        <f>IF(ISNA(VLOOKUP(A38,'Données projet'!$A$243:$I$263,3,0)),0,VLOOKUP(A38,'Données projet'!$A$243:$I$263,3,0))</f>
        <v>4</v>
      </c>
      <c r="GH38" s="16">
        <f>IF(ISNA(VLOOKUP(A38,'Données projet'!$A$243:$I$263,4,0)),0,VLOOKUP(A38,'Données projet'!$A$243:$I$263,4,0))</f>
        <v>41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4.5488833493116916</v>
      </c>
      <c r="GO38" s="23">
        <f t="shared" si="27"/>
        <v>4.5488833493116916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73.098184695482075</v>
      </c>
      <c r="T39" s="62">
        <f t="shared" si="34"/>
        <v>334.38551711782793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48.624001417508339</v>
      </c>
      <c r="AA39" s="23">
        <f>EXP(-LN(2)/25)*AA38+(1-EXP(-LN(2)/25))/(LN(2)/25)*Calculateur!V39*Calculateur!X39*VLOOKUP('Données projet'!$B$9,Paramètres!$A$1:$I$89,3,0)*0.475*44/12</f>
        <v>11.636447699350381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60.260449116858723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70.520400819593021</v>
      </c>
      <c r="AO39" s="62">
        <f t="shared" si="36"/>
        <v>321.48616153644309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46.386700738788626</v>
      </c>
      <c r="AV39" s="23">
        <f>EXP(-LN(2)/25)*AV38+(1-EXP(-LN(2)/25))/(LN(2)/25)*Calculateur!AQ39*Calculateur!AS39*VLOOKUP('Données projet'!$B$10,Paramètres!$A$1:$I$89,3,0)*0.475*44/12</f>
        <v>11.101028326680879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57.487729065469509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299.57142857142856</v>
      </c>
      <c r="BE39" s="14">
        <f>BD39*VLOOKUP('Données projet'!$B$11,Paramètres!$A$1:$I$89,3,0)*VLOOKUP('Données projet'!$B$11,Paramètres!$A$1:$I$89,5,0)</f>
        <v>140.19942857142857</v>
      </c>
      <c r="BF39" s="14">
        <f t="shared" si="37"/>
        <v>36.342687994625102</v>
      </c>
      <c r="BG39" s="22">
        <f t="shared" si="7"/>
        <v>307.47751968587681</v>
      </c>
      <c r="BH39" s="62">
        <f t="shared" si="8"/>
        <v>526.60306207891574</v>
      </c>
      <c r="BI39" s="62">
        <f ca="1">AVERAGE(OFFSET($BH$3,0,0,'Données projet'!$E$11+1,1))-AVERAGE(OFFSET($H$3,0,0,'Données projet'!$E$11+1,1))</f>
        <v>374.62597460242665</v>
      </c>
      <c r="BJ39" s="62">
        <f t="shared" si="38"/>
        <v>277.50105097454616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5.875</v>
      </c>
      <c r="BY39" s="13">
        <f>IF('Données projet'!$A$114&gt;35,BY38+BX39-CG38,IF(A39&lt;'Données projet'!$A$114,$BV$205^A39,IF(A39='Données projet'!$A$114,'Données projet'!$B$114,BY38+BX39-CG38)))</f>
        <v>100.25</v>
      </c>
      <c r="BZ39" s="14">
        <f>BY39*VLOOKUP('Données projet'!$B$12,Paramètres!$A$1:$I$89,3,0)*VLOOKUP('Données projet'!$B$12,Paramètres!$A$1:$I$89,5,0)</f>
        <v>46.916999999999994</v>
      </c>
      <c r="CA39" s="14">
        <f t="shared" si="39"/>
        <v>13.814636436415146</v>
      </c>
      <c r="CB39" s="22">
        <f t="shared" si="10"/>
        <v>105.77426679342302</v>
      </c>
      <c r="CC39" s="62">
        <f t="shared" si="11"/>
        <v>324.89980918646199</v>
      </c>
      <c r="CD39" s="62">
        <f ca="1">AVERAGE(OFFSET($CC$3,0,0,'Données projet'!$E$12+1,1))-AVERAGE(OFFSET($H$3,0,0,'Données projet'!$E$12+1,1))</f>
        <v>329.79342219561465</v>
      </c>
      <c r="CE39" s="62">
        <f t="shared" si="40"/>
        <v>144.63206563329757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13.4</v>
      </c>
      <c r="CT39" s="13">
        <f>IF('Données projet'!$A$140&gt;35,CT38+CS39-DB38,IF(A39&lt;'Données projet'!$A$140,$CQ$205^A39,IF(A39='Données projet'!$A$140,'Données projet'!$B$140,CT38+CS39-DB38)))</f>
        <v>283.40000000000003</v>
      </c>
      <c r="CU39" s="18">
        <f>CT39*VLOOKUP('Données projet'!$B$13,Paramètres!$A$1:$I$89,3,0)*VLOOKUP('Données projet'!$B$13,Paramètres!$A$1:$I$89,5,0)</f>
        <v>169.47320000000005</v>
      </c>
      <c r="CV39" s="14">
        <f t="shared" si="41"/>
        <v>42.97201660617938</v>
      </c>
      <c r="CW39" s="22">
        <f t="shared" si="13"/>
        <v>370.00875225576243</v>
      </c>
      <c r="CX39" s="62">
        <f t="shared" si="14"/>
        <v>589.13429464880141</v>
      </c>
      <c r="CY39" s="62">
        <f ca="1">AVERAGE(OFFSET($CX$3,0,0,'Données projet'!$E$13+1,1))-AVERAGE(OFFSET($H$3,0,0,'Données projet'!$E$13+1,1))</f>
        <v>530.27599556821826</v>
      </c>
      <c r="CZ39" s="62">
        <f t="shared" si="42"/>
        <v>370.62231794492129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1.8804697804597967</v>
      </c>
      <c r="DI39" s="24">
        <f t="shared" si="15"/>
        <v>1.8804697804597967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117.75191999999998</v>
      </c>
      <c r="DQ39" s="14">
        <f t="shared" si="43"/>
        <v>31.150095841896434</v>
      </c>
      <c r="DR39" s="22">
        <f t="shared" si="16"/>
        <v>259.33767759130296</v>
      </c>
      <c r="DS39" s="62">
        <f t="shared" si="17"/>
        <v>478.46321998434189</v>
      </c>
      <c r="DT39" s="62">
        <f ca="1">AVERAGE(OFFSET($DS$3,0,0,'Données projet'!$E$14+1,1))-AVERAGE(OFFSET($H$3,0,0,'Données projet'!$E$14+1,1))</f>
        <v>520.23742527061836</v>
      </c>
      <c r="DU39" s="62">
        <f t="shared" si="44"/>
        <v>321.35925479331274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9.6</v>
      </c>
      <c r="EJ39" s="13">
        <f>IF('Données projet'!$A$192&gt;35,EJ38+EI39-ER38,IF(A39&lt;'Données projet'!$A$192,$EG$205^A39,IF(A39='Données projet'!$A$192,'Données projet'!$B$192,EJ38+EI39-ER38)))</f>
        <v>152.59999999999997</v>
      </c>
      <c r="EK39" s="18">
        <f>EJ39*VLOOKUP('Données projet'!$B$15,Paramètres!$A$1:$I$89,3,0)*VLOOKUP('Données projet'!$B$15,Paramètres!$A$1:$I$89,5,0)</f>
        <v>159.49751999999998</v>
      </c>
      <c r="EL39" s="14">
        <f t="shared" si="45"/>
        <v>40.729158900674001</v>
      </c>
      <c r="EM39" s="22">
        <f t="shared" si="19"/>
        <v>348.72813241867385</v>
      </c>
      <c r="EN39" s="62">
        <f t="shared" si="20"/>
        <v>567.85367481171284</v>
      </c>
      <c r="EO39" s="62">
        <f ca="1">AVERAGE(OFFSET($EN$3,0,0,'Données projet'!$E$15+1,1))-AVERAGE(OFFSET($H$3,0,0,'Données projet'!$E$15+1,1))</f>
        <v>435.44444011810265</v>
      </c>
      <c r="EP39" s="62">
        <f t="shared" si="46"/>
        <v>447.15868732689762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11.2</v>
      </c>
      <c r="FE39" s="13">
        <f>IF('Données projet'!$A$218&gt;35,FE38+FD39-FM38,IF(A39&lt;'Données projet'!$A$218,$FB$205^A39,IF(A39='Données projet'!$A$218,'Données projet'!$B$218,FE38+FD39-FM38)))</f>
        <v>130.20000000000005</v>
      </c>
      <c r="FF39" s="18">
        <f>FE39*VLOOKUP('Données projet'!$B$16,Paramètres!$A$1:$I$89,3,0)*VLOOKUP('Données projet'!$B$16,Paramètres!$A$1:$I$89,5,0)</f>
        <v>132.02280000000007</v>
      </c>
      <c r="FG39" s="14">
        <f t="shared" si="47"/>
        <v>34.463348169992798</v>
      </c>
      <c r="FH39" s="22">
        <f t="shared" si="22"/>
        <v>289.96337472940422</v>
      </c>
      <c r="FI39" s="62">
        <f t="shared" si="23"/>
        <v>509.08891712244315</v>
      </c>
      <c r="FJ39" s="62">
        <f ca="1">AVERAGE(OFFSET($FI$3,0,0,'Données projet'!$E$16+1,1))-AVERAGE(OFFSET($H$3,0,0,'Données projet'!$E$16+1,1))</f>
        <v>547.89540791313675</v>
      </c>
      <c r="FK39" s="62">
        <f t="shared" si="48"/>
        <v>345.19555189302378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14.4</v>
      </c>
      <c r="FZ39" s="13">
        <f>IF('Données projet'!$A$244&gt;35,FZ38+FY39-GH38,IF(A39&lt;'Données projet'!$A$244,$FW$205^A39,IF(A39='Données projet'!$A$244,'Données projet'!$B$244,FZ38+FY39-GH38)))</f>
        <v>206.40000000000003</v>
      </c>
      <c r="GA39" s="18">
        <f>FZ39*VLOOKUP('Données projet'!$B$17,Paramètres!$A$1:$I$89,3,0)*VLOOKUP('Données projet'!$B$17,Paramètres!$A$1:$I$89,5,0)</f>
        <v>123.42720000000003</v>
      </c>
      <c r="GB39" s="14">
        <f t="shared" si="49"/>
        <v>32.473022671122074</v>
      </c>
      <c r="GC39" s="22">
        <f t="shared" si="25"/>
        <v>271.5262211522043</v>
      </c>
      <c r="GD39" s="62">
        <f t="shared" si="26"/>
        <v>490.65176354524328</v>
      </c>
      <c r="GE39" s="62">
        <f ca="1">AVERAGE(OFFSET($GD$3,0,0,'Données projet'!$E$17+1,1))-AVERAGE(OFFSET($H$3,0,0,'Données projet'!$E$17+1,1))</f>
        <v>409.68685886029164</v>
      </c>
      <c r="GF39" s="62">
        <f t="shared" si="50"/>
        <v>330.8416508650887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3.2165462631248718</v>
      </c>
      <c r="GO39" s="23">
        <f t="shared" si="27"/>
        <v>3.2165462631248718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73.098184695482075</v>
      </c>
      <c r="T40" s="62">
        <f t="shared" si="34"/>
        <v>334.38551711782793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47.670514407423411</v>
      </c>
      <c r="AA40" s="23">
        <f>EXP(-LN(2)/25)*AA39+(1-EXP(-LN(2)/25))/(LN(2)/25)*Calculateur!V40*Calculateur!X40*VLOOKUP('Données projet'!$B$9,Paramètres!$A$1:$I$89,3,0)*0.475*44/12</f>
        <v>11.318248425077455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58.988762832500868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70.520400819593021</v>
      </c>
      <c r="AO40" s="62">
        <f t="shared" si="36"/>
        <v>321.48616153644309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45.477085830394721</v>
      </c>
      <c r="AV40" s="23">
        <f>EXP(-LN(2)/25)*AV39+(1-EXP(-LN(2)/25))/(LN(2)/25)*Calculateur!AQ40*Calculateur!AS40*VLOOKUP('Données projet'!$B$10,Paramètres!$A$1:$I$89,3,0)*0.475*44/12</f>
        <v>10.797470123310083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56.274555953704805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319.14285714285711</v>
      </c>
      <c r="BE40" s="14">
        <f>BD40*VLOOKUP('Données projet'!$B$11,Paramètres!$A$1:$I$89,3,0)*VLOOKUP('Données projet'!$B$11,Paramètres!$A$1:$I$89,5,0)</f>
        <v>149.35885714285715</v>
      </c>
      <c r="BF40" s="14">
        <f t="shared" si="37"/>
        <v>38.432847302798578</v>
      </c>
      <c r="BG40" s="22">
        <f t="shared" si="7"/>
        <v>327.07055190951706</v>
      </c>
      <c r="BH40" s="62">
        <f t="shared" si="8"/>
        <v>547.48343357160388</v>
      </c>
      <c r="BI40" s="62">
        <f ca="1">AVERAGE(OFFSET($BH$3,0,0,'Données projet'!$E$11+1,1))-AVERAGE(OFFSET($H$3,0,0,'Données projet'!$E$11+1,1))</f>
        <v>374.62597460242665</v>
      </c>
      <c r="BJ40" s="62">
        <f t="shared" si="38"/>
        <v>277.50105097454616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5.875</v>
      </c>
      <c r="BY40" s="13">
        <f>IF('Données projet'!$A$114&gt;35,BY39+BX40-CG39,IF(A40&lt;'Données projet'!$A$114,$BV$205^A40,IF(A40='Données projet'!$A$114,'Données projet'!$B$114,BY39+BX40-CG39)))</f>
        <v>106.125</v>
      </c>
      <c r="BZ40" s="14">
        <f>BY40*VLOOKUP('Données projet'!$B$12,Paramètres!$A$1:$I$89,3,0)*VLOOKUP('Données projet'!$B$12,Paramètres!$A$1:$I$89,5,0)</f>
        <v>49.666499999999999</v>
      </c>
      <c r="CA40" s="14">
        <f t="shared" si="39"/>
        <v>14.527598316547197</v>
      </c>
      <c r="CB40" s="22">
        <f t="shared" si="10"/>
        <v>111.80472123465302</v>
      </c>
      <c r="CC40" s="62">
        <f t="shared" si="11"/>
        <v>332.21760289673978</v>
      </c>
      <c r="CD40" s="62">
        <f ca="1">AVERAGE(OFFSET($CC$3,0,0,'Données projet'!$E$12+1,1))-AVERAGE(OFFSET($H$3,0,0,'Données projet'!$E$12+1,1))</f>
        <v>329.79342219561465</v>
      </c>
      <c r="CE40" s="62">
        <f t="shared" si="40"/>
        <v>144.63206563329757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13.4</v>
      </c>
      <c r="CT40" s="13">
        <f>IF('Données projet'!$A$140&gt;35,CT39+CS40-DB39,IF(A40&lt;'Données projet'!$A$140,$CQ$205^A40,IF(A40='Données projet'!$A$140,'Données projet'!$B$140,CT39+CS40-DB39)))</f>
        <v>296.8</v>
      </c>
      <c r="CU40" s="18">
        <f>CT40*VLOOKUP('Données projet'!$B$13,Paramètres!$A$1:$I$89,3,0)*VLOOKUP('Données projet'!$B$13,Paramètres!$A$1:$I$89,5,0)</f>
        <v>177.48640000000003</v>
      </c>
      <c r="CV40" s="14">
        <f t="shared" si="41"/>
        <v>44.762499594286325</v>
      </c>
      <c r="CW40" s="22">
        <f t="shared" si="13"/>
        <v>387.08350012671536</v>
      </c>
      <c r="CX40" s="62">
        <f t="shared" si="14"/>
        <v>607.49638178880218</v>
      </c>
      <c r="CY40" s="62">
        <f ca="1">AVERAGE(OFFSET($CX$3,0,0,'Données projet'!$E$13+1,1))-AVERAGE(OFFSET($H$3,0,0,'Données projet'!$E$13+1,1))</f>
        <v>530.27599556821826</v>
      </c>
      <c r="CZ40" s="62">
        <f t="shared" si="42"/>
        <v>370.62231794492129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1.3296929335795007</v>
      </c>
      <c r="DI40" s="24">
        <f t="shared" si="15"/>
        <v>1.3296929335795007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127.31783999999999</v>
      </c>
      <c r="DQ40" s="14">
        <f t="shared" si="43"/>
        <v>33.375840922385116</v>
      </c>
      <c r="DR40" s="22">
        <f t="shared" si="16"/>
        <v>279.87482760648737</v>
      </c>
      <c r="DS40" s="62">
        <f t="shared" si="17"/>
        <v>500.28770926857413</v>
      </c>
      <c r="DT40" s="62">
        <f ca="1">AVERAGE(OFFSET($DS$3,0,0,'Données projet'!$E$14+1,1))-AVERAGE(OFFSET($H$3,0,0,'Données projet'!$E$14+1,1))</f>
        <v>520.23742527061836</v>
      </c>
      <c r="DU40" s="62">
        <f t="shared" si="44"/>
        <v>321.35925479331274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9.6</v>
      </c>
      <c r="EJ40" s="13">
        <f>IF('Données projet'!$A$192&gt;35,EJ39+EI40-ER39,IF(A40&lt;'Données projet'!$A$192,$EG$205^A40,IF(A40='Données projet'!$A$192,'Données projet'!$B$192,EJ39+EI40-ER39)))</f>
        <v>162.19999999999996</v>
      </c>
      <c r="EK40" s="18">
        <f>EJ40*VLOOKUP('Données projet'!$B$15,Paramètres!$A$1:$I$89,3,0)*VLOOKUP('Données projet'!$B$15,Paramètres!$A$1:$I$89,5,0)</f>
        <v>169.53143999999998</v>
      </c>
      <c r="EL40" s="14">
        <f t="shared" si="45"/>
        <v>42.985064880945743</v>
      </c>
      <c r="EM40" s="22">
        <f t="shared" si="19"/>
        <v>370.13291266764713</v>
      </c>
      <c r="EN40" s="62">
        <f t="shared" si="20"/>
        <v>590.54579432973389</v>
      </c>
      <c r="EO40" s="62">
        <f ca="1">AVERAGE(OFFSET($EN$3,0,0,'Données projet'!$E$15+1,1))-AVERAGE(OFFSET($H$3,0,0,'Données projet'!$E$15+1,1))</f>
        <v>435.44444011810265</v>
      </c>
      <c r="EP40" s="62">
        <f t="shared" si="46"/>
        <v>447.15868732689762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11.2</v>
      </c>
      <c r="FE40" s="13">
        <f>IF('Données projet'!$A$218&gt;35,FE39+FD40-FM39,IF(A40&lt;'Données projet'!$A$218,$FB$205^A40,IF(A40='Données projet'!$A$218,'Données projet'!$B$218,FE39+FD40-FM39)))</f>
        <v>141.40000000000003</v>
      </c>
      <c r="FF40" s="18">
        <f>FE40*VLOOKUP('Données projet'!$B$16,Paramètres!$A$1:$I$89,3,0)*VLOOKUP('Données projet'!$B$16,Paramètres!$A$1:$I$89,5,0)</f>
        <v>143.37960000000004</v>
      </c>
      <c r="FG40" s="14">
        <f t="shared" si="47"/>
        <v>37.070146308317469</v>
      </c>
      <c r="FH40" s="22">
        <f t="shared" si="22"/>
        <v>314.28330815365302</v>
      </c>
      <c r="FI40" s="62">
        <f t="shared" si="23"/>
        <v>534.69618981573979</v>
      </c>
      <c r="FJ40" s="62">
        <f ca="1">AVERAGE(OFFSET($FI$3,0,0,'Données projet'!$E$16+1,1))-AVERAGE(OFFSET($H$3,0,0,'Données projet'!$E$16+1,1))</f>
        <v>547.89540791313675</v>
      </c>
      <c r="FK40" s="62">
        <f t="shared" si="48"/>
        <v>345.19555189302378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14.4</v>
      </c>
      <c r="FZ40" s="13">
        <f>IF('Données projet'!$A$244&gt;35,FZ39+FY40-GH39,IF(A40&lt;'Données projet'!$A$244,$FW$205^A40,IF(A40='Données projet'!$A$244,'Données projet'!$B$244,FZ39+FY40-GH39)))</f>
        <v>220.80000000000004</v>
      </c>
      <c r="GA40" s="18">
        <f>FZ40*VLOOKUP('Données projet'!$B$17,Paramètres!$A$1:$I$89,3,0)*VLOOKUP('Données projet'!$B$17,Paramètres!$A$1:$I$89,5,0)</f>
        <v>132.03840000000005</v>
      </c>
      <c r="GB40" s="14">
        <f t="shared" si="49"/>
        <v>34.466946374534373</v>
      </c>
      <c r="GC40" s="22">
        <f t="shared" si="25"/>
        <v>289.99681160231415</v>
      </c>
      <c r="GD40" s="62">
        <f t="shared" si="26"/>
        <v>510.40969326440091</v>
      </c>
      <c r="GE40" s="62">
        <f ca="1">AVERAGE(OFFSET($GD$3,0,0,'Données projet'!$E$17+1,1))-AVERAGE(OFFSET($H$3,0,0,'Données projet'!$E$17+1,1))</f>
        <v>409.68685886029164</v>
      </c>
      <c r="GF40" s="62">
        <f t="shared" si="50"/>
        <v>330.8416508650887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2.2744416746558458</v>
      </c>
      <c r="GO40" s="23">
        <f t="shared" si="27"/>
        <v>2.2744416746558458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73.098184695482075</v>
      </c>
      <c r="T41" s="62">
        <f t="shared" si="34"/>
        <v>334.38551711782793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46.735724696036598</v>
      </c>
      <c r="AA41" s="23">
        <f>EXP(-LN(2)/25)*AA40+(1-EXP(-LN(2)/25))/(LN(2)/25)*Calculateur!V41*Calculateur!X41*VLOOKUP('Données projet'!$B$9,Paramètres!$A$1:$I$89,3,0)*0.475*44/12</f>
        <v>11.008750326692896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57.744475022729496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70.520400819593021</v>
      </c>
      <c r="AO41" s="62">
        <f t="shared" si="36"/>
        <v>321.48616153644309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44.585307915544107</v>
      </c>
      <c r="AV41" s="23">
        <f>EXP(-LN(2)/25)*AV40+(1-EXP(-LN(2)/25))/(LN(2)/25)*Calculateur!AQ41*Calculateur!AS41*VLOOKUP('Données projet'!$B$10,Paramètres!$A$1:$I$89,3,0)*0.475*44/12</f>
        <v>10.502212734973893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55.087520650518002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338.71428571428567</v>
      </c>
      <c r="BE41" s="14">
        <f>BD41*VLOOKUP('Données projet'!$B$11,Paramètres!$A$1:$I$89,3,0)*VLOOKUP('Données projet'!$B$11,Paramètres!$A$1:$I$89,5,0)</f>
        <v>158.5182857142857</v>
      </c>
      <c r="BF41" s="14">
        <f t="shared" si="37"/>
        <v>40.508129862224799</v>
      </c>
      <c r="BG41" s="22">
        <f t="shared" si="7"/>
        <v>346.63767379575575</v>
      </c>
      <c r="BH41" s="62">
        <f t="shared" si="8"/>
        <v>568.31556226863165</v>
      </c>
      <c r="BI41" s="62">
        <f ca="1">AVERAGE(OFFSET($BH$3,0,0,'Données projet'!$E$11+1,1))-AVERAGE(OFFSET($H$3,0,0,'Données projet'!$E$11+1,1))</f>
        <v>374.62597460242665</v>
      </c>
      <c r="BJ41" s="62">
        <f t="shared" si="38"/>
        <v>277.50105097454616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>
        <f>VLOOKUP(A41,'Données projet'!$A$113:$I$133,2,0)</f>
        <v>112</v>
      </c>
      <c r="BW41" s="13">
        <f>VLOOKUP(A41,'Données projet'!$A$113:$I$133,9,0)</f>
        <v>5.875</v>
      </c>
      <c r="BX41" s="13">
        <f t="array" ref="BX41">INDEX(BW:BW,MIN(IF(ISNUMBER(BW41:BW237),ROW(BW41:BW237),"")))</f>
        <v>5.875</v>
      </c>
      <c r="BY41" s="13">
        <f>IF('Données projet'!$A$114&gt;35,BY40+BX41-CG40,IF(A41&lt;'Données projet'!$A$114,$BV$205^A41,IF(A41='Données projet'!$A$114,'Données projet'!$B$114,BY40+BX41-CG40)))</f>
        <v>112</v>
      </c>
      <c r="BZ41" s="14">
        <f>BY41*VLOOKUP('Données projet'!$B$12,Paramètres!$A$1:$I$89,3,0)*VLOOKUP('Données projet'!$B$12,Paramètres!$A$1:$I$89,5,0)</f>
        <v>52.416000000000004</v>
      </c>
      <c r="CA41" s="14">
        <f t="shared" si="39"/>
        <v>15.235978301273029</v>
      </c>
      <c r="CB41" s="22">
        <f t="shared" si="10"/>
        <v>117.82719554138386</v>
      </c>
      <c r="CC41" s="62">
        <f t="shared" si="11"/>
        <v>339.50508401425981</v>
      </c>
      <c r="CD41" s="62">
        <f ca="1">AVERAGE(OFFSET($CC$3,0,0,'Données projet'!$E$12+1,1))-AVERAGE(OFFSET($H$3,0,0,'Données projet'!$E$12+1,1))</f>
        <v>329.79342219561465</v>
      </c>
      <c r="CE41" s="62">
        <f t="shared" si="40"/>
        <v>144.63206563329757</v>
      </c>
      <c r="CF41" s="16">
        <f>IF(ISNA(VLOOKUP(A41,'Données projet'!$A$113:$I$133,3,0)),0,VLOOKUP(A41,'Données projet'!$A$113:$I$133,3,0))</f>
        <v>2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13.4</v>
      </c>
      <c r="CT41" s="13">
        <f>IF('Données projet'!$A$140&gt;35,CT40+CS41-DB40,IF(A41&lt;'Données projet'!$A$140,$CQ$205^A41,IF(A41='Données projet'!$A$140,'Données projet'!$B$140,CT40+CS41-DB40)))</f>
        <v>310.2</v>
      </c>
      <c r="CU41" s="18">
        <f>CT41*VLOOKUP('Données projet'!$B$13,Paramètres!$A$1:$I$89,3,0)*VLOOKUP('Données projet'!$B$13,Paramètres!$A$1:$I$89,5,0)</f>
        <v>185.49960000000002</v>
      </c>
      <c r="CV41" s="14">
        <f t="shared" si="41"/>
        <v>46.543594449249056</v>
      </c>
      <c r="CW41" s="22">
        <f t="shared" si="13"/>
        <v>404.14189699910884</v>
      </c>
      <c r="CX41" s="62">
        <f t="shared" si="14"/>
        <v>625.8197854719848</v>
      </c>
      <c r="CY41" s="62">
        <f ca="1">AVERAGE(OFFSET($CX$3,0,0,'Données projet'!$E$13+1,1))-AVERAGE(OFFSET($H$3,0,0,'Données projet'!$E$13+1,1))</f>
        <v>530.27599556821826</v>
      </c>
      <c r="CZ41" s="62">
        <f t="shared" si="42"/>
        <v>370.62231794492129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0.94023489022989848</v>
      </c>
      <c r="DI41" s="24">
        <f t="shared" si="15"/>
        <v>0.94023489022989848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136.88376</v>
      </c>
      <c r="DQ41" s="14">
        <f t="shared" si="43"/>
        <v>35.582186102964961</v>
      </c>
      <c r="DR41" s="22">
        <f t="shared" si="16"/>
        <v>300.37818946266395</v>
      </c>
      <c r="DS41" s="62">
        <f t="shared" si="17"/>
        <v>522.05607793553986</v>
      </c>
      <c r="DT41" s="62">
        <f ca="1">AVERAGE(OFFSET($DS$3,0,0,'Données projet'!$E$14+1,1))-AVERAGE(OFFSET($H$3,0,0,'Données projet'!$E$14+1,1))</f>
        <v>520.23742527061836</v>
      </c>
      <c r="DU41" s="62">
        <f t="shared" si="44"/>
        <v>321.35925479331274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9.6</v>
      </c>
      <c r="EJ41" s="13">
        <f>IF('Données projet'!$A$192&gt;35,EJ40+EI41-ER40,IF(A41&lt;'Données projet'!$A$192,$EG$205^A41,IF(A41='Données projet'!$A$192,'Données projet'!$B$192,EJ40+EI41-ER40)))</f>
        <v>171.79999999999995</v>
      </c>
      <c r="EK41" s="18">
        <f>EJ41*VLOOKUP('Données projet'!$B$15,Paramètres!$A$1:$I$89,3,0)*VLOOKUP('Données projet'!$B$15,Paramètres!$A$1:$I$89,5,0)</f>
        <v>179.56535999999997</v>
      </c>
      <c r="EL41" s="14">
        <f t="shared" si="45"/>
        <v>45.22547317259032</v>
      </c>
      <c r="EM41" s="22">
        <f t="shared" si="19"/>
        <v>391.51070110892806</v>
      </c>
      <c r="EN41" s="62">
        <f t="shared" si="20"/>
        <v>613.18858958180397</v>
      </c>
      <c r="EO41" s="62">
        <f ca="1">AVERAGE(OFFSET($EN$3,0,0,'Données projet'!$E$15+1,1))-AVERAGE(OFFSET($H$3,0,0,'Données projet'!$E$15+1,1))</f>
        <v>435.44444011810265</v>
      </c>
      <c r="EP41" s="62">
        <f t="shared" si="46"/>
        <v>447.15868732689762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11.2</v>
      </c>
      <c r="FE41" s="13">
        <f>IF('Données projet'!$A$218&gt;35,FE40+FD41-FM40,IF(A41&lt;'Données projet'!$A$218,$FB$205^A41,IF(A41='Données projet'!$A$218,'Données projet'!$B$218,FE40+FD41-FM40)))</f>
        <v>152.60000000000002</v>
      </c>
      <c r="FF41" s="18">
        <f>FE41*VLOOKUP('Données projet'!$B$16,Paramètres!$A$1:$I$89,3,0)*VLOOKUP('Données projet'!$B$16,Paramètres!$A$1:$I$89,5,0)</f>
        <v>154.73640000000003</v>
      </c>
      <c r="FG41" s="14">
        <f t="shared" si="47"/>
        <v>39.652994320183701</v>
      </c>
      <c r="FH41" s="22">
        <f t="shared" si="22"/>
        <v>338.56152844098665</v>
      </c>
      <c r="FI41" s="62">
        <f t="shared" si="23"/>
        <v>560.23941691386256</v>
      </c>
      <c r="FJ41" s="62">
        <f ca="1">AVERAGE(OFFSET($FI$3,0,0,'Données projet'!$E$16+1,1))-AVERAGE(OFFSET($H$3,0,0,'Données projet'!$E$16+1,1))</f>
        <v>547.89540791313675</v>
      </c>
      <c r="FK41" s="62">
        <f t="shared" si="48"/>
        <v>345.19555189302378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14.4</v>
      </c>
      <c r="FZ41" s="13">
        <f>IF('Données projet'!$A$244&gt;35,FZ40+FY41-GH40,IF(A41&lt;'Données projet'!$A$244,$FW$205^A41,IF(A41='Données projet'!$A$244,'Données projet'!$B$244,FZ40+FY41-GH40)))</f>
        <v>235.20000000000005</v>
      </c>
      <c r="GA41" s="18">
        <f>FZ41*VLOOKUP('Données projet'!$B$17,Paramètres!$A$1:$I$89,3,0)*VLOOKUP('Données projet'!$B$17,Paramètres!$A$1:$I$89,5,0)</f>
        <v>140.64960000000002</v>
      </c>
      <c r="GB41" s="14">
        <f t="shared" si="49"/>
        <v>36.445779615258601</v>
      </c>
      <c r="GC41" s="22">
        <f t="shared" si="25"/>
        <v>308.44111949657542</v>
      </c>
      <c r="GD41" s="62">
        <f t="shared" si="26"/>
        <v>530.11900796945133</v>
      </c>
      <c r="GE41" s="62">
        <f ca="1">AVERAGE(OFFSET($GD$3,0,0,'Données projet'!$E$17+1,1))-AVERAGE(OFFSET($H$3,0,0,'Données projet'!$E$17+1,1))</f>
        <v>409.68685886029164</v>
      </c>
      <c r="GF41" s="62">
        <f t="shared" si="50"/>
        <v>330.8416508650887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1.6082731315624359</v>
      </c>
      <c r="GO41" s="23">
        <f t="shared" si="27"/>
        <v>1.6082731315624359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73.098184695482075</v>
      </c>
      <c r="T42" s="62">
        <f t="shared" si="34"/>
        <v>334.38551711782793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45.819265640724652</v>
      </c>
      <c r="AA42" s="23">
        <f>EXP(-LN(2)/25)*AA41+(1-EXP(-LN(2)/25))/(LN(2)/25)*Calculateur!V42*Calculateur!X42*VLOOKUP('Données projet'!$B$9,Paramètres!$A$1:$I$89,3,0)*0.475*44/12</f>
        <v>10.707715470084461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56.52698111080911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70.520400819593021</v>
      </c>
      <c r="AO42" s="62">
        <f t="shared" si="36"/>
        <v>321.48616153644309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43.711017221672897</v>
      </c>
      <c r="AV42" s="23">
        <f>EXP(-LN(2)/25)*AV41+(1-EXP(-LN(2)/25))/(LN(2)/25)*Calculateur!AQ42*Calculateur!AS42*VLOOKUP('Données projet'!$B$10,Paramètres!$A$1:$I$89,3,0)*0.475*44/12</f>
        <v>10.215029175448668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53.926046397121567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358.28571428571422</v>
      </c>
      <c r="BE42" s="14">
        <f>BD42*VLOOKUP('Données projet'!$B$11,Paramètres!$A$1:$I$89,3,0)*VLOOKUP('Données projet'!$B$11,Paramètres!$A$1:$I$89,5,0)</f>
        <v>167.67771428571425</v>
      </c>
      <c r="BF42" s="14">
        <f t="shared" si="37"/>
        <v>42.569493207492975</v>
      </c>
      <c r="BG42" s="22">
        <f t="shared" si="7"/>
        <v>366.18055305066923</v>
      </c>
      <c r="BH42" s="62">
        <f t="shared" si="8"/>
        <v>589.10150329429871</v>
      </c>
      <c r="BI42" s="62">
        <f ca="1">AVERAGE(OFFSET($BH$3,0,0,'Données projet'!$E$11+1,1))-AVERAGE(OFFSET($H$3,0,0,'Données projet'!$E$11+1,1))</f>
        <v>374.62597460242665</v>
      </c>
      <c r="BJ42" s="62">
        <f t="shared" si="38"/>
        <v>277.50105097454616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119</v>
      </c>
      <c r="BZ42" s="14">
        <f>BY42*VLOOKUP('Données projet'!$B$12,Paramètres!$A$1:$I$89,3,0)*VLOOKUP('Données projet'!$B$12,Paramètres!$A$1:$I$89,5,0)</f>
        <v>55.692</v>
      </c>
      <c r="CA42" s="14">
        <f t="shared" si="39"/>
        <v>16.074393504165204</v>
      </c>
      <c r="CB42" s="22">
        <f t="shared" si="10"/>
        <v>124.99313535308772</v>
      </c>
      <c r="CC42" s="62">
        <f t="shared" si="11"/>
        <v>347.9140855967172</v>
      </c>
      <c r="CD42" s="62">
        <f ca="1">AVERAGE(OFFSET($CC$3,0,0,'Données projet'!$E$12+1,1))-AVERAGE(OFFSET($H$3,0,0,'Données projet'!$E$12+1,1))</f>
        <v>329.79342219561465</v>
      </c>
      <c r="CE42" s="62">
        <f t="shared" si="40"/>
        <v>144.63206563329757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13.4</v>
      </c>
      <c r="CT42" s="13">
        <f>IF('Données projet'!$A$140&gt;35,CT41+CS42-DB41,IF(A42&lt;'Données projet'!$A$140,$CQ$205^A42,IF(A42='Données projet'!$A$140,'Données projet'!$B$140,CT41+CS42-DB41)))</f>
        <v>323.59999999999997</v>
      </c>
      <c r="CU42" s="18">
        <f>CT42*VLOOKUP('Données projet'!$B$13,Paramètres!$A$1:$I$89,3,0)*VLOOKUP('Données projet'!$B$13,Paramètres!$A$1:$I$89,5,0)</f>
        <v>193.5128</v>
      </c>
      <c r="CV42" s="14">
        <f t="shared" si="41"/>
        <v>48.315753075335742</v>
      </c>
      <c r="CW42" s="22">
        <f t="shared" si="13"/>
        <v>421.1847299395431</v>
      </c>
      <c r="CX42" s="62">
        <f t="shared" si="14"/>
        <v>644.10568018317258</v>
      </c>
      <c r="CY42" s="62">
        <f ca="1">AVERAGE(OFFSET($CX$3,0,0,'Données projet'!$E$13+1,1))-AVERAGE(OFFSET($H$3,0,0,'Données projet'!$E$13+1,1))</f>
        <v>530.27599556821826</v>
      </c>
      <c r="CZ42" s="62">
        <f t="shared" si="42"/>
        <v>370.62231794492129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0.66484646678975035</v>
      </c>
      <c r="DI42" s="24">
        <f t="shared" si="15"/>
        <v>0.66484646678975035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146.44968</v>
      </c>
      <c r="DQ42" s="14">
        <f t="shared" si="43"/>
        <v>37.770641329147324</v>
      </c>
      <c r="DR42" s="22">
        <f t="shared" si="16"/>
        <v>320.8503929815983</v>
      </c>
      <c r="DS42" s="62">
        <f t="shared" si="17"/>
        <v>543.77134322522784</v>
      </c>
      <c r="DT42" s="62">
        <f ca="1">AVERAGE(OFFSET($DS$3,0,0,'Données projet'!$E$14+1,1))-AVERAGE(OFFSET($H$3,0,0,'Données projet'!$E$14+1,1))</f>
        <v>520.23742527061836</v>
      </c>
      <c r="DU42" s="62">
        <f t="shared" si="44"/>
        <v>321.35925479331274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9.6</v>
      </c>
      <c r="EJ42" s="13">
        <f>IF('Données projet'!$A$192&gt;35,EJ41+EI42-ER41,IF(A42&lt;'Données projet'!$A$192,$EG$205^A42,IF(A42='Données projet'!$A$192,'Données projet'!$B$192,EJ41+EI42-ER41)))</f>
        <v>181.39999999999995</v>
      </c>
      <c r="EK42" s="18">
        <f>EJ42*VLOOKUP('Données projet'!$B$15,Paramètres!$A$1:$I$89,3,0)*VLOOKUP('Données projet'!$B$15,Paramètres!$A$1:$I$89,5,0)</f>
        <v>189.59927999999996</v>
      </c>
      <c r="EL42" s="14">
        <f t="shared" si="45"/>
        <v>47.451348465617379</v>
      </c>
      <c r="EM42" s="22">
        <f t="shared" si="19"/>
        <v>412.86317791095013</v>
      </c>
      <c r="EN42" s="62">
        <f t="shared" si="20"/>
        <v>635.78412815457966</v>
      </c>
      <c r="EO42" s="62">
        <f ca="1">AVERAGE(OFFSET($EN$3,0,0,'Données projet'!$E$15+1,1))-AVERAGE(OFFSET($H$3,0,0,'Données projet'!$E$15+1,1))</f>
        <v>435.44444011810265</v>
      </c>
      <c r="EP42" s="62">
        <f t="shared" si="46"/>
        <v>447.15868732689762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11.2</v>
      </c>
      <c r="FE42" s="13">
        <f>IF('Données projet'!$A$218&gt;35,FE41+FD42-FM41,IF(A42&lt;'Données projet'!$A$218,$FB$205^A42,IF(A42='Données projet'!$A$218,'Données projet'!$B$218,FE41+FD42-FM41)))</f>
        <v>163.80000000000001</v>
      </c>
      <c r="FF42" s="18">
        <f>FE42*VLOOKUP('Données projet'!$B$16,Paramètres!$A$1:$I$89,3,0)*VLOOKUP('Données projet'!$B$16,Paramètres!$A$1:$I$89,5,0)</f>
        <v>166.09320000000002</v>
      </c>
      <c r="FG42" s="14">
        <f t="shared" si="47"/>
        <v>42.213849908165905</v>
      </c>
      <c r="FH42" s="22">
        <f t="shared" si="22"/>
        <v>362.80144525672227</v>
      </c>
      <c r="FI42" s="62">
        <f t="shared" si="23"/>
        <v>585.72239550035181</v>
      </c>
      <c r="FJ42" s="62">
        <f ca="1">AVERAGE(OFFSET($FI$3,0,0,'Données projet'!$E$16+1,1))-AVERAGE(OFFSET($H$3,0,0,'Données projet'!$E$16+1,1))</f>
        <v>547.89540791313675</v>
      </c>
      <c r="FK42" s="62">
        <f t="shared" si="48"/>
        <v>345.19555189302378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14.4</v>
      </c>
      <c r="FZ42" s="13">
        <f>IF('Données projet'!$A$244&gt;35,FZ41+FY42-GH41,IF(A42&lt;'Données projet'!$A$244,$FW$205^A42,IF(A42='Données projet'!$A$244,'Données projet'!$B$244,FZ41+FY42-GH41)))</f>
        <v>249.60000000000005</v>
      </c>
      <c r="GA42" s="18">
        <f>FZ42*VLOOKUP('Données projet'!$B$17,Paramètres!$A$1:$I$89,3,0)*VLOOKUP('Données projet'!$B$17,Paramètres!$A$1:$I$89,5,0)</f>
        <v>149.26080000000005</v>
      </c>
      <c r="GB42" s="14">
        <f t="shared" si="49"/>
        <v>38.410551499792909</v>
      </c>
      <c r="GC42" s="22">
        <f t="shared" si="25"/>
        <v>326.86093719547273</v>
      </c>
      <c r="GD42" s="62">
        <f t="shared" si="26"/>
        <v>549.78188743910221</v>
      </c>
      <c r="GE42" s="62">
        <f ca="1">AVERAGE(OFFSET($GD$3,0,0,'Données projet'!$E$17+1,1))-AVERAGE(OFFSET($H$3,0,0,'Données projet'!$E$17+1,1))</f>
        <v>409.68685886029164</v>
      </c>
      <c r="GF42" s="62">
        <f t="shared" si="50"/>
        <v>330.8416508650887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1.1372208373279229</v>
      </c>
      <c r="GO42" s="23">
        <f t="shared" si="27"/>
        <v>1.1372208373279229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73.098184695482075</v>
      </c>
      <c r="T43" s="62">
        <f t="shared" si="34"/>
        <v>334.38551711782793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44.920777788502548</v>
      </c>
      <c r="AA43" s="23">
        <f>EXP(-LN(2)/25)*AA42+(1-EXP(-LN(2)/25))/(LN(2)/25)*Calculateur!V43*Calculateur!X43*VLOOKUP('Données projet'!$B$9,Paramètres!$A$1:$I$89,3,0)*0.475*44/12</f>
        <v>10.414912427460717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55.335690215963268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70.520400819593021</v>
      </c>
      <c r="AO43" s="62">
        <f t="shared" si="36"/>
        <v>321.48616153644309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42.853870835043836</v>
      </c>
      <c r="AV43" s="23">
        <f>EXP(-LN(2)/25)*AV42+(1-EXP(-LN(2)/25))/(LN(2)/25)*Calculateur!AQ43*Calculateur!AS43*VLOOKUP('Données projet'!$B$10,Paramètres!$A$1:$I$89,3,0)*0.475*44/12</f>
        <v>9.9356986654609862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52.789569500504825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377.85714285714278</v>
      </c>
      <c r="BE43" s="14">
        <f>BD43*VLOOKUP('Données projet'!$B$11,Paramètres!$A$1:$I$89,3,0)*VLOOKUP('Données projet'!$B$11,Paramètres!$A$1:$I$89,5,0)</f>
        <v>176.83714285714279</v>
      </c>
      <c r="BF43" s="14">
        <f t="shared" si="37"/>
        <v>44.617784353930041</v>
      </c>
      <c r="BG43" s="22">
        <f t="shared" si="7"/>
        <v>385.70066489261848</v>
      </c>
      <c r="BH43" s="62">
        <f t="shared" si="8"/>
        <v>609.84311256434876</v>
      </c>
      <c r="BI43" s="62">
        <f ca="1">AVERAGE(OFFSET($BH$3,0,0,'Données projet'!$E$11+1,1))-AVERAGE(OFFSET($H$3,0,0,'Données projet'!$E$11+1,1))</f>
        <v>374.62597460242665</v>
      </c>
      <c r="BJ43" s="62">
        <f t="shared" si="38"/>
        <v>277.50105097454616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126</v>
      </c>
      <c r="BZ43" s="14">
        <f>BY43*VLOOKUP('Données projet'!$B$12,Paramètres!$A$1:$I$89,3,0)*VLOOKUP('Données projet'!$B$12,Paramètres!$A$1:$I$89,5,0)</f>
        <v>58.968000000000004</v>
      </c>
      <c r="CA43" s="14">
        <f t="shared" si="39"/>
        <v>16.90708415297112</v>
      </c>
      <c r="CB43" s="22">
        <f t="shared" si="10"/>
        <v>132.14910489975804</v>
      </c>
      <c r="CC43" s="62">
        <f t="shared" si="11"/>
        <v>356.29155257148835</v>
      </c>
      <c r="CD43" s="62">
        <f ca="1">AVERAGE(OFFSET($CC$3,0,0,'Données projet'!$E$12+1,1))-AVERAGE(OFFSET($H$3,0,0,'Données projet'!$E$12+1,1))</f>
        <v>329.79342219561465</v>
      </c>
      <c r="CE43" s="62">
        <f t="shared" si="40"/>
        <v>144.63206563329757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337</v>
      </c>
      <c r="CR43" s="13">
        <f>VLOOKUP(A43,'Données projet'!$A$139:$I$159,9,0)</f>
        <v>13.4</v>
      </c>
      <c r="CS43" s="13">
        <f t="array" ref="CS43">INDEX(CR:CR,MIN(IF(ISNUMBER(CR43:CR239),ROW(CR43:CR239),"")))</f>
        <v>13.4</v>
      </c>
      <c r="CT43" s="13">
        <f>IF('Données projet'!$A$140&gt;35,CT42+CS43-DB42,IF(A43&lt;'Données projet'!$A$140,$CQ$205^A43,IF(A43='Données projet'!$A$140,'Données projet'!$B$140,CT42+CS43-DB42)))</f>
        <v>336.99999999999994</v>
      </c>
      <c r="CU43" s="18">
        <f>CT43*VLOOKUP('Données projet'!$B$13,Paramètres!$A$1:$I$89,3,0)*VLOOKUP('Données projet'!$B$13,Paramètres!$A$1:$I$89,5,0)</f>
        <v>201.52599999999998</v>
      </c>
      <c r="CV43" s="14">
        <f t="shared" si="41"/>
        <v>50.079387833316794</v>
      </c>
      <c r="CW43" s="22">
        <f t="shared" si="13"/>
        <v>438.21271714302674</v>
      </c>
      <c r="CX43" s="62">
        <f t="shared" si="14"/>
        <v>662.35516481475702</v>
      </c>
      <c r="CY43" s="62">
        <f ca="1">AVERAGE(OFFSET($CX$3,0,0,'Données projet'!$E$13+1,1))-AVERAGE(OFFSET($H$3,0,0,'Données projet'!$E$13+1,1))</f>
        <v>530.27599556821826</v>
      </c>
      <c r="CZ43" s="62">
        <f t="shared" si="42"/>
        <v>370.62231794492129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0.47011744511494924</v>
      </c>
      <c r="DI43" s="24">
        <f t="shared" si="15"/>
        <v>0.47011744511494924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156.01559999999998</v>
      </c>
      <c r="DQ43" s="14">
        <f t="shared" si="43"/>
        <v>39.942508135025747</v>
      </c>
      <c r="DR43" s="22">
        <f t="shared" si="16"/>
        <v>341.29370500183649</v>
      </c>
      <c r="DS43" s="62">
        <f t="shared" si="17"/>
        <v>565.43615267356677</v>
      </c>
      <c r="DT43" s="62">
        <f ca="1">AVERAGE(OFFSET($DS$3,0,0,'Données projet'!$E$14+1,1))-AVERAGE(OFFSET($H$3,0,0,'Données projet'!$E$14+1,1))</f>
        <v>520.23742527061836</v>
      </c>
      <c r="DU43" s="62">
        <f t="shared" si="44"/>
        <v>321.35925479331274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191</v>
      </c>
      <c r="EH43" s="13">
        <f>VLOOKUP(A43,'Données projet'!$A$191:$I$211,9,0)</f>
        <v>9.6</v>
      </c>
      <c r="EI43" s="13">
        <f t="array" ref="EI43">INDEX(EH:EH,MIN(IF(ISNUMBER(EH43:EH239),ROW(EH43:EH239),"")))</f>
        <v>9.6</v>
      </c>
      <c r="EJ43" s="13">
        <f>IF('Données projet'!$A$192&gt;35,EJ42+EI43-ER42,IF(A43&lt;'Données projet'!$A$192,$EG$205^A43,IF(A43='Données projet'!$A$192,'Données projet'!$B$192,EJ42+EI43-ER42)))</f>
        <v>190.99999999999994</v>
      </c>
      <c r="EK43" s="18">
        <f>EJ43*VLOOKUP('Données projet'!$B$15,Paramètres!$A$1:$I$89,3,0)*VLOOKUP('Données projet'!$B$15,Paramètres!$A$1:$I$89,5,0)</f>
        <v>199.63319999999996</v>
      </c>
      <c r="EL43" s="14">
        <f t="shared" si="45"/>
        <v>49.663547577057855</v>
      </c>
      <c r="EM43" s="22">
        <f t="shared" si="19"/>
        <v>434.19183536337567</v>
      </c>
      <c r="EN43" s="62">
        <f t="shared" si="20"/>
        <v>658.33428303510595</v>
      </c>
      <c r="EO43" s="62">
        <f ca="1">AVERAGE(OFFSET($EN$3,0,0,'Données projet'!$E$15+1,1))-AVERAGE(OFFSET($H$3,0,0,'Données projet'!$E$15+1,1))</f>
        <v>435.44444011810265</v>
      </c>
      <c r="EP43" s="62">
        <f t="shared" si="46"/>
        <v>447.15868732689762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33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175</v>
      </c>
      <c r="FC43" s="13">
        <f>VLOOKUP(A43,'Données projet'!$A$217:$I$237,9,0)</f>
        <v>11.2</v>
      </c>
      <c r="FD43" s="13">
        <f t="array" ref="FD43">INDEX(FC:FC,MIN(IF(ISNUMBER(FC43:FC239),ROW(FC43:FC239),"")))</f>
        <v>11.2</v>
      </c>
      <c r="FE43" s="13">
        <f>IF('Données projet'!$A$218&gt;35,FE42+FD43-FM42,IF(A43&lt;'Données projet'!$A$218,$FB$205^A43,IF(A43='Données projet'!$A$218,'Données projet'!$B$218,FE42+FD43-FM42)))</f>
        <v>175</v>
      </c>
      <c r="FF43" s="18">
        <f>FE43*VLOOKUP('Données projet'!$B$16,Paramètres!$A$1:$I$89,3,0)*VLOOKUP('Données projet'!$B$16,Paramètres!$A$1:$I$89,5,0)</f>
        <v>177.45000000000002</v>
      </c>
      <c r="FG43" s="14">
        <f t="shared" si="47"/>
        <v>44.754387900936791</v>
      </c>
      <c r="FH43" s="22">
        <f t="shared" si="22"/>
        <v>387.0059755941316</v>
      </c>
      <c r="FI43" s="62">
        <f t="shared" si="23"/>
        <v>611.14842326586188</v>
      </c>
      <c r="FJ43" s="62">
        <f ca="1">AVERAGE(OFFSET($FI$3,0,0,'Données projet'!$E$16+1,1))-AVERAGE(OFFSET($H$3,0,0,'Données projet'!$E$16+1,1))</f>
        <v>547.89540791313675</v>
      </c>
      <c r="FK43" s="62">
        <f t="shared" si="48"/>
        <v>345.19555189302378</v>
      </c>
      <c r="FL43" s="16">
        <f>IF(ISNA(VLOOKUP(A43,'Données projet'!$A$217:$I$237,3,0)),0,VLOOKUP(A43,'Données projet'!$A$217:$I$237,3,0))</f>
        <v>5</v>
      </c>
      <c r="FM43" s="16">
        <f>IF(ISNA(VLOOKUP(A43,'Données projet'!$A$217:$I$237,4,0)),0,VLOOKUP(A43,'Données projet'!$A$217:$I$237,4,0))</f>
        <v>28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264</v>
      </c>
      <c r="FX43" s="13">
        <f>VLOOKUP(A43,'Données projet'!$A$243:$I$263,9,0)</f>
        <v>14.4</v>
      </c>
      <c r="FY43" s="13">
        <f t="array" ref="FY43">INDEX(FX:FX,MIN(IF(ISNUMBER(FX43:FX239),ROW(FX43:FX239),"")))</f>
        <v>14.4</v>
      </c>
      <c r="FZ43" s="13">
        <f>IF('Données projet'!$A$244&gt;35,FZ42+FY43-GH42,IF(A43&lt;'Données projet'!$A$244,$FW$205^A43,IF(A43='Données projet'!$A$244,'Données projet'!$B$244,FZ42+FY43-GH42)))</f>
        <v>264.00000000000006</v>
      </c>
      <c r="GA43" s="18">
        <f>FZ43*VLOOKUP('Données projet'!$B$17,Paramètres!$A$1:$I$89,3,0)*VLOOKUP('Données projet'!$B$17,Paramètres!$A$1:$I$89,5,0)</f>
        <v>157.87200000000004</v>
      </c>
      <c r="GB43" s="14">
        <f t="shared" si="49"/>
        <v>40.362165684361159</v>
      </c>
      <c r="GC43" s="22">
        <f t="shared" si="25"/>
        <v>345.25783856692902</v>
      </c>
      <c r="GD43" s="62">
        <f t="shared" si="26"/>
        <v>569.40028623865931</v>
      </c>
      <c r="GE43" s="62">
        <f ca="1">AVERAGE(OFFSET($GD$3,0,0,'Données projet'!$E$17+1,1))-AVERAGE(OFFSET($H$3,0,0,'Données projet'!$E$17+1,1))</f>
        <v>409.68685886029164</v>
      </c>
      <c r="GF43" s="62">
        <f t="shared" si="50"/>
        <v>330.8416508650887</v>
      </c>
      <c r="GG43" s="16">
        <f>IF(ISNA(VLOOKUP(A43,'Données projet'!$A$243:$I$263,3,0)),0,VLOOKUP(A43,'Données projet'!$A$243:$I$263,3,0))</f>
        <v>5</v>
      </c>
      <c r="GH43" s="16">
        <f>IF(ISNA(VLOOKUP(A43,'Données projet'!$A$243:$I$263,4,0)),0,VLOOKUP(A43,'Données projet'!$A$243:$I$263,4,0))</f>
        <v>41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0.80413656578121795</v>
      </c>
      <c r="GO43" s="23">
        <f t="shared" si="27"/>
        <v>0.80413656578121795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73.098184695482075</v>
      </c>
      <c r="T44" s="62">
        <f t="shared" si="34"/>
        <v>334.38551711782793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44.039908735039042</v>
      </c>
      <c r="AA44" s="23">
        <f>EXP(-LN(2)/25)*AA43+(1-EXP(-LN(2)/25))/(LN(2)/25)*Calculateur!V44*Calculateur!X44*VLOOKUP('Données projet'!$B$9,Paramètres!$A$1:$I$89,3,0)*0.475*44/12</f>
        <v>10.130116099435362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54.170024834474404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70.520400819593021</v>
      </c>
      <c r="AO44" s="62">
        <f t="shared" si="36"/>
        <v>321.48616153644309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42.013532566248891</v>
      </c>
      <c r="AV44" s="23">
        <f>EXP(-LN(2)/25)*AV43+(1-EXP(-LN(2)/25))/(LN(2)/25)*Calculateur!AQ44*Calculateur!AS44*VLOOKUP('Données projet'!$B$10,Paramètres!$A$1:$I$89,3,0)*0.475*44/12</f>
        <v>9.6640064629582714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51.677539029207161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397.42857142857133</v>
      </c>
      <c r="BE44" s="14">
        <f>BD44*VLOOKUP('Données projet'!$B$11,Paramètres!$A$1:$I$89,3,0)*VLOOKUP('Données projet'!$B$11,Paramètres!$A$1:$I$89,5,0)</f>
        <v>185.9965714285714</v>
      </c>
      <c r="BF44" s="14">
        <f t="shared" si="37"/>
        <v>46.653757617185917</v>
      </c>
      <c r="BG44" s="22">
        <f t="shared" si="7"/>
        <v>405.19932308802726</v>
      </c>
      <c r="BH44" s="62">
        <f t="shared" si="8"/>
        <v>630.54207793833984</v>
      </c>
      <c r="BI44" s="62">
        <f ca="1">AVERAGE(OFFSET($BH$3,0,0,'Données projet'!$E$11+1,1))-AVERAGE(OFFSET($H$3,0,0,'Données projet'!$E$11+1,1))</f>
        <v>374.62597460242665</v>
      </c>
      <c r="BJ44" s="62">
        <f t="shared" si="38"/>
        <v>277.50105097454616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</v>
      </c>
      <c r="BY44" s="13">
        <f>IF('Données projet'!$A$114&gt;35,BY43+BX44-CG43,IF(A44&lt;'Données projet'!$A$114,$BV$205^A44,IF(A44='Données projet'!$A$114,'Données projet'!$B$114,BY43+BX44-CG43)))</f>
        <v>133</v>
      </c>
      <c r="BZ44" s="14">
        <f>BY44*VLOOKUP('Données projet'!$B$12,Paramètres!$A$1:$I$89,3,0)*VLOOKUP('Données projet'!$B$12,Paramètres!$A$1:$I$89,5,0)</f>
        <v>62.243999999999993</v>
      </c>
      <c r="CA44" s="14">
        <f t="shared" si="39"/>
        <v>17.734404526076432</v>
      </c>
      <c r="CB44" s="22">
        <f t="shared" si="10"/>
        <v>139.29572121624975</v>
      </c>
      <c r="CC44" s="62">
        <f t="shared" si="11"/>
        <v>364.63847606656236</v>
      </c>
      <c r="CD44" s="62">
        <f ca="1">AVERAGE(OFFSET($CC$3,0,0,'Données projet'!$E$12+1,1))-AVERAGE(OFFSET($H$3,0,0,'Données projet'!$E$12+1,1))</f>
        <v>329.79342219561465</v>
      </c>
      <c r="CE44" s="62">
        <f t="shared" si="40"/>
        <v>144.63206563329757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12.2</v>
      </c>
      <c r="CT44" s="13">
        <f>IF('Données projet'!$A$140&gt;35,CT43+CS44-DB43,IF(A44&lt;'Données projet'!$A$140,$CQ$205^A44,IF(A44='Données projet'!$A$140,'Données projet'!$B$140,CT43+CS44-DB43)))</f>
        <v>314.19999999999993</v>
      </c>
      <c r="CU44" s="18">
        <f>CT44*VLOOKUP('Données projet'!$B$13,Paramètres!$A$1:$I$89,3,0)*VLOOKUP('Données projet'!$B$13,Paramètres!$A$1:$I$89,5,0)</f>
        <v>187.89159999999998</v>
      </c>
      <c r="CV44" s="14">
        <f t="shared" si="41"/>
        <v>47.073513247861442</v>
      </c>
      <c r="CW44" s="22">
        <f t="shared" si="13"/>
        <v>409.2309055733586</v>
      </c>
      <c r="CX44" s="62">
        <f t="shared" si="14"/>
        <v>634.5736604236713</v>
      </c>
      <c r="CY44" s="62">
        <f ca="1">AVERAGE(OFFSET($CX$3,0,0,'Données projet'!$E$13+1,1))-AVERAGE(OFFSET($H$3,0,0,'Données projet'!$E$13+1,1))</f>
        <v>530.27599556821826</v>
      </c>
      <c r="CZ44" s="62">
        <f t="shared" si="42"/>
        <v>370.62231794492129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0.33242323339487517</v>
      </c>
      <c r="DI44" s="24">
        <f t="shared" si="15"/>
        <v>0.33242323339487517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141.66672</v>
      </c>
      <c r="DQ44" s="14">
        <f t="shared" si="43"/>
        <v>36.678564250226081</v>
      </c>
      <c r="DR44" s="22">
        <f t="shared" si="16"/>
        <v>310.61803673581045</v>
      </c>
      <c r="DS44" s="62">
        <f t="shared" si="17"/>
        <v>535.96079158612315</v>
      </c>
      <c r="DT44" s="62">
        <f ca="1">AVERAGE(OFFSET($DS$3,0,0,'Données projet'!$E$14+1,1))-AVERAGE(OFFSET($H$3,0,0,'Données projet'!$E$14+1,1))</f>
        <v>520.23742527061836</v>
      </c>
      <c r="DU44" s="62">
        <f t="shared" si="44"/>
        <v>321.35925479331274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8.6</v>
      </c>
      <c r="EJ44" s="13">
        <f>IF('Données projet'!$A$192&gt;35,EJ43+EI44-ER43,IF(A44&lt;'Données projet'!$A$192,$EG$205^A44,IF(A44='Données projet'!$A$192,'Données projet'!$B$192,EJ43+EI44-ER43)))</f>
        <v>166.59999999999994</v>
      </c>
      <c r="EK44" s="18">
        <f>EJ44*VLOOKUP('Données projet'!$B$15,Paramètres!$A$1:$I$89,3,0)*VLOOKUP('Données projet'!$B$15,Paramètres!$A$1:$I$89,5,0)</f>
        <v>174.13031999999995</v>
      </c>
      <c r="EL44" s="14">
        <f t="shared" si="45"/>
        <v>44.013781492418865</v>
      </c>
      <c r="EM44" s="22">
        <f t="shared" si="19"/>
        <v>379.93431009929617</v>
      </c>
      <c r="EN44" s="62">
        <f t="shared" si="20"/>
        <v>605.27706494960876</v>
      </c>
      <c r="EO44" s="62">
        <f ca="1">AVERAGE(OFFSET($EN$3,0,0,'Données projet'!$E$15+1,1))-AVERAGE(OFFSET($H$3,0,0,'Données projet'!$E$15+1,1))</f>
        <v>435.44444011810265</v>
      </c>
      <c r="EP44" s="62">
        <f t="shared" si="46"/>
        <v>447.15868732689762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11.4</v>
      </c>
      <c r="FE44" s="13">
        <f>IF('Données projet'!$A$218&gt;35,FE43+FD44-FM43,IF(A44&lt;'Données projet'!$A$218,$FB$205^A44,IF(A44='Données projet'!$A$218,'Données projet'!$B$218,FE43+FD44-FM43)))</f>
        <v>158.4</v>
      </c>
      <c r="FF44" s="18">
        <f>FE44*VLOOKUP('Données projet'!$B$16,Paramètres!$A$1:$I$89,3,0)*VLOOKUP('Données projet'!$B$16,Paramètres!$A$1:$I$89,5,0)</f>
        <v>160.61760000000001</v>
      </c>
      <c r="FG44" s="14">
        <f t="shared" si="47"/>
        <v>40.981785561145074</v>
      </c>
      <c r="FH44" s="22">
        <f t="shared" si="22"/>
        <v>351.11892985232771</v>
      </c>
      <c r="FI44" s="62">
        <f t="shared" si="23"/>
        <v>576.46168470264035</v>
      </c>
      <c r="FJ44" s="62">
        <f ca="1">AVERAGE(OFFSET($FI$3,0,0,'Données projet'!$E$16+1,1))-AVERAGE(OFFSET($H$3,0,0,'Données projet'!$E$16+1,1))</f>
        <v>547.89540791313675</v>
      </c>
      <c r="FK44" s="62">
        <f t="shared" si="48"/>
        <v>345.19555189302378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16.600000000000001</v>
      </c>
      <c r="FZ44" s="13">
        <f>IF('Données projet'!$A$244&gt;35,FZ43+FY44-GH43,IF(A44&lt;'Données projet'!$A$244,$FW$205^A44,IF(A44='Données projet'!$A$244,'Données projet'!$B$244,FZ43+FY44-GH43)))</f>
        <v>239.60000000000008</v>
      </c>
      <c r="GA44" s="18">
        <f>FZ44*VLOOKUP('Données projet'!$B$17,Paramètres!$A$1:$I$89,3,0)*VLOOKUP('Données projet'!$B$17,Paramètres!$A$1:$I$89,5,0)</f>
        <v>143.28080000000006</v>
      </c>
      <c r="GB44" s="14">
        <f t="shared" si="49"/>
        <v>37.047574465948976</v>
      </c>
      <c r="GC44" s="22">
        <f t="shared" si="25"/>
        <v>314.07191886152788</v>
      </c>
      <c r="GD44" s="62">
        <f t="shared" si="26"/>
        <v>539.41467371184058</v>
      </c>
      <c r="GE44" s="62">
        <f ca="1">AVERAGE(OFFSET($GD$3,0,0,'Données projet'!$E$17+1,1))-AVERAGE(OFFSET($H$3,0,0,'Données projet'!$E$17+1,1))</f>
        <v>409.68685886029164</v>
      </c>
      <c r="GF44" s="62">
        <f t="shared" si="50"/>
        <v>330.8416508650887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0.56861041866396145</v>
      </c>
      <c r="GO44" s="23">
        <f t="shared" si="27"/>
        <v>0.56861041866396145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73.098184695482075</v>
      </c>
      <c r="T45" s="62">
        <f t="shared" si="34"/>
        <v>334.38551711782793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43.176312986436884</v>
      </c>
      <c r="AA45" s="23">
        <f>EXP(-LN(2)/25)*AA44+(1-EXP(-LN(2)/25))/(LN(2)/25)*Calculateur!V45*Calculateur!X45*VLOOKUP('Données projet'!$B$9,Paramètres!$A$1:$I$89,3,0)*0.475*44/12</f>
        <v>9.8531075419766498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53.029420528413532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70.520400819593021</v>
      </c>
      <c r="AO45" s="62">
        <f t="shared" si="36"/>
        <v>321.48616153644309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41.189672818349287</v>
      </c>
      <c r="AV45" s="23">
        <f>EXP(-LN(2)/25)*AV44+(1-EXP(-LN(2)/25))/(LN(2)/25)*Calculateur!AQ45*Calculateur!AS45*VLOOKUP('Données projet'!$B$10,Paramètres!$A$1:$I$89,3,0)*0.475*44/12</f>
        <v>9.3997436980206643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50.589416516369951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417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416.99999999999989</v>
      </c>
      <c r="BE45" s="14">
        <f>BD45*VLOOKUP('Données projet'!$B$11,Paramètres!$A$1:$I$89,3,0)*VLOOKUP('Données projet'!$B$11,Paramètres!$A$1:$I$89,5,0)</f>
        <v>195.15599999999995</v>
      </c>
      <c r="BF45" s="14">
        <f t="shared" si="37"/>
        <v>48.678088823054175</v>
      </c>
      <c r="BG45" s="22">
        <f t="shared" si="7"/>
        <v>424.67770470015256</v>
      </c>
      <c r="BH45" s="62">
        <f t="shared" si="8"/>
        <v>651.19994408298396</v>
      </c>
      <c r="BI45" s="62">
        <f ca="1">AVERAGE(OFFSET($BH$3,0,0,'Données projet'!$E$11+1,1))-AVERAGE(OFFSET($H$3,0,0,'Données projet'!$E$11+1,1))</f>
        <v>374.62597460242665</v>
      </c>
      <c r="BJ45" s="62">
        <f t="shared" si="38"/>
        <v>277.50105097454616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182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</v>
      </c>
      <c r="BY45" s="13">
        <f>IF('Données projet'!$A$114&gt;35,BY44+BX45-CG44,IF(A45&lt;'Données projet'!$A$114,$BV$205^A45,IF(A45='Données projet'!$A$114,'Données projet'!$B$114,BY44+BX45-CG44)))</f>
        <v>140</v>
      </c>
      <c r="BZ45" s="14">
        <f>BY45*VLOOKUP('Données projet'!$B$12,Paramètres!$A$1:$I$89,3,0)*VLOOKUP('Données projet'!$B$12,Paramètres!$A$1:$I$89,5,0)</f>
        <v>65.52</v>
      </c>
      <c r="CA45" s="14">
        <f t="shared" si="39"/>
        <v>18.556669503136725</v>
      </c>
      <c r="CB45" s="22">
        <f t="shared" si="10"/>
        <v>146.43353271796309</v>
      </c>
      <c r="CC45" s="62">
        <f t="shared" si="11"/>
        <v>372.95577210079455</v>
      </c>
      <c r="CD45" s="62">
        <f ca="1">AVERAGE(OFFSET($CC$3,0,0,'Données projet'!$E$12+1,1))-AVERAGE(OFFSET($H$3,0,0,'Données projet'!$E$12+1,1))</f>
        <v>329.79342219561465</v>
      </c>
      <c r="CE45" s="62">
        <f t="shared" si="40"/>
        <v>144.63206563329757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12.2</v>
      </c>
      <c r="CT45" s="13">
        <f>IF('Données projet'!$A$140&gt;35,CT44+CS45-DB44,IF(A45&lt;'Données projet'!$A$140,$CQ$205^A45,IF(A45='Données projet'!$A$140,'Données projet'!$B$140,CT44+CS45-DB44)))</f>
        <v>326.39999999999992</v>
      </c>
      <c r="CU45" s="18">
        <f>CT45*VLOOKUP('Données projet'!$B$13,Paramètres!$A$1:$I$89,3,0)*VLOOKUP('Données projet'!$B$13,Paramètres!$A$1:$I$89,5,0)</f>
        <v>195.18719999999999</v>
      </c>
      <c r="CV45" s="14">
        <f t="shared" si="41"/>
        <v>48.684965171431614</v>
      </c>
      <c r="CW45" s="22">
        <f t="shared" si="13"/>
        <v>424.74402100691003</v>
      </c>
      <c r="CX45" s="62">
        <f t="shared" si="14"/>
        <v>651.26626038974143</v>
      </c>
      <c r="CY45" s="62">
        <f ca="1">AVERAGE(OFFSET($CX$3,0,0,'Données projet'!$E$13+1,1))-AVERAGE(OFFSET($H$3,0,0,'Données projet'!$E$13+1,1))</f>
        <v>530.27599556821826</v>
      </c>
      <c r="CZ45" s="62">
        <f t="shared" si="42"/>
        <v>370.62231794492129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0.23505872255747462</v>
      </c>
      <c r="DI45" s="24">
        <f t="shared" si="15"/>
        <v>0.23505872255747462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151.23264</v>
      </c>
      <c r="DQ45" s="14">
        <f t="shared" si="43"/>
        <v>38.85857391964295</v>
      </c>
      <c r="DR45" s="22">
        <f t="shared" si="16"/>
        <v>331.07553091004479</v>
      </c>
      <c r="DS45" s="62">
        <f t="shared" si="17"/>
        <v>557.59777029287625</v>
      </c>
      <c r="DT45" s="62">
        <f ca="1">AVERAGE(OFFSET($DS$3,0,0,'Données projet'!$E$14+1,1))-AVERAGE(OFFSET($H$3,0,0,'Données projet'!$E$14+1,1))</f>
        <v>520.23742527061836</v>
      </c>
      <c r="DU45" s="62">
        <f t="shared" si="44"/>
        <v>321.35925479331274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8.6</v>
      </c>
      <c r="EJ45" s="13">
        <f>IF('Données projet'!$A$192&gt;35,EJ44+EI45-ER44,IF(A45&lt;'Données projet'!$A$192,$EG$205^A45,IF(A45='Données projet'!$A$192,'Données projet'!$B$192,EJ44+EI45-ER44)))</f>
        <v>175.19999999999993</v>
      </c>
      <c r="EK45" s="18">
        <f>EJ45*VLOOKUP('Données projet'!$B$15,Paramètres!$A$1:$I$89,3,0)*VLOOKUP('Données projet'!$B$15,Paramètres!$A$1:$I$89,5,0)</f>
        <v>183.11903999999993</v>
      </c>
      <c r="EL45" s="14">
        <f t="shared" si="45"/>
        <v>46.015419753284419</v>
      </c>
      <c r="EM45" s="22">
        <f t="shared" si="19"/>
        <v>399.07585073697027</v>
      </c>
      <c r="EN45" s="62">
        <f t="shared" si="20"/>
        <v>625.59809011980167</v>
      </c>
      <c r="EO45" s="62">
        <f ca="1">AVERAGE(OFFSET($EN$3,0,0,'Données projet'!$E$15+1,1))-AVERAGE(OFFSET($H$3,0,0,'Données projet'!$E$15+1,1))</f>
        <v>435.44444011810265</v>
      </c>
      <c r="EP45" s="62">
        <f t="shared" si="46"/>
        <v>447.15868732689762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11.4</v>
      </c>
      <c r="FE45" s="13">
        <f>IF('Données projet'!$A$218&gt;35,FE44+FD45-FM44,IF(A45&lt;'Données projet'!$A$218,$FB$205^A45,IF(A45='Données projet'!$A$218,'Données projet'!$B$218,FE44+FD45-FM44)))</f>
        <v>169.8</v>
      </c>
      <c r="FF45" s="18">
        <f>FE45*VLOOKUP('Données projet'!$B$16,Paramètres!$A$1:$I$89,3,0)*VLOOKUP('Données projet'!$B$16,Paramètres!$A$1:$I$89,5,0)</f>
        <v>172.1772</v>
      </c>
      <c r="FG45" s="14">
        <f t="shared" si="47"/>
        <v>43.577282221917017</v>
      </c>
      <c r="FH45" s="22">
        <f t="shared" si="22"/>
        <v>375.77238986983883</v>
      </c>
      <c r="FI45" s="62">
        <f t="shared" si="23"/>
        <v>602.29462925267023</v>
      </c>
      <c r="FJ45" s="62">
        <f ca="1">AVERAGE(OFFSET($FI$3,0,0,'Données projet'!$E$16+1,1))-AVERAGE(OFFSET($H$3,0,0,'Données projet'!$E$16+1,1))</f>
        <v>547.89540791313675</v>
      </c>
      <c r="FK45" s="62">
        <f t="shared" si="48"/>
        <v>345.19555189302378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16.600000000000001</v>
      </c>
      <c r="FZ45" s="13">
        <f>IF('Données projet'!$A$244&gt;35,FZ44+FY45-GH44,IF(A45&lt;'Données projet'!$A$244,$FW$205^A45,IF(A45='Données projet'!$A$244,'Données projet'!$B$244,FZ44+FY45-GH44)))</f>
        <v>256.2000000000001</v>
      </c>
      <c r="GA45" s="18">
        <f>FZ45*VLOOKUP('Données projet'!$B$17,Paramètres!$A$1:$I$89,3,0)*VLOOKUP('Données projet'!$B$17,Paramètres!$A$1:$I$89,5,0)</f>
        <v>153.20760000000007</v>
      </c>
      <c r="GB45" s="14">
        <f t="shared" si="49"/>
        <v>39.306624169832133</v>
      </c>
      <c r="GC45" s="22">
        <f t="shared" si="25"/>
        <v>335.29560709579107</v>
      </c>
      <c r="GD45" s="62">
        <f t="shared" si="26"/>
        <v>561.81784647862253</v>
      </c>
      <c r="GE45" s="62">
        <f ca="1">AVERAGE(OFFSET($GD$3,0,0,'Données projet'!$E$17+1,1))-AVERAGE(OFFSET($H$3,0,0,'Données projet'!$E$17+1,1))</f>
        <v>409.68685886029164</v>
      </c>
      <c r="GF45" s="62">
        <f t="shared" si="50"/>
        <v>330.8416508650887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0.40206828289060897</v>
      </c>
      <c r="GO45" s="23">
        <f t="shared" si="27"/>
        <v>0.40206828289060897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73.098184695482075</v>
      </c>
      <c r="T46" s="62">
        <f t="shared" si="34"/>
        <v>334.38551711782793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42.329651823723417</v>
      </c>
      <c r="AA46" s="23">
        <f>EXP(-LN(2)/25)*AA45+(1-EXP(-LN(2)/25))/(LN(2)/25)*Calculateur!V46*Calculateur!X46*VLOOKUP('Données projet'!$B$9,Paramètres!$A$1:$I$89,3,0)*0.475*44/12</f>
        <v>9.583673798088892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51.913325621812305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70.520400819593021</v>
      </c>
      <c r="AO46" s="62">
        <f t="shared" si="36"/>
        <v>321.48616153644309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40.381968457601168</v>
      </c>
      <c r="AV46" s="23">
        <f>EXP(-LN(2)/25)*AV45+(1-EXP(-LN(2)/25))/(LN(2)/25)*Calculateur!AQ46*Calculateur!AS46*VLOOKUP('Données projet'!$B$10,Paramètres!$A$1:$I$89,3,0)*0.475*44/12</f>
        <v>9.1427072122872524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49.524675669888424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256</v>
      </c>
      <c r="BB46" s="13">
        <f>VLOOKUP(A46,'Données projet'!$A$87:$I$107,9,0)</f>
        <v>21</v>
      </c>
      <c r="BC46" s="13">
        <f t="array" ref="BC46">INDEX(BB:BB,MIN(IF(ISNUMBER(BB46:BB242),ROW(BB46:BB242),"")))</f>
        <v>21</v>
      </c>
      <c r="BD46" s="13">
        <f>IF('Données projet'!$A$88&gt;35,BD45+BC46-BL45,IF(A46&lt;'Données projet'!$A$88,$BA$205^A46,IF(A46='Données projet'!$A$88,'Données projet'!$B$88,BD45+BC46-BL45)))</f>
        <v>255.99999999999989</v>
      </c>
      <c r="BE46" s="14">
        <f>BD46*VLOOKUP('Données projet'!$B$11,Paramètres!$A$1:$I$89,3,0)*VLOOKUP('Données projet'!$B$11,Paramètres!$A$1:$I$89,5,0)</f>
        <v>119.80799999999995</v>
      </c>
      <c r="BF46" s="14">
        <f t="shared" si="37"/>
        <v>31.630214274643535</v>
      </c>
      <c r="BG46" s="22">
        <f t="shared" si="7"/>
        <v>263.75488986167073</v>
      </c>
      <c r="BH46" s="62">
        <f t="shared" si="8"/>
        <v>491.43615235731409</v>
      </c>
      <c r="BI46" s="62">
        <f ca="1">AVERAGE(OFFSET($BH$3,0,0,'Données projet'!$E$11+1,1))-AVERAGE(OFFSET($H$3,0,0,'Données projet'!$E$11+1,1))</f>
        <v>374.62597460242665</v>
      </c>
      <c r="BJ46" s="62">
        <f t="shared" si="38"/>
        <v>277.50105097454616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</v>
      </c>
      <c r="BY46" s="13">
        <f>IF('Données projet'!$A$114&gt;35,BY45+BX46-CG45,IF(A46&lt;'Données projet'!$A$114,$BV$205^A46,IF(A46='Données projet'!$A$114,'Données projet'!$B$114,BY45+BX46-CG45)))</f>
        <v>147</v>
      </c>
      <c r="BZ46" s="14">
        <f>BY46*VLOOKUP('Données projet'!$B$12,Paramètres!$A$1:$I$89,3,0)*VLOOKUP('Données projet'!$B$12,Paramètres!$A$1:$I$89,5,0)</f>
        <v>68.795999999999992</v>
      </c>
      <c r="CA46" s="14">
        <f t="shared" si="39"/>
        <v>19.374160697102734</v>
      </c>
      <c r="CB46" s="22">
        <f t="shared" si="10"/>
        <v>153.56302988078724</v>
      </c>
      <c r="CC46" s="62">
        <f t="shared" si="11"/>
        <v>381.24429237643062</v>
      </c>
      <c r="CD46" s="62">
        <f ca="1">AVERAGE(OFFSET($CC$3,0,0,'Données projet'!$E$12+1,1))-AVERAGE(OFFSET($H$3,0,0,'Données projet'!$E$12+1,1))</f>
        <v>329.79342219561465</v>
      </c>
      <c r="CE46" s="62">
        <f t="shared" si="40"/>
        <v>144.63206563329757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12.2</v>
      </c>
      <c r="CT46" s="13">
        <f>IF('Données projet'!$A$140&gt;35,CT45+CS46-DB45,IF(A46&lt;'Données projet'!$A$140,$CQ$205^A46,IF(A46='Données projet'!$A$140,'Données projet'!$B$140,CT45+CS46-DB45)))</f>
        <v>338.59999999999991</v>
      </c>
      <c r="CU46" s="18">
        <f>CT46*VLOOKUP('Données projet'!$B$13,Paramètres!$A$1:$I$89,3,0)*VLOOKUP('Données projet'!$B$13,Paramètres!$A$1:$I$89,5,0)</f>
        <v>202.48279999999997</v>
      </c>
      <c r="CV46" s="14">
        <f t="shared" si="41"/>
        <v>50.289419602655045</v>
      </c>
      <c r="CW46" s="22">
        <f t="shared" si="13"/>
        <v>440.24494914129082</v>
      </c>
      <c r="CX46" s="62">
        <f t="shared" si="14"/>
        <v>667.92621163693423</v>
      </c>
      <c r="CY46" s="62">
        <f ca="1">AVERAGE(OFFSET($CX$3,0,0,'Données projet'!$E$13+1,1))-AVERAGE(OFFSET($H$3,0,0,'Données projet'!$E$13+1,1))</f>
        <v>530.27599556821826</v>
      </c>
      <c r="CZ46" s="62">
        <f t="shared" si="42"/>
        <v>370.62231794492129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0.16621161669743759</v>
      </c>
      <c r="DI46" s="24">
        <f t="shared" si="15"/>
        <v>0.16621161669743759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160.79856000000001</v>
      </c>
      <c r="DQ46" s="14">
        <f t="shared" si="43"/>
        <v>41.022580620833125</v>
      </c>
      <c r="DR46" s="22">
        <f t="shared" si="16"/>
        <v>351.50515324795106</v>
      </c>
      <c r="DS46" s="62">
        <f t="shared" si="17"/>
        <v>579.18641574359447</v>
      </c>
      <c r="DT46" s="62">
        <f ca="1">AVERAGE(OFFSET($DS$3,0,0,'Données projet'!$E$14+1,1))-AVERAGE(OFFSET($H$3,0,0,'Données projet'!$E$14+1,1))</f>
        <v>520.23742527061836</v>
      </c>
      <c r="DU46" s="62">
        <f t="shared" si="44"/>
        <v>321.35925479331274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8.6</v>
      </c>
      <c r="EJ46" s="13">
        <f>IF('Données projet'!$A$192&gt;35,EJ45+EI46-ER45,IF(A46&lt;'Données projet'!$A$192,$EG$205^A46,IF(A46='Données projet'!$A$192,'Données projet'!$B$192,EJ45+EI46-ER45)))</f>
        <v>183.79999999999993</v>
      </c>
      <c r="EK46" s="18">
        <f>EJ46*VLOOKUP('Données projet'!$B$15,Paramètres!$A$1:$I$89,3,0)*VLOOKUP('Données projet'!$B$15,Paramètres!$A$1:$I$89,5,0)</f>
        <v>192.10775999999993</v>
      </c>
      <c r="EL46" s="14">
        <f t="shared" si="45"/>
        <v>48.005649029996185</v>
      </c>
      <c r="EM46" s="22">
        <f t="shared" si="19"/>
        <v>418.19752072724322</v>
      </c>
      <c r="EN46" s="62">
        <f t="shared" si="20"/>
        <v>645.87878322288657</v>
      </c>
      <c r="EO46" s="62">
        <f ca="1">AVERAGE(OFFSET($EN$3,0,0,'Données projet'!$E$15+1,1))-AVERAGE(OFFSET($H$3,0,0,'Données projet'!$E$15+1,1))</f>
        <v>435.44444011810265</v>
      </c>
      <c r="EP46" s="62">
        <f t="shared" si="46"/>
        <v>447.15868732689762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11.4</v>
      </c>
      <c r="FE46" s="13">
        <f>IF('Données projet'!$A$218&gt;35,FE45+FD46-FM45,IF(A46&lt;'Données projet'!$A$218,$FB$205^A46,IF(A46='Données projet'!$A$218,'Données projet'!$B$218,FE45+FD46-FM45)))</f>
        <v>181.20000000000002</v>
      </c>
      <c r="FF46" s="18">
        <f>FE46*VLOOKUP('Données projet'!$B$16,Paramètres!$A$1:$I$89,3,0)*VLOOKUP('Données projet'!$B$16,Paramètres!$A$1:$I$89,5,0)</f>
        <v>183.73680000000002</v>
      </c>
      <c r="FG46" s="14">
        <f t="shared" si="47"/>
        <v>46.152558509293854</v>
      </c>
      <c r="FH46" s="22">
        <f t="shared" si="22"/>
        <v>400.3906327370201</v>
      </c>
      <c r="FI46" s="62">
        <f t="shared" si="23"/>
        <v>628.07189523266345</v>
      </c>
      <c r="FJ46" s="62">
        <f ca="1">AVERAGE(OFFSET($FI$3,0,0,'Données projet'!$E$16+1,1))-AVERAGE(OFFSET($H$3,0,0,'Données projet'!$E$16+1,1))</f>
        <v>547.89540791313675</v>
      </c>
      <c r="FK46" s="62">
        <f t="shared" si="48"/>
        <v>345.19555189302378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16.600000000000001</v>
      </c>
      <c r="FZ46" s="13">
        <f>IF('Données projet'!$A$244&gt;35,FZ45+FY46-GH45,IF(A46&lt;'Données projet'!$A$244,$FW$205^A46,IF(A46='Données projet'!$A$244,'Données projet'!$B$244,FZ45+FY46-GH45)))</f>
        <v>272.80000000000013</v>
      </c>
      <c r="GA46" s="18">
        <f>FZ46*VLOOKUP('Données projet'!$B$17,Paramètres!$A$1:$I$89,3,0)*VLOOKUP('Données projet'!$B$17,Paramètres!$A$1:$I$89,5,0)</f>
        <v>163.13440000000008</v>
      </c>
      <c r="GB46" s="14">
        <f t="shared" si="49"/>
        <v>41.548687845426002</v>
      </c>
      <c r="GC46" s="22">
        <f t="shared" si="25"/>
        <v>356.48971133078379</v>
      </c>
      <c r="GD46" s="62">
        <f t="shared" si="26"/>
        <v>584.17097382642714</v>
      </c>
      <c r="GE46" s="62">
        <f ca="1">AVERAGE(OFFSET($GD$3,0,0,'Données projet'!$E$17+1,1))-AVERAGE(OFFSET($H$3,0,0,'Données projet'!$E$17+1,1))</f>
        <v>409.68685886029164</v>
      </c>
      <c r="GF46" s="62">
        <f t="shared" si="50"/>
        <v>330.8416508650887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0.28430520933198072</v>
      </c>
      <c r="GO46" s="23">
        <f t="shared" si="27"/>
        <v>0.28430520933198072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73.098184695482075</v>
      </c>
      <c r="T47" s="62">
        <f t="shared" si="34"/>
        <v>334.38551711782793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41.499593169998441</v>
      </c>
      <c r="AA47" s="23">
        <f>EXP(-LN(2)/25)*AA46+(1-EXP(-LN(2)/25))/(LN(2)/25)*Calculateur!V47*Calculateur!X47*VLOOKUP('Données projet'!$B$9,Paramètres!$A$1:$I$89,3,0)*0.475*44/12</f>
        <v>9.3216077340966503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50.821200904095093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70.520400819593021</v>
      </c>
      <c r="AO47" s="62">
        <f t="shared" si="36"/>
        <v>321.48616153644309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39.5901026867163</v>
      </c>
      <c r="AV47" s="23">
        <f>EXP(-LN(2)/25)*AV46+(1-EXP(-LN(2)/25))/(LN(2)/25)*Calculateur!AQ47*Calculateur!AS47*VLOOKUP('Données projet'!$B$10,Paramètres!$A$1:$I$89,3,0)*0.475*44/12</f>
        <v>8.8926994027731805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48.482802089489482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273.49999999999989</v>
      </c>
      <c r="BE47" s="14">
        <f>BD47*VLOOKUP('Données projet'!$B$11,Paramètres!$A$1:$I$89,3,0)*VLOOKUP('Données projet'!$B$11,Paramètres!$A$1:$I$89,5,0)</f>
        <v>127.99799999999995</v>
      </c>
      <c r="BF47" s="14">
        <f t="shared" si="37"/>
        <v>33.533338894635314</v>
      </c>
      <c r="BG47" s="22">
        <f t="shared" si="7"/>
        <v>281.33374857482306</v>
      </c>
      <c r="BH47" s="62">
        <f t="shared" si="8"/>
        <v>510.15392772345865</v>
      </c>
      <c r="BI47" s="62">
        <f ca="1">AVERAGE(OFFSET($BH$3,0,0,'Données projet'!$E$11+1,1))-AVERAGE(OFFSET($H$3,0,0,'Données projet'!$E$11+1,1))</f>
        <v>374.62597460242665</v>
      </c>
      <c r="BJ47" s="62">
        <f t="shared" si="38"/>
        <v>277.50105097454616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</v>
      </c>
      <c r="BY47" s="13">
        <f>IF('Données projet'!$A$114&gt;35,BY46+BX47-CG46,IF(A47&lt;'Données projet'!$A$114,$BV$205^A47,IF(A47='Données projet'!$A$114,'Données projet'!$B$114,BY46+BX47-CG46)))</f>
        <v>154</v>
      </c>
      <c r="BZ47" s="14">
        <f>BY47*VLOOKUP('Données projet'!$B$12,Paramètres!$A$1:$I$89,3,0)*VLOOKUP('Données projet'!$B$12,Paramètres!$A$1:$I$89,5,0)</f>
        <v>72.072000000000003</v>
      </c>
      <c r="CA47" s="14">
        <f t="shared" si="39"/>
        <v>20.187131385147271</v>
      </c>
      <c r="CB47" s="22">
        <f t="shared" si="10"/>
        <v>160.68465382913149</v>
      </c>
      <c r="CC47" s="62">
        <f t="shared" si="11"/>
        <v>389.50483297776702</v>
      </c>
      <c r="CD47" s="62">
        <f ca="1">AVERAGE(OFFSET($CC$3,0,0,'Données projet'!$E$12+1,1))-AVERAGE(OFFSET($H$3,0,0,'Données projet'!$E$12+1,1))</f>
        <v>329.79342219561465</v>
      </c>
      <c r="CE47" s="62">
        <f t="shared" si="40"/>
        <v>144.63206563329757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12.2</v>
      </c>
      <c r="CT47" s="13">
        <f>IF('Données projet'!$A$140&gt;35,CT46+CS47-DB46,IF(A47&lt;'Données projet'!$A$140,$CQ$205^A47,IF(A47='Données projet'!$A$140,'Données projet'!$B$140,CT46+CS47-DB46)))</f>
        <v>350.7999999999999</v>
      </c>
      <c r="CU47" s="18">
        <f>CT47*VLOOKUP('Données projet'!$B$13,Paramètres!$A$1:$I$89,3,0)*VLOOKUP('Données projet'!$B$13,Paramètres!$A$1:$I$89,5,0)</f>
        <v>209.77839999999998</v>
      </c>
      <c r="CV47" s="14">
        <f t="shared" si="41"/>
        <v>51.887157547732421</v>
      </c>
      <c r="CW47" s="22">
        <f t="shared" si="13"/>
        <v>455.73417939563393</v>
      </c>
      <c r="CX47" s="62">
        <f t="shared" si="14"/>
        <v>684.55435854426946</v>
      </c>
      <c r="CY47" s="62">
        <f ca="1">AVERAGE(OFFSET($CX$3,0,0,'Données projet'!$E$13+1,1))-AVERAGE(OFFSET($H$3,0,0,'Données projet'!$E$13+1,1))</f>
        <v>530.27599556821826</v>
      </c>
      <c r="CZ47" s="62">
        <f t="shared" si="42"/>
        <v>370.62231794492129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0.11752936127873731</v>
      </c>
      <c r="DI47" s="24">
        <f t="shared" si="15"/>
        <v>0.11752936127873731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170.36448000000001</v>
      </c>
      <c r="DQ47" s="14">
        <f t="shared" si="43"/>
        <v>43.171644802736004</v>
      </c>
      <c r="DR47" s="22">
        <f t="shared" si="16"/>
        <v>371.90875069809857</v>
      </c>
      <c r="DS47" s="62">
        <f t="shared" si="17"/>
        <v>600.7289298467341</v>
      </c>
      <c r="DT47" s="62">
        <f ca="1">AVERAGE(OFFSET($DS$3,0,0,'Données projet'!$E$14+1,1))-AVERAGE(OFFSET($H$3,0,0,'Données projet'!$E$14+1,1))</f>
        <v>520.23742527061836</v>
      </c>
      <c r="DU47" s="62">
        <f t="shared" si="44"/>
        <v>321.35925479331274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8.6</v>
      </c>
      <c r="EJ47" s="13">
        <f>IF('Données projet'!$A$192&gt;35,EJ46+EI47-ER46,IF(A47&lt;'Données projet'!$A$192,$EG$205^A47,IF(A47='Données projet'!$A$192,'Données projet'!$B$192,EJ46+EI47-ER46)))</f>
        <v>192.39999999999992</v>
      </c>
      <c r="EK47" s="18">
        <f>EJ47*VLOOKUP('Données projet'!$B$15,Paramètres!$A$1:$I$89,3,0)*VLOOKUP('Données projet'!$B$15,Paramètres!$A$1:$I$89,5,0)</f>
        <v>201.09647999999993</v>
      </c>
      <c r="EL47" s="14">
        <f t="shared" si="45"/>
        <v>49.985064109987178</v>
      </c>
      <c r="EM47" s="22">
        <f t="shared" si="19"/>
        <v>437.30035599156082</v>
      </c>
      <c r="EN47" s="62">
        <f t="shared" si="20"/>
        <v>666.12053514019635</v>
      </c>
      <c r="EO47" s="62">
        <f ca="1">AVERAGE(OFFSET($EN$3,0,0,'Données projet'!$E$15+1,1))-AVERAGE(OFFSET($H$3,0,0,'Données projet'!$E$15+1,1))</f>
        <v>435.44444011810265</v>
      </c>
      <c r="EP47" s="62">
        <f t="shared" si="46"/>
        <v>447.15868732689762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11.4</v>
      </c>
      <c r="FE47" s="13">
        <f>IF('Données projet'!$A$218&gt;35,FE46+FD47-FM46,IF(A47&lt;'Données projet'!$A$218,$FB$205^A47,IF(A47='Données projet'!$A$218,'Données projet'!$B$218,FE46+FD47-FM46)))</f>
        <v>192.60000000000002</v>
      </c>
      <c r="FF47" s="18">
        <f>FE47*VLOOKUP('Données projet'!$B$16,Paramètres!$A$1:$I$89,3,0)*VLOOKUP('Données projet'!$B$16,Paramètres!$A$1:$I$89,5,0)</f>
        <v>195.29640000000003</v>
      </c>
      <c r="FG47" s="14">
        <f t="shared" si="47"/>
        <v>48.709031383366153</v>
      </c>
      <c r="FH47" s="22">
        <f t="shared" si="22"/>
        <v>424.97612632602949</v>
      </c>
      <c r="FI47" s="62">
        <f t="shared" si="23"/>
        <v>653.79630547466502</v>
      </c>
      <c r="FJ47" s="62">
        <f ca="1">AVERAGE(OFFSET($FI$3,0,0,'Données projet'!$E$16+1,1))-AVERAGE(OFFSET($H$3,0,0,'Données projet'!$E$16+1,1))</f>
        <v>547.89540791313675</v>
      </c>
      <c r="FK47" s="62">
        <f t="shared" si="48"/>
        <v>345.19555189302378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16.600000000000001</v>
      </c>
      <c r="FZ47" s="13">
        <f>IF('Données projet'!$A$244&gt;35,FZ46+FY47-GH46,IF(A47&lt;'Données projet'!$A$244,$FW$205^A47,IF(A47='Données projet'!$A$244,'Données projet'!$B$244,FZ46+FY47-GH46)))</f>
        <v>289.40000000000015</v>
      </c>
      <c r="GA47" s="18">
        <f>FZ47*VLOOKUP('Données projet'!$B$17,Paramètres!$A$1:$I$89,3,0)*VLOOKUP('Données projet'!$B$17,Paramètres!$A$1:$I$89,5,0)</f>
        <v>173.0612000000001</v>
      </c>
      <c r="GB47" s="14">
        <f t="shared" si="49"/>
        <v>43.774916798471111</v>
      </c>
      <c r="GC47" s="22">
        <f t="shared" si="25"/>
        <v>377.65623675733735</v>
      </c>
      <c r="GD47" s="62">
        <f t="shared" si="26"/>
        <v>606.47641590597289</v>
      </c>
      <c r="GE47" s="62">
        <f ca="1">AVERAGE(OFFSET($GD$3,0,0,'Données projet'!$E$17+1,1))-AVERAGE(OFFSET($H$3,0,0,'Données projet'!$E$17+1,1))</f>
        <v>409.68685886029164</v>
      </c>
      <c r="GF47" s="62">
        <f t="shared" si="50"/>
        <v>330.8416508650887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0.20103414144530449</v>
      </c>
      <c r="GO47" s="23">
        <f t="shared" si="27"/>
        <v>0.20103414144530449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73.098184695482075</v>
      </c>
      <c r="T48" s="62">
        <f t="shared" si="34"/>
        <v>334.38551711782793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40.685811460187224</v>
      </c>
      <c r="AA48" s="23">
        <f>EXP(-LN(2)/25)*AA47+(1-EXP(-LN(2)/25))/(LN(2)/25)*Calculateur!V48*Calculateur!X48*VLOOKUP('Données projet'!$B$9,Paramètres!$A$1:$I$89,3,0)*0.475*44/12</f>
        <v>9.0667078804057315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49.752519340592954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70.520400819593021</v>
      </c>
      <c r="AO48" s="62">
        <f t="shared" si="36"/>
        <v>321.48616153644309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38.813764920608058</v>
      </c>
      <c r="AV48" s="23">
        <f>EXP(-LN(2)/25)*AV47+(1-EXP(-LN(2)/25))/(LN(2)/25)*Calculateur!AQ48*Calculateur!AS48*VLOOKUP('Données projet'!$B$10,Paramètres!$A$1:$I$89,3,0)*0.475*44/12</f>
        <v>8.6495280699576114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47.46329299056567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290.99999999999989</v>
      </c>
      <c r="BE48" s="14">
        <f>BD48*VLOOKUP('Données projet'!$B$11,Paramètres!$A$1:$I$89,3,0)*VLOOKUP('Données projet'!$B$11,Paramètres!$A$1:$I$89,5,0)</f>
        <v>136.18799999999993</v>
      </c>
      <c r="BF48" s="14">
        <f t="shared" si="37"/>
        <v>35.422331714503152</v>
      </c>
      <c r="BG48" s="22">
        <f t="shared" si="7"/>
        <v>298.88799440275955</v>
      </c>
      <c r="BH48" s="62">
        <f t="shared" si="8"/>
        <v>528.82733254669404</v>
      </c>
      <c r="BI48" s="62">
        <f ca="1">AVERAGE(OFFSET($BH$3,0,0,'Données projet'!$E$11+1,1))-AVERAGE(OFFSET($H$3,0,0,'Données projet'!$E$11+1,1))</f>
        <v>374.62597460242665</v>
      </c>
      <c r="BJ48" s="62">
        <f t="shared" si="38"/>
        <v>277.50105097454616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</v>
      </c>
      <c r="BY48" s="13">
        <f>IF('Données projet'!$A$114&gt;35,BY47+BX48-CG47,IF(A48&lt;'Données projet'!$A$114,$BV$205^A48,IF(A48='Données projet'!$A$114,'Données projet'!$B$114,BY47+BX48-CG47)))</f>
        <v>161</v>
      </c>
      <c r="BZ48" s="14">
        <f>BY48*VLOOKUP('Données projet'!$B$12,Paramètres!$A$1:$I$89,3,0)*VLOOKUP('Données projet'!$B$12,Paramètres!$A$1:$I$89,5,0)</f>
        <v>75.347999999999999</v>
      </c>
      <c r="CA48" s="14">
        <f t="shared" si="39"/>
        <v>20.99581051771704</v>
      </c>
      <c r="CB48" s="22">
        <f t="shared" si="10"/>
        <v>167.79880331835713</v>
      </c>
      <c r="CC48" s="62">
        <f t="shared" si="11"/>
        <v>397.73814146229165</v>
      </c>
      <c r="CD48" s="62">
        <f ca="1">AVERAGE(OFFSET($CC$3,0,0,'Données projet'!$E$12+1,1))-AVERAGE(OFFSET($H$3,0,0,'Données projet'!$E$12+1,1))</f>
        <v>329.79342219561465</v>
      </c>
      <c r="CE48" s="62">
        <f t="shared" si="40"/>
        <v>144.63206563329757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12.2</v>
      </c>
      <c r="CT48" s="13">
        <f>IF('Données projet'!$A$140&gt;35,CT47+CS48-DB47,IF(A48&lt;'Données projet'!$A$140,$CQ$205^A48,IF(A48='Données projet'!$A$140,'Données projet'!$B$140,CT47+CS48-DB47)))</f>
        <v>362.99999999999989</v>
      </c>
      <c r="CU48" s="18">
        <f>CT48*VLOOKUP('Données projet'!$B$13,Paramètres!$A$1:$I$89,3,0)*VLOOKUP('Données projet'!$B$13,Paramètres!$A$1:$I$89,5,0)</f>
        <v>217.07399999999996</v>
      </c>
      <c r="CV48" s="14">
        <f t="shared" si="41"/>
        <v>53.47843935897447</v>
      </c>
      <c r="CW48" s="22">
        <f t="shared" si="13"/>
        <v>471.21216521688046</v>
      </c>
      <c r="CX48" s="62">
        <f t="shared" si="14"/>
        <v>701.15150336081501</v>
      </c>
      <c r="CY48" s="62">
        <f ca="1">AVERAGE(OFFSET($CX$3,0,0,'Données projet'!$E$13+1,1))-AVERAGE(OFFSET($H$3,0,0,'Données projet'!$E$13+1,1))</f>
        <v>530.27599556821826</v>
      </c>
      <c r="CZ48" s="62">
        <f t="shared" si="42"/>
        <v>370.62231794492129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8.3105808348718793E-2</v>
      </c>
      <c r="DI48" s="24">
        <f t="shared" si="15"/>
        <v>8.3105808348718793E-2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179.93040000000002</v>
      </c>
      <c r="DQ48" s="14">
        <f t="shared" si="43"/>
        <v>45.306701100349692</v>
      </c>
      <c r="DR48" s="22">
        <f t="shared" si="16"/>
        <v>392.28795108310914</v>
      </c>
      <c r="DS48" s="62">
        <f t="shared" si="17"/>
        <v>622.22728922704368</v>
      </c>
      <c r="DT48" s="62">
        <f ca="1">AVERAGE(OFFSET($DS$3,0,0,'Données projet'!$E$14+1,1))-AVERAGE(OFFSET($H$3,0,0,'Données projet'!$E$14+1,1))</f>
        <v>520.23742527061836</v>
      </c>
      <c r="DU48" s="62">
        <f t="shared" si="44"/>
        <v>321.35925479331274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201</v>
      </c>
      <c r="EH48" s="13">
        <f>VLOOKUP(A48,'Données projet'!$A$191:$I$211,9,0)</f>
        <v>8.6</v>
      </c>
      <c r="EI48" s="13">
        <f t="array" ref="EI48">INDEX(EH:EH,MIN(IF(ISNUMBER(EH48:EH244),ROW(EH48:EH244),"")))</f>
        <v>8.6</v>
      </c>
      <c r="EJ48" s="13">
        <f>IF('Données projet'!$A$192&gt;35,EJ47+EI48-ER47,IF(A48&lt;'Données projet'!$A$192,$EG$205^A48,IF(A48='Données projet'!$A$192,'Données projet'!$B$192,EJ47+EI48-ER47)))</f>
        <v>200.99999999999991</v>
      </c>
      <c r="EK48" s="18">
        <f>EJ48*VLOOKUP('Données projet'!$B$15,Paramètres!$A$1:$I$89,3,0)*VLOOKUP('Données projet'!$B$15,Paramètres!$A$1:$I$89,5,0)</f>
        <v>210.08519999999993</v>
      </c>
      <c r="EL48" s="14">
        <f t="shared" si="45"/>
        <v>51.954203602341089</v>
      </c>
      <c r="EM48" s="22">
        <f t="shared" si="19"/>
        <v>456.38529460741051</v>
      </c>
      <c r="EN48" s="62">
        <f t="shared" si="20"/>
        <v>686.32463275134501</v>
      </c>
      <c r="EO48" s="62">
        <f ca="1">AVERAGE(OFFSET($EN$3,0,0,'Données projet'!$E$15+1,1))-AVERAGE(OFFSET($H$3,0,0,'Données projet'!$E$15+1,1))</f>
        <v>435.44444011810265</v>
      </c>
      <c r="EP48" s="62">
        <f t="shared" si="46"/>
        <v>447.15868732689762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31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204</v>
      </c>
      <c r="FC48" s="13">
        <f>VLOOKUP(A48,'Données projet'!$A$217:$I$237,9,0)</f>
        <v>11.4</v>
      </c>
      <c r="FD48" s="13">
        <f t="array" ref="FD48">INDEX(FC:FC,MIN(IF(ISNUMBER(FC48:FC244),ROW(FC48:FC244),"")))</f>
        <v>11.4</v>
      </c>
      <c r="FE48" s="13">
        <f>IF('Données projet'!$A$218&gt;35,FE47+FD48-FM47,IF(A48&lt;'Données projet'!$A$218,$FB$205^A48,IF(A48='Données projet'!$A$218,'Données projet'!$B$218,FE47+FD48-FM47)))</f>
        <v>204.00000000000003</v>
      </c>
      <c r="FF48" s="18">
        <f>FE48*VLOOKUP('Données projet'!$B$16,Paramètres!$A$1:$I$89,3,0)*VLOOKUP('Données projet'!$B$16,Paramètres!$A$1:$I$89,5,0)</f>
        <v>206.85600000000005</v>
      </c>
      <c r="FG48" s="14">
        <f t="shared" si="47"/>
        <v>51.247940588293027</v>
      </c>
      <c r="FH48" s="22">
        <f t="shared" si="22"/>
        <v>449.53102985794379</v>
      </c>
      <c r="FI48" s="62">
        <f t="shared" si="23"/>
        <v>679.47036800187834</v>
      </c>
      <c r="FJ48" s="62">
        <f ca="1">AVERAGE(OFFSET($FI$3,0,0,'Données projet'!$E$16+1,1))-AVERAGE(OFFSET($H$3,0,0,'Données projet'!$E$16+1,1))</f>
        <v>547.89540791313675</v>
      </c>
      <c r="FK48" s="62">
        <f t="shared" si="48"/>
        <v>345.19555189302378</v>
      </c>
      <c r="FL48" s="16">
        <f>IF(ISNA(VLOOKUP(A48,'Données projet'!$A$217:$I$237,3,0)),0,VLOOKUP(A48,'Données projet'!$A$217:$I$237,3,0))</f>
        <v>6</v>
      </c>
      <c r="FM48" s="16">
        <f>IF(ISNA(VLOOKUP(A48,'Données projet'!$A$217:$I$237,4,0)),0,VLOOKUP(A48,'Données projet'!$A$217:$I$237,4,0))</f>
        <v>28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306</v>
      </c>
      <c r="FX48" s="13">
        <f>VLOOKUP(A48,'Données projet'!$A$243:$I$263,9,0)</f>
        <v>16.600000000000001</v>
      </c>
      <c r="FY48" s="13">
        <f t="array" ref="FY48">INDEX(FX:FX,MIN(IF(ISNUMBER(FX48:FX244),ROW(FX48:FX244),"")))</f>
        <v>16.600000000000001</v>
      </c>
      <c r="FZ48" s="13">
        <f>IF('Données projet'!$A$244&gt;35,FZ47+FY48-GH47,IF(A48&lt;'Données projet'!$A$244,$FW$205^A48,IF(A48='Données projet'!$A$244,'Données projet'!$B$244,FZ47+FY48-GH47)))</f>
        <v>306.00000000000017</v>
      </c>
      <c r="GA48" s="18">
        <f>FZ48*VLOOKUP('Données projet'!$B$17,Paramètres!$A$1:$I$89,3,0)*VLOOKUP('Données projet'!$B$17,Paramètres!$A$1:$I$89,5,0)</f>
        <v>182.98800000000011</v>
      </c>
      <c r="GB48" s="14">
        <f t="shared" si="49"/>
        <v>45.986322796524874</v>
      </c>
      <c r="GC48" s="22">
        <f t="shared" si="25"/>
        <v>398.79694553728103</v>
      </c>
      <c r="GD48" s="62">
        <f t="shared" si="26"/>
        <v>628.73628368121558</v>
      </c>
      <c r="GE48" s="62">
        <f ca="1">AVERAGE(OFFSET($GD$3,0,0,'Données projet'!$E$17+1,1))-AVERAGE(OFFSET($H$3,0,0,'Données projet'!$E$17+1,1))</f>
        <v>409.68685886029164</v>
      </c>
      <c r="GF48" s="62">
        <f t="shared" si="50"/>
        <v>330.8416508650887</v>
      </c>
      <c r="GG48" s="16">
        <f>IF(ISNA(VLOOKUP(A48,'Données projet'!$A$243:$I$263,3,0)),0,VLOOKUP(A48,'Données projet'!$A$243:$I$263,3,0))</f>
        <v>6</v>
      </c>
      <c r="GH48" s="16">
        <f>IF(ISNA(VLOOKUP(A48,'Données projet'!$A$243:$I$263,4,0)),0,VLOOKUP(A48,'Données projet'!$A$243:$I$263,4,0))</f>
        <v>53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0.14215260466599036</v>
      </c>
      <c r="GO48" s="23">
        <f t="shared" si="27"/>
        <v>0.14215260466599036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73.098184695482075</v>
      </c>
      <c r="T49" s="62">
        <f t="shared" si="34"/>
        <v>334.38551711782793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39.887987513347575</v>
      </c>
      <c r="AA49" s="23">
        <f>EXP(-LN(2)/25)*AA48+(1-EXP(-LN(2)/25))/(LN(2)/25)*Calculateur!V49*Calculateur!X49*VLOOKUP('Données projet'!$B$9,Paramètres!$A$1:$I$89,3,0)*0.475*44/12</f>
        <v>8.8187782766185911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48.70676578996617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70.520400819593021</v>
      </c>
      <c r="AO49" s="62">
        <f t="shared" si="36"/>
        <v>321.48616153644309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38.052650664573918</v>
      </c>
      <c r="AV49" s="23">
        <f>EXP(-LN(2)/25)*AV48+(1-EXP(-LN(2)/25))/(LN(2)/25)*Calculateur!AQ49*Calculateur!AS49*VLOOKUP('Données projet'!$B$10,Paramètres!$A$1:$I$89,3,0)*0.475*44/12</f>
        <v>8.4130062700257078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46.465656934599622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308.49999999999989</v>
      </c>
      <c r="BE49" s="14">
        <f>BD49*VLOOKUP('Données projet'!$B$11,Paramètres!$A$1:$I$89,3,0)*VLOOKUP('Données projet'!$B$11,Paramètres!$A$1:$I$89,5,0)</f>
        <v>144.37799999999996</v>
      </c>
      <c r="BF49" s="14">
        <f t="shared" si="37"/>
        <v>37.298139369272413</v>
      </c>
      <c r="BG49" s="22">
        <f t="shared" si="7"/>
        <v>316.41927606814937</v>
      </c>
      <c r="BH49" s="62">
        <f t="shared" si="8"/>
        <v>547.45835830087913</v>
      </c>
      <c r="BI49" s="62">
        <f ca="1">AVERAGE(OFFSET($BH$3,0,0,'Données projet'!$E$11+1,1))-AVERAGE(OFFSET($H$3,0,0,'Données projet'!$E$11+1,1))</f>
        <v>374.62597460242665</v>
      </c>
      <c r="BJ49" s="62">
        <f t="shared" si="38"/>
        <v>277.50105097454616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168</v>
      </c>
      <c r="BW49" s="13">
        <f>VLOOKUP(A49,'Données projet'!$A$113:$I$133,9,0)</f>
        <v>7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168</v>
      </c>
      <c r="BZ49" s="14">
        <f>BY49*VLOOKUP('Données projet'!$B$12,Paramètres!$A$1:$I$89,3,0)*VLOOKUP('Données projet'!$B$12,Paramètres!$A$1:$I$89,5,0)</f>
        <v>78.623999999999995</v>
      </c>
      <c r="CA49" s="14">
        <f t="shared" si="39"/>
        <v>21.800406010684444</v>
      </c>
      <c r="CB49" s="22">
        <f t="shared" si="10"/>
        <v>174.90584046860872</v>
      </c>
      <c r="CC49" s="62">
        <f t="shared" si="11"/>
        <v>405.94492270133844</v>
      </c>
      <c r="CD49" s="62">
        <f ca="1">AVERAGE(OFFSET($CC$3,0,0,'Données projet'!$E$12+1,1))-AVERAGE(OFFSET($H$3,0,0,'Données projet'!$E$12+1,1))</f>
        <v>329.79342219561465</v>
      </c>
      <c r="CE49" s="62">
        <f t="shared" si="40"/>
        <v>144.63206563329757</v>
      </c>
      <c r="CF49" s="16">
        <f>IF(ISNA(VLOOKUP(A49,'Données projet'!$A$113:$I$133,3,0)),0,VLOOKUP(A49,'Données projet'!$A$113:$I$133,3,0))</f>
        <v>3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12.2</v>
      </c>
      <c r="CT49" s="13">
        <f>IF('Données projet'!$A$140&gt;35,CT48+CS49-DB48,IF(A49&lt;'Données projet'!$A$140,$CQ$205^A49,IF(A49='Données projet'!$A$140,'Données projet'!$B$140,CT48+CS49-DB48)))</f>
        <v>375.19999999999987</v>
      </c>
      <c r="CU49" s="18">
        <f>CT49*VLOOKUP('Données projet'!$B$13,Paramètres!$A$1:$I$89,3,0)*VLOOKUP('Données projet'!$B$13,Paramètres!$A$1:$I$89,5,0)</f>
        <v>224.36959999999996</v>
      </c>
      <c r="CV49" s="14">
        <f t="shared" si="41"/>
        <v>55.063506895497703</v>
      </c>
      <c r="CW49" s="22">
        <f t="shared" si="13"/>
        <v>486.67932784299177</v>
      </c>
      <c r="CX49" s="62">
        <f t="shared" si="14"/>
        <v>717.71841007572152</v>
      </c>
      <c r="CY49" s="62">
        <f ca="1">AVERAGE(OFFSET($CX$3,0,0,'Données projet'!$E$13+1,1))-AVERAGE(OFFSET($H$3,0,0,'Données projet'!$E$13+1,1))</f>
        <v>530.27599556821826</v>
      </c>
      <c r="CZ49" s="62">
        <f t="shared" si="42"/>
        <v>370.62231794492129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5.8764680639368655E-2</v>
      </c>
      <c r="DI49" s="24">
        <f t="shared" si="15"/>
        <v>5.8764680639368655E-2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165.58152000000004</v>
      </c>
      <c r="DQ49" s="14">
        <f t="shared" si="43"/>
        <v>42.098919431473696</v>
      </c>
      <c r="DR49" s="22">
        <f t="shared" si="16"/>
        <v>361.71009867648337</v>
      </c>
      <c r="DS49" s="62">
        <f t="shared" si="17"/>
        <v>592.74918090921301</v>
      </c>
      <c r="DT49" s="62">
        <f ca="1">AVERAGE(OFFSET($DS$3,0,0,'Données projet'!$E$14+1,1))-AVERAGE(OFFSET($H$3,0,0,'Données projet'!$E$14+1,1))</f>
        <v>520.23742527061836</v>
      </c>
      <c r="DU49" s="62">
        <f t="shared" si="44"/>
        <v>321.35925479331274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7.8</v>
      </c>
      <c r="EJ49" s="13">
        <f>IF('Données projet'!$A$192&gt;35,EJ48+EI49-ER48,IF(A49&lt;'Données projet'!$A$192,$EG$205^A49,IF(A49='Données projet'!$A$192,'Données projet'!$B$192,EJ48+EI49-ER48)))</f>
        <v>177.79999999999993</v>
      </c>
      <c r="EK49" s="18">
        <f>EJ49*VLOOKUP('Données projet'!$B$15,Paramètres!$A$1:$I$89,3,0)*VLOOKUP('Données projet'!$B$15,Paramètres!$A$1:$I$89,5,0)</f>
        <v>185.83655999999993</v>
      </c>
      <c r="EL49" s="14">
        <f t="shared" si="45"/>
        <v>46.618291785316778</v>
      </c>
      <c r="EM49" s="22">
        <f t="shared" si="19"/>
        <v>404.8588668594266</v>
      </c>
      <c r="EN49" s="62">
        <f t="shared" si="20"/>
        <v>635.8979490921563</v>
      </c>
      <c r="EO49" s="62">
        <f ca="1">AVERAGE(OFFSET($EN$3,0,0,'Données projet'!$E$15+1,1))-AVERAGE(OFFSET($H$3,0,0,'Données projet'!$E$15+1,1))</f>
        <v>435.44444011810265</v>
      </c>
      <c r="EP49" s="62">
        <f t="shared" si="46"/>
        <v>447.15868732689762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11</v>
      </c>
      <c r="FE49" s="13">
        <f>IF('Données projet'!$A$218&gt;35,FE48+FD49-FM48,IF(A49&lt;'Données projet'!$A$218,$FB$205^A49,IF(A49='Données projet'!$A$218,'Données projet'!$B$218,FE48+FD49-FM48)))</f>
        <v>187.00000000000003</v>
      </c>
      <c r="FF49" s="18">
        <f>FE49*VLOOKUP('Données projet'!$B$16,Paramètres!$A$1:$I$89,3,0)*VLOOKUP('Données projet'!$B$16,Paramètres!$A$1:$I$89,5,0)</f>
        <v>189.61800000000005</v>
      </c>
      <c r="FG49" s="14">
        <f t="shared" si="47"/>
        <v>47.4554881852685</v>
      </c>
      <c r="FH49" s="22">
        <f t="shared" si="22"/>
        <v>412.90299192267599</v>
      </c>
      <c r="FI49" s="62">
        <f t="shared" si="23"/>
        <v>643.94207415540563</v>
      </c>
      <c r="FJ49" s="62">
        <f ca="1">AVERAGE(OFFSET($FI$3,0,0,'Données projet'!$E$16+1,1))-AVERAGE(OFFSET($H$3,0,0,'Données projet'!$E$16+1,1))</f>
        <v>547.89540791313675</v>
      </c>
      <c r="FK49" s="62">
        <f t="shared" si="48"/>
        <v>345.19555189302378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17.399999999999999</v>
      </c>
      <c r="FZ49" s="13">
        <f>IF('Données projet'!$A$244&gt;35,FZ48+FY49-GH48,IF(A49&lt;'Données projet'!$A$244,$FW$205^A49,IF(A49='Données projet'!$A$244,'Données projet'!$B$244,FZ48+FY49-GH48)))</f>
        <v>270.40000000000015</v>
      </c>
      <c r="GA49" s="18">
        <f>FZ49*VLOOKUP('Données projet'!$B$17,Paramètres!$A$1:$I$89,3,0)*VLOOKUP('Données projet'!$B$17,Paramètres!$A$1:$I$89,5,0)</f>
        <v>161.6992000000001</v>
      </c>
      <c r="GB49" s="14">
        <f t="shared" si="49"/>
        <v>41.225538754249229</v>
      </c>
      <c r="GC49" s="22">
        <f t="shared" si="25"/>
        <v>353.42725333031763</v>
      </c>
      <c r="GD49" s="62">
        <f t="shared" si="26"/>
        <v>584.46633556304732</v>
      </c>
      <c r="GE49" s="62">
        <f ca="1">AVERAGE(OFFSET($GD$3,0,0,'Données projet'!$E$17+1,1))-AVERAGE(OFFSET($H$3,0,0,'Données projet'!$E$17+1,1))</f>
        <v>409.68685886029164</v>
      </c>
      <c r="GF49" s="62">
        <f t="shared" si="50"/>
        <v>330.8416508650887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0.10051707072265224</v>
      </c>
      <c r="GO49" s="23">
        <f t="shared" si="27"/>
        <v>0.10051707072265224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73.098184695482075</v>
      </c>
      <c r="T50" s="62">
        <f t="shared" si="34"/>
        <v>334.38551711782793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39.105808407480893</v>
      </c>
      <c r="AA50" s="23">
        <f>EXP(-LN(2)/25)*AA49+(1-EXP(-LN(2)/25))/(LN(2)/25)*Calculateur!V50*Calculateur!X50*VLOOKUP('Données projet'!$B$9,Paramètres!$A$1:$I$89,3,0)*0.475*44/12</f>
        <v>8.5776283208850614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47.683436728365955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70.520400819593021</v>
      </c>
      <c r="AO50" s="62">
        <f t="shared" si="36"/>
        <v>321.48616153644309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37.306461394866751</v>
      </c>
      <c r="AV50" s="23">
        <f>EXP(-LN(2)/25)*AV49+(1-EXP(-LN(2)/25))/(LN(2)/25)*Calculateur!AQ50*Calculateur!AS50*VLOOKUP('Données projet'!$B$10,Paramètres!$A$1:$I$89,3,0)*0.475*44/12</f>
        <v>8.1829521711510829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45.489413566017831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325.99999999999989</v>
      </c>
      <c r="BE50" s="14">
        <f>BD50*VLOOKUP('Données projet'!$B$11,Paramètres!$A$1:$I$89,3,0)*VLOOKUP('Données projet'!$B$11,Paramètres!$A$1:$I$89,5,0)</f>
        <v>152.56799999999996</v>
      </c>
      <c r="BF50" s="14">
        <f t="shared" si="37"/>
        <v>39.161595030150863</v>
      </c>
      <c r="BG50" s="22">
        <f t="shared" si="7"/>
        <v>333.92904467751265</v>
      </c>
      <c r="BH50" s="62">
        <f t="shared" si="8"/>
        <v>566.04879289775636</v>
      </c>
      <c r="BI50" s="62">
        <f ca="1">AVERAGE(OFFSET($BH$3,0,0,'Données projet'!$E$11+1,1))-AVERAGE(OFFSET($H$3,0,0,'Données projet'!$E$11+1,1))</f>
        <v>374.62597460242665</v>
      </c>
      <c r="BJ50" s="62">
        <f t="shared" si="38"/>
        <v>277.50105097454616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7.625</v>
      </c>
      <c r="BY50" s="13">
        <f>IF('Données projet'!$A$114&gt;35,BY49+BX50-CG49,IF(A50&lt;'Données projet'!$A$114,$BV$205^A50,IF(A50='Données projet'!$A$114,'Données projet'!$B$114,BY49+BX50-CG49)))</f>
        <v>175.625</v>
      </c>
      <c r="BZ50" s="14">
        <f>BY50*VLOOKUP('Données projet'!$B$12,Paramètres!$A$1:$I$89,3,0)*VLOOKUP('Données projet'!$B$12,Paramètres!$A$1:$I$89,5,0)</f>
        <v>82.192499999999995</v>
      </c>
      <c r="CA50" s="14">
        <f t="shared" si="39"/>
        <v>22.672415305819115</v>
      </c>
      <c r="CB50" s="22">
        <f t="shared" si="10"/>
        <v>182.63972749096828</v>
      </c>
      <c r="CC50" s="62">
        <f t="shared" si="11"/>
        <v>414.75947571121202</v>
      </c>
      <c r="CD50" s="62">
        <f ca="1">AVERAGE(OFFSET($CC$3,0,0,'Données projet'!$E$12+1,1))-AVERAGE(OFFSET($H$3,0,0,'Données projet'!$E$12+1,1))</f>
        <v>329.79342219561465</v>
      </c>
      <c r="CE50" s="62">
        <f t="shared" si="40"/>
        <v>144.63206563329757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12.2</v>
      </c>
      <c r="CT50" s="13">
        <f>IF('Données projet'!$A$140&gt;35,CT49+CS50-DB49,IF(A50&lt;'Données projet'!$A$140,$CQ$205^A50,IF(A50='Données projet'!$A$140,'Données projet'!$B$140,CT49+CS50-DB49)))</f>
        <v>387.39999999999986</v>
      </c>
      <c r="CU50" s="18">
        <f>CT50*VLOOKUP('Données projet'!$B$13,Paramètres!$A$1:$I$89,3,0)*VLOOKUP('Données projet'!$B$13,Paramètres!$A$1:$I$89,5,0)</f>
        <v>231.66519999999994</v>
      </c>
      <c r="CV50" s="14">
        <f t="shared" si="41"/>
        <v>56.642585394996331</v>
      </c>
      <c r="CW50" s="22">
        <f t="shared" si="13"/>
        <v>502.13605956295174</v>
      </c>
      <c r="CX50" s="62">
        <f t="shared" si="14"/>
        <v>734.25580778319545</v>
      </c>
      <c r="CY50" s="62">
        <f ca="1">AVERAGE(OFFSET($CX$3,0,0,'Données projet'!$E$13+1,1))-AVERAGE(OFFSET($H$3,0,0,'Données projet'!$E$13+1,1))</f>
        <v>530.27599556821826</v>
      </c>
      <c r="CZ50" s="62">
        <f t="shared" si="42"/>
        <v>370.62231794492129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4.1552904174359397E-2</v>
      </c>
      <c r="DI50" s="24">
        <f t="shared" si="15"/>
        <v>4.1552904174359397E-2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175.14744000000005</v>
      </c>
      <c r="DQ50" s="14">
        <f t="shared" si="43"/>
        <v>44.240869835106878</v>
      </c>
      <c r="DR50" s="22">
        <f t="shared" si="16"/>
        <v>382.10130629614451</v>
      </c>
      <c r="DS50" s="62">
        <f t="shared" si="17"/>
        <v>614.22105451638822</v>
      </c>
      <c r="DT50" s="62">
        <f ca="1">AVERAGE(OFFSET($DS$3,0,0,'Données projet'!$E$14+1,1))-AVERAGE(OFFSET($H$3,0,0,'Données projet'!$E$14+1,1))</f>
        <v>520.23742527061836</v>
      </c>
      <c r="DU50" s="62">
        <f t="shared" si="44"/>
        <v>321.35925479331274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7.8</v>
      </c>
      <c r="EJ50" s="13">
        <f>IF('Données projet'!$A$192&gt;35,EJ49+EI50-ER49,IF(A50&lt;'Données projet'!$A$192,$EG$205^A50,IF(A50='Données projet'!$A$192,'Données projet'!$B$192,EJ49+EI50-ER49)))</f>
        <v>185.59999999999994</v>
      </c>
      <c r="EK50" s="18">
        <f>EJ50*VLOOKUP('Données projet'!$B$15,Paramètres!$A$1:$I$89,3,0)*VLOOKUP('Données projet'!$B$15,Paramètres!$A$1:$I$89,5,0)</f>
        <v>193.98911999999996</v>
      </c>
      <c r="EL50" s="14">
        <f t="shared" si="45"/>
        <v>48.420821305775434</v>
      </c>
      <c r="EM50" s="22">
        <f t="shared" si="19"/>
        <v>422.19731444089211</v>
      </c>
      <c r="EN50" s="62">
        <f t="shared" si="20"/>
        <v>654.31706266113588</v>
      </c>
      <c r="EO50" s="62">
        <f ca="1">AVERAGE(OFFSET($EN$3,0,0,'Données projet'!$E$15+1,1))-AVERAGE(OFFSET($H$3,0,0,'Données projet'!$E$15+1,1))</f>
        <v>435.44444011810265</v>
      </c>
      <c r="EP50" s="62">
        <f t="shared" si="46"/>
        <v>447.15868732689762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11</v>
      </c>
      <c r="FE50" s="13">
        <f>IF('Données projet'!$A$218&gt;35,FE49+FD50-FM49,IF(A50&lt;'Données projet'!$A$218,$FB$205^A50,IF(A50='Données projet'!$A$218,'Données projet'!$B$218,FE49+FD50-FM49)))</f>
        <v>198.00000000000003</v>
      </c>
      <c r="FF50" s="18">
        <f>FE50*VLOOKUP('Données projet'!$B$16,Paramètres!$A$1:$I$89,3,0)*VLOOKUP('Données projet'!$B$16,Paramètres!$A$1:$I$89,5,0)</f>
        <v>200.77200000000002</v>
      </c>
      <c r="FG50" s="14">
        <f t="shared" si="47"/>
        <v>49.913791898945412</v>
      </c>
      <c r="FH50" s="22">
        <f t="shared" si="22"/>
        <v>436.61108755732994</v>
      </c>
      <c r="FI50" s="62">
        <f t="shared" si="23"/>
        <v>668.7308357775737</v>
      </c>
      <c r="FJ50" s="62">
        <f ca="1">AVERAGE(OFFSET($FI$3,0,0,'Données projet'!$E$16+1,1))-AVERAGE(OFFSET($H$3,0,0,'Données projet'!$E$16+1,1))</f>
        <v>547.89540791313675</v>
      </c>
      <c r="FK50" s="62">
        <f t="shared" si="48"/>
        <v>345.19555189302378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17.399999999999999</v>
      </c>
      <c r="FZ50" s="13">
        <f>IF('Données projet'!$A$244&gt;35,FZ49+FY50-GH49,IF(A50&lt;'Données projet'!$A$244,$FW$205^A50,IF(A50='Données projet'!$A$244,'Données projet'!$B$244,FZ49+FY50-GH49)))</f>
        <v>287.80000000000013</v>
      </c>
      <c r="GA50" s="18">
        <f>FZ50*VLOOKUP('Données projet'!$B$17,Paramètres!$A$1:$I$89,3,0)*VLOOKUP('Données projet'!$B$17,Paramètres!$A$1:$I$89,5,0)</f>
        <v>172.10440000000008</v>
      </c>
      <c r="GB50" s="14">
        <f t="shared" si="49"/>
        <v>43.561001176960559</v>
      </c>
      <c r="GC50" s="22">
        <f t="shared" si="25"/>
        <v>375.61724038320648</v>
      </c>
      <c r="GD50" s="62">
        <f t="shared" si="26"/>
        <v>607.73698860345019</v>
      </c>
      <c r="GE50" s="62">
        <f ca="1">AVERAGE(OFFSET($GD$3,0,0,'Données projet'!$E$17+1,1))-AVERAGE(OFFSET($H$3,0,0,'Données projet'!$E$17+1,1))</f>
        <v>409.68685886029164</v>
      </c>
      <c r="GF50" s="62">
        <f t="shared" si="50"/>
        <v>330.8416508650887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7.1076302332995181E-2</v>
      </c>
      <c r="GO50" s="23">
        <f t="shared" si="27"/>
        <v>7.1076302332995181E-2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73.098184695482075</v>
      </c>
      <c r="T51" s="62">
        <f t="shared" si="34"/>
        <v>334.38551711782793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38.338967356798115</v>
      </c>
      <c r="AA51" s="23">
        <f>EXP(-LN(2)/25)*AA50+(1-EXP(-LN(2)/25))/(LN(2)/25)*Calculateur!V51*Calculateur!X51*VLOOKUP('Données projet'!$B$9,Paramètres!$A$1:$I$89,3,0)*0.475*44/12</f>
        <v>8.3430726233725903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46.682039980170707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70.520400819593021</v>
      </c>
      <c r="AO51" s="62">
        <f t="shared" si="36"/>
        <v>321.48616153644309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36.574904441608027</v>
      </c>
      <c r="AV51" s="23">
        <f>EXP(-LN(2)/25)*AV50+(1-EXP(-LN(2)/25))/(LN(2)/25)*Calculateur!AQ51*Calculateur!AS51*VLOOKUP('Données projet'!$B$10,Paramètres!$A$1:$I$89,3,0)*0.475*44/12</f>
        <v>7.9591889137082044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44.53409335531623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343.49999999999989</v>
      </c>
      <c r="BE51" s="14">
        <f>BD51*VLOOKUP('Données projet'!$B$11,Paramètres!$A$1:$I$89,3,0)*VLOOKUP('Données projet'!$B$11,Paramètres!$A$1:$I$89,5,0)</f>
        <v>160.75799999999995</v>
      </c>
      <c r="BF51" s="14">
        <f t="shared" si="37"/>
        <v>41.013437365421375</v>
      </c>
      <c r="BG51" s="22">
        <f t="shared" si="7"/>
        <v>351.41858674477544</v>
      </c>
      <c r="BH51" s="62">
        <f t="shared" si="8"/>
        <v>584.60025381365699</v>
      </c>
      <c r="BI51" s="62">
        <f ca="1">AVERAGE(OFFSET($BH$3,0,0,'Données projet'!$E$11+1,1))-AVERAGE(OFFSET($H$3,0,0,'Données projet'!$E$11+1,1))</f>
        <v>374.62597460242665</v>
      </c>
      <c r="BJ51" s="62">
        <f t="shared" si="38"/>
        <v>277.50105097454616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7.625</v>
      </c>
      <c r="BY51" s="13">
        <f>IF('Données projet'!$A$114&gt;35,BY50+BX51-CG50,IF(A51&lt;'Données projet'!$A$114,$BV$205^A51,IF(A51='Données projet'!$A$114,'Données projet'!$B$114,BY50+BX51-CG50)))</f>
        <v>183.25</v>
      </c>
      <c r="BZ51" s="14">
        <f>BY51*VLOOKUP('Données projet'!$B$12,Paramètres!$A$1:$I$89,3,0)*VLOOKUP('Données projet'!$B$12,Paramètres!$A$1:$I$89,5,0)</f>
        <v>85.760999999999996</v>
      </c>
      <c r="CA51" s="14">
        <f t="shared" si="39"/>
        <v>23.540027415490815</v>
      </c>
      <c r="CB51" s="22">
        <f t="shared" si="10"/>
        <v>190.36595608197982</v>
      </c>
      <c r="CC51" s="62">
        <f t="shared" si="11"/>
        <v>423.54762315086134</v>
      </c>
      <c r="CD51" s="62">
        <f ca="1">AVERAGE(OFFSET($CC$3,0,0,'Données projet'!$E$12+1,1))-AVERAGE(OFFSET($H$3,0,0,'Données projet'!$E$12+1,1))</f>
        <v>329.79342219561465</v>
      </c>
      <c r="CE51" s="62">
        <f t="shared" si="40"/>
        <v>144.63206563329757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12.2</v>
      </c>
      <c r="CT51" s="13">
        <f>IF('Données projet'!$A$140&gt;35,CT50+CS51-DB50,IF(A51&lt;'Données projet'!$A$140,$CQ$205^A51,IF(A51='Données projet'!$A$140,'Données projet'!$B$140,CT50+CS51-DB50)))</f>
        <v>399.59999999999985</v>
      </c>
      <c r="CU51" s="18">
        <f>CT51*VLOOKUP('Données projet'!$B$13,Paramètres!$A$1:$I$89,3,0)*VLOOKUP('Données projet'!$B$13,Paramètres!$A$1:$I$89,5,0)</f>
        <v>238.96079999999995</v>
      </c>
      <c r="CV51" s="14">
        <f t="shared" si="41"/>
        <v>58.215885103108349</v>
      </c>
      <c r="CW51" s="22">
        <f t="shared" si="13"/>
        <v>517.58272655458029</v>
      </c>
      <c r="CX51" s="62">
        <f t="shared" si="14"/>
        <v>750.76439362346184</v>
      </c>
      <c r="CY51" s="62">
        <f ca="1">AVERAGE(OFFSET($CX$3,0,0,'Données projet'!$E$13+1,1))-AVERAGE(OFFSET($H$3,0,0,'Données projet'!$E$13+1,1))</f>
        <v>530.27599556821826</v>
      </c>
      <c r="CZ51" s="62">
        <f t="shared" si="42"/>
        <v>370.62231794492129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2.9382340319684327E-2</v>
      </c>
      <c r="DI51" s="24">
        <f t="shared" si="15"/>
        <v>2.9382340319684327E-2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184.71336000000005</v>
      </c>
      <c r="DQ51" s="14">
        <f t="shared" si="43"/>
        <v>46.369239181771952</v>
      </c>
      <c r="DR51" s="22">
        <f t="shared" si="16"/>
        <v>402.46886024158624</v>
      </c>
      <c r="DS51" s="62">
        <f t="shared" si="17"/>
        <v>635.65052731046785</v>
      </c>
      <c r="DT51" s="62">
        <f ca="1">AVERAGE(OFFSET($DS$3,0,0,'Données projet'!$E$14+1,1))-AVERAGE(OFFSET($H$3,0,0,'Données projet'!$E$14+1,1))</f>
        <v>520.23742527061836</v>
      </c>
      <c r="DU51" s="62">
        <f t="shared" si="44"/>
        <v>321.35925479331274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7.8</v>
      </c>
      <c r="EJ51" s="13">
        <f>IF('Données projet'!$A$192&gt;35,EJ50+EI51-ER50,IF(A51&lt;'Données projet'!$A$192,$EG$205^A51,IF(A51='Données projet'!$A$192,'Données projet'!$B$192,EJ50+EI51-ER50)))</f>
        <v>193.39999999999995</v>
      </c>
      <c r="EK51" s="18">
        <f>EJ51*VLOOKUP('Données projet'!$B$15,Paramètres!$A$1:$I$89,3,0)*VLOOKUP('Données projet'!$B$15,Paramètres!$A$1:$I$89,5,0)</f>
        <v>202.14167999999998</v>
      </c>
      <c r="EL51" s="14">
        <f t="shared" si="45"/>
        <v>50.214551990389438</v>
      </c>
      <c r="EM51" s="22">
        <f t="shared" si="19"/>
        <v>439.52043738326148</v>
      </c>
      <c r="EN51" s="62">
        <f t="shared" si="20"/>
        <v>672.70210445214298</v>
      </c>
      <c r="EO51" s="62">
        <f ca="1">AVERAGE(OFFSET($EN$3,0,0,'Données projet'!$E$15+1,1))-AVERAGE(OFFSET($H$3,0,0,'Données projet'!$E$15+1,1))</f>
        <v>435.44444011810265</v>
      </c>
      <c r="EP51" s="62">
        <f t="shared" si="46"/>
        <v>447.15868732689762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11</v>
      </c>
      <c r="FE51" s="13">
        <f>IF('Données projet'!$A$218&gt;35,FE50+FD51-FM50,IF(A51&lt;'Données projet'!$A$218,$FB$205^A51,IF(A51='Données projet'!$A$218,'Données projet'!$B$218,FE50+FD51-FM50)))</f>
        <v>209.00000000000003</v>
      </c>
      <c r="FF51" s="18">
        <f>FE51*VLOOKUP('Données projet'!$B$16,Paramètres!$A$1:$I$89,3,0)*VLOOKUP('Données projet'!$B$16,Paramètres!$A$1:$I$89,5,0)</f>
        <v>211.92600000000004</v>
      </c>
      <c r="FG51" s="14">
        <f t="shared" si="47"/>
        <v>52.356241262970165</v>
      </c>
      <c r="FH51" s="22">
        <f t="shared" si="22"/>
        <v>460.29157019967312</v>
      </c>
      <c r="FI51" s="62">
        <f t="shared" si="23"/>
        <v>693.47323726855461</v>
      </c>
      <c r="FJ51" s="62">
        <f ca="1">AVERAGE(OFFSET($FI$3,0,0,'Données projet'!$E$16+1,1))-AVERAGE(OFFSET($H$3,0,0,'Données projet'!$E$16+1,1))</f>
        <v>547.89540791313675</v>
      </c>
      <c r="FK51" s="62">
        <f t="shared" si="48"/>
        <v>345.19555189302378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17.399999999999999</v>
      </c>
      <c r="FZ51" s="13">
        <f>IF('Données projet'!$A$244&gt;35,FZ50+FY51-GH50,IF(A51&lt;'Données projet'!$A$244,$FW$205^A51,IF(A51='Données projet'!$A$244,'Données projet'!$B$244,FZ50+FY51-GH50)))</f>
        <v>305.2000000000001</v>
      </c>
      <c r="GA51" s="18">
        <f>FZ51*VLOOKUP('Données projet'!$B$17,Paramètres!$A$1:$I$89,3,0)*VLOOKUP('Données projet'!$B$17,Paramètres!$A$1:$I$89,5,0)</f>
        <v>182.50960000000006</v>
      </c>
      <c r="GB51" s="14">
        <f t="shared" si="49"/>
        <v>45.880075205637056</v>
      </c>
      <c r="GC51" s="22">
        <f t="shared" si="25"/>
        <v>397.77868431648454</v>
      </c>
      <c r="GD51" s="62">
        <f t="shared" si="26"/>
        <v>630.96035138536604</v>
      </c>
      <c r="GE51" s="62">
        <f ca="1">AVERAGE(OFFSET($GD$3,0,0,'Données projet'!$E$17+1,1))-AVERAGE(OFFSET($H$3,0,0,'Données projet'!$E$17+1,1))</f>
        <v>409.68685886029164</v>
      </c>
      <c r="GF51" s="62">
        <f t="shared" si="50"/>
        <v>330.8416508650887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5.0258535361326122E-2</v>
      </c>
      <c r="GO51" s="23">
        <f t="shared" si="27"/>
        <v>5.0258535361326122E-2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73.098184695482075</v>
      </c>
      <c r="T52" s="62">
        <f t="shared" si="34"/>
        <v>334.38551711782793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37.587163591392368</v>
      </c>
      <c r="AA52" s="23">
        <f>EXP(-LN(2)/25)*AA51+(1-EXP(-LN(2)/25))/(LN(2)/25)*Calculateur!V52*Calculateur!X52*VLOOKUP('Données projet'!$B$9,Paramètres!$A$1:$I$89,3,0)*0.475*44/12</f>
        <v>8.1149308637433464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45.702094455135715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70.520400819593021</v>
      </c>
      <c r="AO52" s="62">
        <f t="shared" si="36"/>
        <v>321.48616153644309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35.857692873997024</v>
      </c>
      <c r="AV52" s="23">
        <f>EXP(-LN(2)/25)*AV51+(1-EXP(-LN(2)/25))/(LN(2)/25)*Calculateur!AQ52*Calculateur!AS52*VLOOKUP('Données projet'!$B$10,Paramètres!$A$1:$I$89,3,0)*0.475*44/12</f>
        <v>7.7415444743072994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43.599237348304321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361</v>
      </c>
      <c r="BB52" s="13">
        <f>VLOOKUP(A52,'Données projet'!$A$87:$I$107,9,0)</f>
        <v>17.5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360.99999999999989</v>
      </c>
      <c r="BE52" s="14">
        <f>BD52*VLOOKUP('Données projet'!$B$11,Paramètres!$A$1:$I$89,3,0)*VLOOKUP('Données projet'!$B$11,Paramètres!$A$1:$I$89,5,0)</f>
        <v>168.94799999999995</v>
      </c>
      <c r="BF52" s="14">
        <f t="shared" si="37"/>
        <v>42.854325527446242</v>
      </c>
      <c r="BG52" s="22">
        <f t="shared" si="7"/>
        <v>368.88905029363542</v>
      </c>
      <c r="BH52" s="62">
        <f t="shared" si="8"/>
        <v>603.11421429322581</v>
      </c>
      <c r="BI52" s="62">
        <f ca="1">AVERAGE(OFFSET($BH$3,0,0,'Données projet'!$E$11+1,1))-AVERAGE(OFFSET($H$3,0,0,'Données projet'!$E$11+1,1))</f>
        <v>374.62597460242665</v>
      </c>
      <c r="BJ52" s="62">
        <f t="shared" si="38"/>
        <v>277.50105097454616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100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7.625</v>
      </c>
      <c r="BY52" s="13">
        <f>IF('Données projet'!$A$114&gt;35,BY51+BX52-CG51,IF(A52&lt;'Données projet'!$A$114,$BV$205^A52,IF(A52='Données projet'!$A$114,'Données projet'!$B$114,BY51+BX52-CG51)))</f>
        <v>190.875</v>
      </c>
      <c r="BZ52" s="14">
        <f>BY52*VLOOKUP('Données projet'!$B$12,Paramètres!$A$1:$I$89,3,0)*VLOOKUP('Données projet'!$B$12,Paramètres!$A$1:$I$89,5,0)</f>
        <v>89.32950000000001</v>
      </c>
      <c r="CA52" s="14">
        <f t="shared" si="39"/>
        <v>24.403446229189665</v>
      </c>
      <c r="CB52" s="22">
        <f t="shared" si="10"/>
        <v>198.08488134917198</v>
      </c>
      <c r="CC52" s="62">
        <f t="shared" si="11"/>
        <v>432.3100453487624</v>
      </c>
      <c r="CD52" s="62">
        <f ca="1">AVERAGE(OFFSET($CC$3,0,0,'Données projet'!$E$12+1,1))-AVERAGE(OFFSET($H$3,0,0,'Données projet'!$E$12+1,1))</f>
        <v>329.79342219561465</v>
      </c>
      <c r="CE52" s="62">
        <f t="shared" si="40"/>
        <v>144.63206563329757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12.2</v>
      </c>
      <c r="CT52" s="13">
        <f>IF('Données projet'!$A$140&gt;35,CT51+CS52-DB51,IF(A52&lt;'Données projet'!$A$140,$CQ$205^A52,IF(A52='Données projet'!$A$140,'Données projet'!$B$140,CT51+CS52-DB51)))</f>
        <v>411.79999999999984</v>
      </c>
      <c r="CU52" s="18">
        <f>CT52*VLOOKUP('Données projet'!$B$13,Paramètres!$A$1:$I$89,3,0)*VLOOKUP('Données projet'!$B$13,Paramètres!$A$1:$I$89,5,0)</f>
        <v>246.25639999999993</v>
      </c>
      <c r="CV52" s="14">
        <f t="shared" si="41"/>
        <v>59.783602698208398</v>
      </c>
      <c r="CW52" s="22">
        <f t="shared" si="13"/>
        <v>533.01967136604617</v>
      </c>
      <c r="CX52" s="62">
        <f t="shared" si="14"/>
        <v>767.24483536563662</v>
      </c>
      <c r="CY52" s="62">
        <f ca="1">AVERAGE(OFFSET($CX$3,0,0,'Données projet'!$E$13+1,1))-AVERAGE(OFFSET($H$3,0,0,'Données projet'!$E$13+1,1))</f>
        <v>530.27599556821826</v>
      </c>
      <c r="CZ52" s="62">
        <f t="shared" si="42"/>
        <v>370.62231794492129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2.0776452087179698E-2</v>
      </c>
      <c r="DI52" s="24">
        <f t="shared" si="15"/>
        <v>2.0776452087179698E-2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194.27928000000006</v>
      </c>
      <c r="DQ52" s="14">
        <f t="shared" si="43"/>
        <v>48.484811030401794</v>
      </c>
      <c r="DR52" s="22">
        <f t="shared" si="16"/>
        <v>422.81412521128323</v>
      </c>
      <c r="DS52" s="62">
        <f t="shared" si="17"/>
        <v>657.03928921087368</v>
      </c>
      <c r="DT52" s="62">
        <f ca="1">AVERAGE(OFFSET($DS$3,0,0,'Données projet'!$E$14+1,1))-AVERAGE(OFFSET($H$3,0,0,'Données projet'!$E$14+1,1))</f>
        <v>520.23742527061836</v>
      </c>
      <c r="DU52" s="62">
        <f t="shared" si="44"/>
        <v>321.35925479331274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7.8</v>
      </c>
      <c r="EJ52" s="13">
        <f>IF('Données projet'!$A$192&gt;35,EJ51+EI52-ER51,IF(A52&lt;'Données projet'!$A$192,$EG$205^A52,IF(A52='Données projet'!$A$192,'Données projet'!$B$192,EJ51+EI52-ER51)))</f>
        <v>201.19999999999996</v>
      </c>
      <c r="EK52" s="18">
        <f>EJ52*VLOOKUP('Données projet'!$B$15,Paramètres!$A$1:$I$89,3,0)*VLOOKUP('Données projet'!$B$15,Paramètres!$A$1:$I$89,5,0)</f>
        <v>210.29423999999997</v>
      </c>
      <c r="EL52" s="14">
        <f t="shared" si="45"/>
        <v>51.999879300656886</v>
      </c>
      <c r="EM52" s="22">
        <f t="shared" si="19"/>
        <v>456.82892444864393</v>
      </c>
      <c r="EN52" s="62">
        <f t="shared" si="20"/>
        <v>691.05408844823432</v>
      </c>
      <c r="EO52" s="62">
        <f ca="1">AVERAGE(OFFSET($EN$3,0,0,'Données projet'!$E$15+1,1))-AVERAGE(OFFSET($H$3,0,0,'Données projet'!$E$15+1,1))</f>
        <v>435.44444011810265</v>
      </c>
      <c r="EP52" s="62">
        <f t="shared" si="46"/>
        <v>447.15868732689762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11</v>
      </c>
      <c r="FE52" s="13">
        <f>IF('Données projet'!$A$218&gt;35,FE51+FD52-FM51,IF(A52&lt;'Données projet'!$A$218,$FB$205^A52,IF(A52='Données projet'!$A$218,'Données projet'!$B$218,FE51+FD52-FM51)))</f>
        <v>220.00000000000003</v>
      </c>
      <c r="FF52" s="18">
        <f>FE52*VLOOKUP('Données projet'!$B$16,Paramètres!$A$1:$I$89,3,0)*VLOOKUP('Données projet'!$B$16,Paramètres!$A$1:$I$89,5,0)</f>
        <v>223.08000000000004</v>
      </c>
      <c r="FG52" s="14">
        <f t="shared" si="47"/>
        <v>54.783765878062667</v>
      </c>
      <c r="FH52" s="22">
        <f t="shared" si="22"/>
        <v>483.94605890429256</v>
      </c>
      <c r="FI52" s="62">
        <f t="shared" si="23"/>
        <v>718.17122290388306</v>
      </c>
      <c r="FJ52" s="62">
        <f ca="1">AVERAGE(OFFSET($FI$3,0,0,'Données projet'!$E$16+1,1))-AVERAGE(OFFSET($H$3,0,0,'Données projet'!$E$16+1,1))</f>
        <v>547.89540791313675</v>
      </c>
      <c r="FK52" s="62">
        <f t="shared" si="48"/>
        <v>345.19555189302378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17.399999999999999</v>
      </c>
      <c r="FZ52" s="13">
        <f>IF('Données projet'!$A$244&gt;35,FZ51+FY52-GH51,IF(A52&lt;'Données projet'!$A$244,$FW$205^A52,IF(A52='Données projet'!$A$244,'Données projet'!$B$244,FZ51+FY52-GH51)))</f>
        <v>322.60000000000008</v>
      </c>
      <c r="GA52" s="18">
        <f>FZ52*VLOOKUP('Données projet'!$B$17,Paramètres!$A$1:$I$89,3,0)*VLOOKUP('Données projet'!$B$17,Paramètres!$A$1:$I$89,5,0)</f>
        <v>192.91480000000007</v>
      </c>
      <c r="GB52" s="14">
        <f t="shared" si="49"/>
        <v>48.18380163388656</v>
      </c>
      <c r="GC52" s="22">
        <f t="shared" si="25"/>
        <v>419.91339784568589</v>
      </c>
      <c r="GD52" s="62">
        <f t="shared" si="26"/>
        <v>654.1385618452764</v>
      </c>
      <c r="GE52" s="62">
        <f ca="1">AVERAGE(OFFSET($GD$3,0,0,'Données projet'!$E$17+1,1))-AVERAGE(OFFSET($H$3,0,0,'Données projet'!$E$17+1,1))</f>
        <v>409.68685886029164</v>
      </c>
      <c r="GF52" s="62">
        <f t="shared" si="50"/>
        <v>330.8416508650887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3.553815116649759E-2</v>
      </c>
      <c r="GO52" s="23">
        <f t="shared" si="27"/>
        <v>3.553815116649759E-2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73.098184695482075</v>
      </c>
      <c r="T53" s="62">
        <f t="shared" si="34"/>
        <v>334.38551711782793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36.850102239271209</v>
      </c>
      <c r="AA53" s="23">
        <f>EXP(-LN(2)/25)*AA52+(1-EXP(-LN(2)/25))/(LN(2)/25)*Calculateur!V53*Calculateur!X53*VLOOKUP('Données projet'!$B$9,Paramètres!$A$1:$I$89,3,0)*0.475*44/12</f>
        <v>7.8930276525286169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44.743129891799825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70.520400819593021</v>
      </c>
      <c r="AO53" s="62">
        <f t="shared" si="36"/>
        <v>321.48616153644309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35.154545387771009</v>
      </c>
      <c r="AV53" s="23">
        <f>EXP(-LN(2)/25)*AV52+(1-EXP(-LN(2)/25))/(LN(2)/25)*Calculateur!AQ53*Calculateur!AS53*VLOOKUP('Données projet'!$B$10,Paramètres!$A$1:$I$89,3,0)*0.475*44/12</f>
        <v>7.5298515335472356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42.684396921318246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278</v>
      </c>
      <c r="BB53" s="13">
        <f>VLOOKUP(A53,'Données projet'!$A$87:$I$107,9,0)</f>
        <v>17</v>
      </c>
      <c r="BC53" s="13">
        <f t="array" ref="BC53">INDEX(BB:BB,MIN(IF(ISNUMBER(BB53:BB249),ROW(BB53:BB249),"")))</f>
        <v>17</v>
      </c>
      <c r="BD53" s="13">
        <f>IF('Données projet'!$A$88&gt;35,BD52+BC53-BL52,IF(A53&lt;'Données projet'!$A$88,$BA$205^A53,IF(A53='Données projet'!$A$88,'Données projet'!$B$88,BD52+BC53-BL52)))</f>
        <v>277.99999999999989</v>
      </c>
      <c r="BE53" s="14">
        <f>BD53*VLOOKUP('Données projet'!$B$11,Paramètres!$A$1:$I$89,3,0)*VLOOKUP('Données projet'!$B$11,Paramètres!$A$1:$I$89,5,0)</f>
        <v>130.10399999999996</v>
      </c>
      <c r="BF53" s="14">
        <f t="shared" si="37"/>
        <v>34.020389560268086</v>
      </c>
      <c r="BG53" s="22">
        <f t="shared" si="7"/>
        <v>285.84997848413349</v>
      </c>
      <c r="BH53" s="62">
        <f t="shared" si="8"/>
        <v>521.10053707559473</v>
      </c>
      <c r="BI53" s="62">
        <f ca="1">AVERAGE(OFFSET($BH$3,0,0,'Données projet'!$E$11+1,1))-AVERAGE(OFFSET($H$3,0,0,'Données projet'!$E$11+1,1))</f>
        <v>374.62597460242665</v>
      </c>
      <c r="BJ53" s="62">
        <f t="shared" si="38"/>
        <v>277.50105097454616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7.625</v>
      </c>
      <c r="BY53" s="13">
        <f>IF('Données projet'!$A$114&gt;35,BY52+BX53-CG52,IF(A53&lt;'Données projet'!$A$114,$BV$205^A53,IF(A53='Données projet'!$A$114,'Données projet'!$B$114,BY52+BX53-CG52)))</f>
        <v>198.5</v>
      </c>
      <c r="BZ53" s="14">
        <f>BY53*VLOOKUP('Données projet'!$B$12,Paramètres!$A$1:$I$89,3,0)*VLOOKUP('Données projet'!$B$12,Paramètres!$A$1:$I$89,5,0)</f>
        <v>92.897999999999996</v>
      </c>
      <c r="CA53" s="14">
        <f t="shared" si="39"/>
        <v>25.262858424540966</v>
      </c>
      <c r="CB53" s="22">
        <f t="shared" si="10"/>
        <v>205.79682842274215</v>
      </c>
      <c r="CC53" s="62">
        <f t="shared" si="11"/>
        <v>441.04738701420331</v>
      </c>
      <c r="CD53" s="62">
        <f ca="1">AVERAGE(OFFSET($CC$3,0,0,'Données projet'!$E$12+1,1))-AVERAGE(OFFSET($H$3,0,0,'Données projet'!$E$12+1,1))</f>
        <v>329.79342219561465</v>
      </c>
      <c r="CE53" s="62">
        <f t="shared" si="40"/>
        <v>144.63206563329757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424</v>
      </c>
      <c r="CR53" s="13">
        <f>VLOOKUP(A53,'Données projet'!$A$139:$I$159,9,0)</f>
        <v>12.2</v>
      </c>
      <c r="CS53" s="13">
        <f t="array" ref="CS53">INDEX(CR:CR,MIN(IF(ISNUMBER(CR53:CR249),ROW(CR53:CR249),"")))</f>
        <v>12.2</v>
      </c>
      <c r="CT53" s="13">
        <f>IF('Données projet'!$A$140&gt;35,CT52+CS53-DB52,IF(A53&lt;'Données projet'!$A$140,$CQ$205^A53,IF(A53='Données projet'!$A$140,'Données projet'!$B$140,CT52+CS53-DB52)))</f>
        <v>423.99999999999983</v>
      </c>
      <c r="CU53" s="18">
        <f>CT53*VLOOKUP('Données projet'!$B$13,Paramètres!$A$1:$I$89,3,0)*VLOOKUP('Données projet'!$B$13,Paramètres!$A$1:$I$89,5,0)</f>
        <v>253.55199999999994</v>
      </c>
      <c r="CV53" s="14">
        <f t="shared" si="41"/>
        <v>61.345922542613486</v>
      </c>
      <c r="CW53" s="22">
        <f t="shared" si="13"/>
        <v>548.44721509505166</v>
      </c>
      <c r="CX53" s="62">
        <f t="shared" si="14"/>
        <v>783.69777368651285</v>
      </c>
      <c r="CY53" s="62">
        <f ca="1">AVERAGE(OFFSET($CX$3,0,0,'Données projet'!$E$13+1,1))-AVERAGE(OFFSET($H$3,0,0,'Données projet'!$E$13+1,1))</f>
        <v>530.27599556821826</v>
      </c>
      <c r="CZ53" s="62">
        <f t="shared" si="42"/>
        <v>370.62231794492129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1.4691170159842164E-2</v>
      </c>
      <c r="DI53" s="24">
        <f t="shared" si="15"/>
        <v>1.4691170159842164E-2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203.84520000000006</v>
      </c>
      <c r="DQ53" s="14">
        <f t="shared" si="43"/>
        <v>50.588287419038338</v>
      </c>
      <c r="DR53" s="22">
        <f t="shared" si="16"/>
        <v>443.1383239214918</v>
      </c>
      <c r="DS53" s="62">
        <f t="shared" si="17"/>
        <v>678.38888251295293</v>
      </c>
      <c r="DT53" s="62">
        <f ca="1">AVERAGE(OFFSET($DS$3,0,0,'Données projet'!$E$14+1,1))-AVERAGE(OFFSET($H$3,0,0,'Données projet'!$E$14+1,1))</f>
        <v>520.23742527061836</v>
      </c>
      <c r="DU53" s="62">
        <f t="shared" si="44"/>
        <v>321.35925479331274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209</v>
      </c>
      <c r="EH53" s="13">
        <f>VLOOKUP(A53,'Données projet'!$A$191:$I$211,9,0)</f>
        <v>7.8</v>
      </c>
      <c r="EI53" s="13">
        <f t="array" ref="EI53">INDEX(EH:EH,MIN(IF(ISNUMBER(EH53:EH249),ROW(EH53:EH249),"")))</f>
        <v>7.8</v>
      </c>
      <c r="EJ53" s="13">
        <f>IF('Données projet'!$A$192&gt;35,EJ52+EI53-ER52,IF(A53&lt;'Données projet'!$A$192,$EG$205^A53,IF(A53='Données projet'!$A$192,'Données projet'!$B$192,EJ52+EI53-ER52)))</f>
        <v>208.99999999999997</v>
      </c>
      <c r="EK53" s="18">
        <f>EJ53*VLOOKUP('Données projet'!$B$15,Paramètres!$A$1:$I$89,3,0)*VLOOKUP('Données projet'!$B$15,Paramètres!$A$1:$I$89,5,0)</f>
        <v>218.4468</v>
      </c>
      <c r="EL53" s="14">
        <f t="shared" si="45"/>
        <v>53.777166299799823</v>
      </c>
      <c r="EM53" s="22">
        <f t="shared" si="19"/>
        <v>474.12340797215137</v>
      </c>
      <c r="EN53" s="62">
        <f t="shared" si="20"/>
        <v>709.37396656361261</v>
      </c>
      <c r="EO53" s="62">
        <f ca="1">AVERAGE(OFFSET($EN$3,0,0,'Données projet'!$E$15+1,1))-AVERAGE(OFFSET($H$3,0,0,'Données projet'!$E$15+1,1))</f>
        <v>435.44444011810265</v>
      </c>
      <c r="EP53" s="62">
        <f t="shared" si="46"/>
        <v>447.15868732689762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28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231</v>
      </c>
      <c r="FC53" s="13">
        <f>VLOOKUP(A53,'Données projet'!$A$217:$I$237,9,0)</f>
        <v>11</v>
      </c>
      <c r="FD53" s="13">
        <f t="array" ref="FD53">INDEX(FC:FC,MIN(IF(ISNUMBER(FC53:FC249),ROW(FC53:FC249),"")))</f>
        <v>11</v>
      </c>
      <c r="FE53" s="13">
        <f>IF('Données projet'!$A$218&gt;35,FE52+FD53-FM52,IF(A53&lt;'Données projet'!$A$218,$FB$205^A53,IF(A53='Données projet'!$A$218,'Données projet'!$B$218,FE52+FD53-FM52)))</f>
        <v>231.00000000000003</v>
      </c>
      <c r="FF53" s="18">
        <f>FE53*VLOOKUP('Données projet'!$B$16,Paramètres!$A$1:$I$89,3,0)*VLOOKUP('Données projet'!$B$16,Paramètres!$A$1:$I$89,5,0)</f>
        <v>234.23400000000007</v>
      </c>
      <c r="FG53" s="14">
        <f t="shared" si="47"/>
        <v>57.197197133603488</v>
      </c>
      <c r="FH53" s="22">
        <f t="shared" si="22"/>
        <v>507.57600167435953</v>
      </c>
      <c r="FI53" s="62">
        <f t="shared" si="23"/>
        <v>742.82656026582072</v>
      </c>
      <c r="FJ53" s="62">
        <f ca="1">AVERAGE(OFFSET($FI$3,0,0,'Données projet'!$E$16+1,1))-AVERAGE(OFFSET($H$3,0,0,'Données projet'!$E$16+1,1))</f>
        <v>547.89540791313675</v>
      </c>
      <c r="FK53" s="62">
        <f t="shared" si="48"/>
        <v>345.19555189302378</v>
      </c>
      <c r="FL53" s="16">
        <f>IF(ISNA(VLOOKUP(A53,'Données projet'!$A$217:$I$237,3,0)),0,VLOOKUP(A53,'Données projet'!$A$217:$I$237,3,0))</f>
        <v>7</v>
      </c>
      <c r="FM53" s="16">
        <f>IF(ISNA(VLOOKUP(A53,'Données projet'!$A$217:$I$237,4,0)),0,VLOOKUP(A53,'Données projet'!$A$217:$I$237,4,0))</f>
        <v>28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340</v>
      </c>
      <c r="FX53" s="13">
        <f>VLOOKUP(A53,'Données projet'!$A$243:$I$263,9,0)</f>
        <v>17.399999999999999</v>
      </c>
      <c r="FY53" s="13">
        <f t="array" ref="FY53">INDEX(FX:FX,MIN(IF(ISNUMBER(FX53:FX249),ROW(FX53:FX249),"")))</f>
        <v>17.399999999999999</v>
      </c>
      <c r="FZ53" s="13">
        <f>IF('Données projet'!$A$244&gt;35,FZ52+FY53-GH52,IF(A53&lt;'Données projet'!$A$244,$FW$205^A53,IF(A53='Données projet'!$A$244,'Données projet'!$B$244,FZ52+FY53-GH52)))</f>
        <v>340.00000000000006</v>
      </c>
      <c r="GA53" s="18">
        <f>FZ53*VLOOKUP('Données projet'!$B$17,Paramètres!$A$1:$I$89,3,0)*VLOOKUP('Données projet'!$B$17,Paramètres!$A$1:$I$89,5,0)</f>
        <v>203.32000000000005</v>
      </c>
      <c r="GB53" s="14">
        <f t="shared" si="49"/>
        <v>50.473102640215579</v>
      </c>
      <c r="GC53" s="22">
        <f t="shared" si="25"/>
        <v>442.02298709837555</v>
      </c>
      <c r="GD53" s="62">
        <f t="shared" si="26"/>
        <v>677.27354568983674</v>
      </c>
      <c r="GE53" s="62">
        <f ca="1">AVERAGE(OFFSET($GD$3,0,0,'Données projet'!$E$17+1,1))-AVERAGE(OFFSET($H$3,0,0,'Données projet'!$E$17+1,1))</f>
        <v>409.68685886029164</v>
      </c>
      <c r="GF53" s="62">
        <f t="shared" si="50"/>
        <v>330.8416508650887</v>
      </c>
      <c r="GG53" s="16">
        <f>IF(ISNA(VLOOKUP(A53,'Données projet'!$A$243:$I$263,3,0)),0,VLOOKUP(A53,'Données projet'!$A$243:$I$263,3,0))</f>
        <v>7</v>
      </c>
      <c r="GH53" s="16">
        <f>IF(ISNA(VLOOKUP(A53,'Données projet'!$A$243:$I$263,4,0)),0,VLOOKUP(A53,'Données projet'!$A$243:$I$263,4,0))</f>
        <v>53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2.5129267680663061E-2</v>
      </c>
      <c r="GO53" s="23">
        <f t="shared" si="27"/>
        <v>2.5129267680663061E-2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73.098184695482075</v>
      </c>
      <c r="T54" s="62">
        <f t="shared" si="34"/>
        <v>334.38551711782793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36.12749421070211</v>
      </c>
      <c r="AA54" s="23">
        <f>EXP(-LN(2)/25)*AA53+(1-EXP(-LN(2)/25))/(LN(2)/25)*Calculateur!V54*Calculateur!X54*VLOOKUP('Données projet'!$B$9,Paramètres!$A$1:$I$89,3,0)*0.475*44/12</f>
        <v>7.677192396293937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43.80468660699605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70.520400819593021</v>
      </c>
      <c r="AO54" s="62">
        <f t="shared" si="36"/>
        <v>321.48616153644309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34.465186194872267</v>
      </c>
      <c r="AV54" s="23">
        <f>EXP(-LN(2)/25)*AV53+(1-EXP(-LN(2)/25))/(LN(2)/25)*Calculateur!AQ54*Calculateur!AS54*VLOOKUP('Données projet'!$B$10,Paramètres!$A$1:$I$89,3,0)*0.475*44/12</f>
        <v>7.3239473473847037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41.78913354225697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</v>
      </c>
      <c r="BD54" s="13">
        <f>IF('Données projet'!$A$88&gt;35,BD53+BC54-BL53,IF(A54&lt;'Données projet'!$A$88,$BA$205^A54,IF(A54='Données projet'!$A$88,'Données projet'!$B$88,BD53+BC54-BL53)))</f>
        <v>294.99999999999989</v>
      </c>
      <c r="BE54" s="14">
        <f>BD54*VLOOKUP('Données projet'!$B$11,Paramètres!$A$1:$I$89,3,0)*VLOOKUP('Données projet'!$B$11,Paramètres!$A$1:$I$89,5,0)</f>
        <v>138.05999999999995</v>
      </c>
      <c r="BF54" s="14">
        <f t="shared" si="37"/>
        <v>35.85221845159689</v>
      </c>
      <c r="BG54" s="22">
        <f t="shared" si="7"/>
        <v>302.89711380319778</v>
      </c>
      <c r="BH54" s="62">
        <f t="shared" si="8"/>
        <v>539.15527868279958</v>
      </c>
      <c r="BI54" s="62">
        <f ca="1">AVERAGE(OFFSET($BH$3,0,0,'Données projet'!$E$11+1,1))-AVERAGE(OFFSET($H$3,0,0,'Données projet'!$E$11+1,1))</f>
        <v>374.62597460242665</v>
      </c>
      <c r="BJ54" s="62">
        <f t="shared" si="38"/>
        <v>277.50105097454616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7.625</v>
      </c>
      <c r="BY54" s="13">
        <f>IF('Données projet'!$A$114&gt;35,BY53+BX54-CG53,IF(A54&lt;'Données projet'!$A$114,$BV$205^A54,IF(A54='Données projet'!$A$114,'Données projet'!$B$114,BY53+BX54-CG53)))</f>
        <v>206.125</v>
      </c>
      <c r="BZ54" s="14">
        <f>BY54*VLOOKUP('Données projet'!$B$12,Paramètres!$A$1:$I$89,3,0)*VLOOKUP('Données projet'!$B$12,Paramètres!$A$1:$I$89,5,0)</f>
        <v>96.466499999999996</v>
      </c>
      <c r="CA54" s="14">
        <f t="shared" si="39"/>
        <v>26.118435525234418</v>
      </c>
      <c r="CB54" s="22">
        <f t="shared" si="10"/>
        <v>213.50209603978328</v>
      </c>
      <c r="CC54" s="62">
        <f t="shared" si="11"/>
        <v>449.76026091938513</v>
      </c>
      <c r="CD54" s="62">
        <f ca="1">AVERAGE(OFFSET($CC$3,0,0,'Données projet'!$E$12+1,1))-AVERAGE(OFFSET($H$3,0,0,'Données projet'!$E$12+1,1))</f>
        <v>329.79342219561465</v>
      </c>
      <c r="CE54" s="62">
        <f t="shared" si="40"/>
        <v>144.63206563329757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</v>
      </c>
      <c r="CT54" s="13">
        <f>IF('Données projet'!$A$140&gt;35,CT53+CS54-DB53,IF(A54&lt;'Données projet'!$A$140,$CQ$205^A54,IF(A54='Données projet'!$A$140,'Données projet'!$B$140,CT53+CS54-DB53)))</f>
        <v>392.29999999999984</v>
      </c>
      <c r="CU54" s="18">
        <f>CT54*VLOOKUP('Données projet'!$B$13,Paramètres!$A$1:$I$89,3,0)*VLOOKUP('Données projet'!$B$13,Paramètres!$A$1:$I$89,5,0)</f>
        <v>234.59539999999993</v>
      </c>
      <c r="CV54" s="14">
        <f t="shared" si="41"/>
        <v>57.275167520675019</v>
      </c>
      <c r="CW54" s="22">
        <f t="shared" si="13"/>
        <v>508.34123843184221</v>
      </c>
      <c r="CX54" s="62">
        <f t="shared" si="14"/>
        <v>744.59940331144401</v>
      </c>
      <c r="CY54" s="62">
        <f ca="1">AVERAGE(OFFSET($CX$3,0,0,'Données projet'!$E$13+1,1))-AVERAGE(OFFSET($H$3,0,0,'Données projet'!$E$13+1,1))</f>
        <v>530.27599556821826</v>
      </c>
      <c r="CZ54" s="62">
        <f t="shared" si="42"/>
        <v>370.62231794492129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1.0388226043589849E-2</v>
      </c>
      <c r="DI54" s="24">
        <f t="shared" si="15"/>
        <v>1.0388226043589849E-2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189.04080000000008</v>
      </c>
      <c r="DQ54" s="14">
        <f t="shared" si="43"/>
        <v>47.327824924099076</v>
      </c>
      <c r="DR54" s="22">
        <f t="shared" si="16"/>
        <v>411.67535507613934</v>
      </c>
      <c r="DS54" s="62">
        <f t="shared" si="17"/>
        <v>647.93351995574119</v>
      </c>
      <c r="DT54" s="62">
        <f ca="1">AVERAGE(OFFSET($DS$3,0,0,'Données projet'!$E$14+1,1))-AVERAGE(OFFSET($H$3,0,0,'Données projet'!$E$14+1,1))</f>
        <v>520.23742527061836</v>
      </c>
      <c r="DU54" s="62">
        <f t="shared" si="44"/>
        <v>321.35925479331274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6.8</v>
      </c>
      <c r="EJ54" s="13">
        <f>IF('Données projet'!$A$192&gt;35,EJ53+EI54-ER53,IF(A54&lt;'Données projet'!$A$192,$EG$205^A54,IF(A54='Données projet'!$A$192,'Données projet'!$B$192,EJ53+EI54-ER53)))</f>
        <v>187.79999999999998</v>
      </c>
      <c r="EK54" s="18">
        <f>EJ54*VLOOKUP('Données projet'!$B$15,Paramètres!$A$1:$I$89,3,0)*VLOOKUP('Données projet'!$B$15,Paramètres!$A$1:$I$89,5,0)</f>
        <v>196.28855999999999</v>
      </c>
      <c r="EL54" s="14">
        <f t="shared" si="45"/>
        <v>48.927618464681274</v>
      </c>
      <c r="EM54" s="22">
        <f t="shared" si="19"/>
        <v>427.08484415931986</v>
      </c>
      <c r="EN54" s="62">
        <f t="shared" si="20"/>
        <v>663.34300903892165</v>
      </c>
      <c r="EO54" s="62">
        <f ca="1">AVERAGE(OFFSET($EN$3,0,0,'Données projet'!$E$15+1,1))-AVERAGE(OFFSET($H$3,0,0,'Données projet'!$E$15+1,1))</f>
        <v>435.44444011810265</v>
      </c>
      <c r="EP54" s="62">
        <f t="shared" si="46"/>
        <v>447.15868732689762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10.199999999999999</v>
      </c>
      <c r="FE54" s="13">
        <f>IF('Données projet'!$A$218&gt;35,FE53+FD54-FM53,IF(A54&lt;'Données projet'!$A$218,$FB$205^A54,IF(A54='Données projet'!$A$218,'Données projet'!$B$218,FE53+FD54-FM53)))</f>
        <v>213.20000000000002</v>
      </c>
      <c r="FF54" s="18">
        <f>FE54*VLOOKUP('Données projet'!$B$16,Paramètres!$A$1:$I$89,3,0)*VLOOKUP('Données projet'!$B$16,Paramètres!$A$1:$I$89,5,0)</f>
        <v>216.18480000000002</v>
      </c>
      <c r="FG54" s="14">
        <f t="shared" si="47"/>
        <v>53.284828478170375</v>
      </c>
      <c r="FH54" s="22">
        <f t="shared" si="22"/>
        <v>469.3262695994801</v>
      </c>
      <c r="FI54" s="62">
        <f t="shared" si="23"/>
        <v>705.58443447908189</v>
      </c>
      <c r="FJ54" s="62">
        <f ca="1">AVERAGE(OFFSET($FI$3,0,0,'Données projet'!$E$16+1,1))-AVERAGE(OFFSET($H$3,0,0,'Données projet'!$E$16+1,1))</f>
        <v>547.89540791313675</v>
      </c>
      <c r="FK54" s="62">
        <f t="shared" si="48"/>
        <v>345.19555189302378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17.625</v>
      </c>
      <c r="FZ54" s="13">
        <f>IF('Données projet'!$A$244&gt;35,FZ53+FY54-GH53,IF(A54&lt;'Données projet'!$A$244,$FW$205^A54,IF(A54='Données projet'!$A$244,'Données projet'!$B$244,FZ53+FY54-GH53)))</f>
        <v>304.62500000000006</v>
      </c>
      <c r="GA54" s="18">
        <f>FZ54*VLOOKUP('Données projet'!$B$17,Paramètres!$A$1:$I$89,3,0)*VLOOKUP('Données projet'!$B$17,Paramètres!$A$1:$I$89,5,0)</f>
        <v>182.16575000000003</v>
      </c>
      <c r="GB54" s="14">
        <f t="shared" si="49"/>
        <v>45.803689728693968</v>
      </c>
      <c r="GC54" s="22">
        <f t="shared" si="25"/>
        <v>397.04677419414202</v>
      </c>
      <c r="GD54" s="62">
        <f t="shared" si="26"/>
        <v>633.30493907374387</v>
      </c>
      <c r="GE54" s="62">
        <f ca="1">AVERAGE(OFFSET($GD$3,0,0,'Données projet'!$E$17+1,1))-AVERAGE(OFFSET($H$3,0,0,'Données projet'!$E$17+1,1))</f>
        <v>409.68685886029164</v>
      </c>
      <c r="GF54" s="62">
        <f t="shared" si="50"/>
        <v>330.8416508650887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1.7769075583248795E-2</v>
      </c>
      <c r="GO54" s="23">
        <f t="shared" si="27"/>
        <v>1.7769075583248795E-2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73.098184695482075</v>
      </c>
      <c r="T55" s="62">
        <f t="shared" si="34"/>
        <v>334.38551711782793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35.419056084825876</v>
      </c>
      <c r="AA55" s="23">
        <f>EXP(-LN(2)/25)*AA54+(1-EXP(-LN(2)/25))/(LN(2)/25)*Calculateur!V55*Calculateur!X55*VLOOKUP('Données projet'!$B$9,Paramètres!$A$1:$I$89,3,0)*0.475*44/12</f>
        <v>7.467259166491278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42.886315251317157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70.520400819593021</v>
      </c>
      <c r="AO55" s="62">
        <f t="shared" si="36"/>
        <v>321.48616153644309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33.789344915278683</v>
      </c>
      <c r="AV55" s="23">
        <f>EXP(-LN(2)/25)*AV54+(1-EXP(-LN(2)/25))/(LN(2)/25)*Calculateur!AQ55*Calculateur!AS55*VLOOKUP('Données projet'!$B$10,Paramètres!$A$1:$I$89,3,0)*0.475*44/12</f>
        <v>7.1236736220208172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40.9130185372995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</v>
      </c>
      <c r="BD55" s="13">
        <f>IF('Données projet'!$A$88&gt;35,BD54+BC55-BL54,IF(A55&lt;'Données projet'!$A$88,$BA$205^A55,IF(A55='Données projet'!$A$88,'Données projet'!$B$88,BD54+BC55-BL54)))</f>
        <v>311.99999999999989</v>
      </c>
      <c r="BE55" s="14">
        <f>BD55*VLOOKUP('Données projet'!$B$11,Paramètres!$A$1:$I$89,3,0)*VLOOKUP('Données projet'!$B$11,Paramètres!$A$1:$I$89,5,0)</f>
        <v>146.01599999999993</v>
      </c>
      <c r="BF55" s="14">
        <f t="shared" si="37"/>
        <v>37.671793767891103</v>
      </c>
      <c r="BG55" s="22">
        <f t="shared" si="7"/>
        <v>319.92290747907685</v>
      </c>
      <c r="BH55" s="62">
        <f t="shared" si="8"/>
        <v>557.17119893039023</v>
      </c>
      <c r="BI55" s="62">
        <f ca="1">AVERAGE(OFFSET($BH$3,0,0,'Données projet'!$E$11+1,1))-AVERAGE(OFFSET($H$3,0,0,'Données projet'!$E$11+1,1))</f>
        <v>374.62597460242665</v>
      </c>
      <c r="BJ55" s="62">
        <f t="shared" si="38"/>
        <v>277.50105097454616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7.625</v>
      </c>
      <c r="BY55" s="13">
        <f>IF('Données projet'!$A$114&gt;35,BY54+BX55-CG54,IF(A55&lt;'Données projet'!$A$114,$BV$205^A55,IF(A55='Données projet'!$A$114,'Données projet'!$B$114,BY54+BX55-CG54)))</f>
        <v>213.75</v>
      </c>
      <c r="BZ55" s="14">
        <f>BY55*VLOOKUP('Données projet'!$B$12,Paramètres!$A$1:$I$89,3,0)*VLOOKUP('Données projet'!$B$12,Paramètres!$A$1:$I$89,5,0)</f>
        <v>100.03500000000001</v>
      </c>
      <c r="CA55" s="14">
        <f t="shared" si="39"/>
        <v>26.970335645884401</v>
      </c>
      <c r="CB55" s="22">
        <f t="shared" si="10"/>
        <v>221.2009595832487</v>
      </c>
      <c r="CC55" s="62">
        <f t="shared" si="11"/>
        <v>458.44925103456211</v>
      </c>
      <c r="CD55" s="62">
        <f ca="1">AVERAGE(OFFSET($CC$3,0,0,'Données projet'!$E$12+1,1))-AVERAGE(OFFSET($H$3,0,0,'Données projet'!$E$12+1,1))</f>
        <v>329.79342219561465</v>
      </c>
      <c r="CE55" s="62">
        <f t="shared" si="40"/>
        <v>144.63206563329757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10.3</v>
      </c>
      <c r="CT55" s="13">
        <f>IF('Données projet'!$A$140&gt;35,CT54+CS55-DB54,IF(A55&lt;'Données projet'!$A$140,$CQ$205^A55,IF(A55='Données projet'!$A$140,'Données projet'!$B$140,CT54+CS55-DB54)))</f>
        <v>402.59999999999985</v>
      </c>
      <c r="CU55" s="18">
        <f>CT55*VLOOKUP('Données projet'!$B$13,Paramètres!$A$1:$I$89,3,0)*VLOOKUP('Données projet'!$B$13,Paramètres!$A$1:$I$89,5,0)</f>
        <v>240.75479999999993</v>
      </c>
      <c r="CV55" s="14">
        <f t="shared" si="41"/>
        <v>58.601899688541039</v>
      </c>
      <c r="CW55" s="22">
        <f t="shared" si="13"/>
        <v>521.37958529087553</v>
      </c>
      <c r="CX55" s="62">
        <f t="shared" si="14"/>
        <v>758.62787674218896</v>
      </c>
      <c r="CY55" s="62">
        <f ca="1">AVERAGE(OFFSET($CX$3,0,0,'Données projet'!$E$13+1,1))-AVERAGE(OFFSET($H$3,0,0,'Données projet'!$E$13+1,1))</f>
        <v>530.27599556821826</v>
      </c>
      <c r="CZ55" s="62">
        <f t="shared" si="42"/>
        <v>370.62231794492129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7.3455850799210819E-3</v>
      </c>
      <c r="DI55" s="24">
        <f t="shared" si="15"/>
        <v>7.3455850799210819E-3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198.15120000000007</v>
      </c>
      <c r="DQ55" s="14">
        <f t="shared" si="43"/>
        <v>49.337638092068957</v>
      </c>
      <c r="DR55" s="22">
        <f t="shared" si="16"/>
        <v>431.04305967702021</v>
      </c>
      <c r="DS55" s="62">
        <f t="shared" si="17"/>
        <v>668.29135112833364</v>
      </c>
      <c r="DT55" s="62">
        <f ca="1">AVERAGE(OFFSET($DS$3,0,0,'Données projet'!$E$14+1,1))-AVERAGE(OFFSET($H$3,0,0,'Données projet'!$E$14+1,1))</f>
        <v>520.23742527061836</v>
      </c>
      <c r="DU55" s="62">
        <f t="shared" si="44"/>
        <v>321.35925479331274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6.8</v>
      </c>
      <c r="EJ55" s="13">
        <f>IF('Données projet'!$A$192&gt;35,EJ54+EI55-ER54,IF(A55&lt;'Données projet'!$A$192,$EG$205^A55,IF(A55='Données projet'!$A$192,'Données projet'!$B$192,EJ54+EI55-ER54)))</f>
        <v>194.6</v>
      </c>
      <c r="EK55" s="18">
        <f>EJ55*VLOOKUP('Données projet'!$B$15,Paramètres!$A$1:$I$89,3,0)*VLOOKUP('Données projet'!$B$15,Paramètres!$A$1:$I$89,5,0)</f>
        <v>203.39592000000002</v>
      </c>
      <c r="EL55" s="14">
        <f t="shared" si="45"/>
        <v>50.489755252507052</v>
      </c>
      <c r="EM55" s="22">
        <f t="shared" si="19"/>
        <v>442.18421773144979</v>
      </c>
      <c r="EN55" s="62">
        <f t="shared" si="20"/>
        <v>679.43250918276317</v>
      </c>
      <c r="EO55" s="62">
        <f ca="1">AVERAGE(OFFSET($EN$3,0,0,'Données projet'!$E$15+1,1))-AVERAGE(OFFSET($H$3,0,0,'Données projet'!$E$15+1,1))</f>
        <v>435.44444011810265</v>
      </c>
      <c r="EP55" s="62">
        <f t="shared" si="46"/>
        <v>447.15868732689762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10.199999999999999</v>
      </c>
      <c r="FE55" s="13">
        <f>IF('Données projet'!$A$218&gt;35,FE54+FD55-FM54,IF(A55&lt;'Données projet'!$A$218,$FB$205^A55,IF(A55='Données projet'!$A$218,'Données projet'!$B$218,FE54+FD55-FM54)))</f>
        <v>223.4</v>
      </c>
      <c r="FF55" s="18">
        <f>FE55*VLOOKUP('Données projet'!$B$16,Paramètres!$A$1:$I$89,3,0)*VLOOKUP('Données projet'!$B$16,Paramètres!$A$1:$I$89,5,0)</f>
        <v>226.52760000000001</v>
      </c>
      <c r="FG55" s="14">
        <f t="shared" si="47"/>
        <v>55.531204013656371</v>
      </c>
      <c r="FH55" s="22">
        <f t="shared" si="22"/>
        <v>491.25241699045142</v>
      </c>
      <c r="FI55" s="62">
        <f t="shared" si="23"/>
        <v>728.5007084417648</v>
      </c>
      <c r="FJ55" s="62">
        <f ca="1">AVERAGE(OFFSET($FI$3,0,0,'Données projet'!$E$16+1,1))-AVERAGE(OFFSET($H$3,0,0,'Données projet'!$E$16+1,1))</f>
        <v>547.89540791313675</v>
      </c>
      <c r="FK55" s="62">
        <f t="shared" si="48"/>
        <v>345.19555189302378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17.625</v>
      </c>
      <c r="FZ55" s="13">
        <f>IF('Données projet'!$A$244&gt;35,FZ54+FY55-GH54,IF(A55&lt;'Données projet'!$A$244,$FW$205^A55,IF(A55='Données projet'!$A$244,'Données projet'!$B$244,FZ54+FY55-GH54)))</f>
        <v>322.25000000000006</v>
      </c>
      <c r="GA55" s="18">
        <f>FZ55*VLOOKUP('Données projet'!$B$17,Paramètres!$A$1:$I$89,3,0)*VLOOKUP('Données projet'!$B$17,Paramètres!$A$1:$I$89,5,0)</f>
        <v>192.70550000000006</v>
      </c>
      <c r="GB55" s="14">
        <f t="shared" si="49"/>
        <v>48.137607387789963</v>
      </c>
      <c r="GC55" s="22">
        <f t="shared" si="25"/>
        <v>419.46841203373424</v>
      </c>
      <c r="GD55" s="62">
        <f t="shared" si="26"/>
        <v>656.71670348504767</v>
      </c>
      <c r="GE55" s="62">
        <f ca="1">AVERAGE(OFFSET($GD$3,0,0,'Données projet'!$E$17+1,1))-AVERAGE(OFFSET($H$3,0,0,'Données projet'!$E$17+1,1))</f>
        <v>409.68685886029164</v>
      </c>
      <c r="GF55" s="62">
        <f t="shared" si="50"/>
        <v>330.8416508650887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1.256463384033153E-2</v>
      </c>
      <c r="GO55" s="23">
        <f t="shared" si="27"/>
        <v>1.256463384033153E-2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73.098184695482075</v>
      </c>
      <c r="T56" s="62">
        <f t="shared" si="34"/>
        <v>334.38551711782793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34.724509998493481</v>
      </c>
      <c r="AA56" s="23">
        <f>EXP(-LN(2)/25)*AA55+(1-EXP(-LN(2)/25))/(LN(2)/25)*Calculateur!V56*Calculateur!X56*VLOOKUP('Données projet'!$B$9,Paramètres!$A$1:$I$89,3,0)*0.475*44/12</f>
        <v>7.2630665718974807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41.987576570390964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70.520400819593021</v>
      </c>
      <c r="AO56" s="62">
        <f t="shared" si="36"/>
        <v>321.48616153644309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33.126756470955449</v>
      </c>
      <c r="AV56" s="23">
        <f>EXP(-LN(2)/25)*AV55+(1-EXP(-LN(2)/25))/(LN(2)/25)*Calculateur!AQ56*Calculateur!AS56*VLOOKUP('Données projet'!$B$10,Paramètres!$A$1:$I$89,3,0)*0.475*44/12</f>
        <v>6.9288763922089434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40.055632863164391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</v>
      </c>
      <c r="BD56" s="13">
        <f>IF('Données projet'!$A$88&gt;35,BD55+BC56-BL55,IF(A56&lt;'Données projet'!$A$88,$BA$205^A56,IF(A56='Données projet'!$A$88,'Données projet'!$B$88,BD55+BC56-BL55)))</f>
        <v>328.99999999999989</v>
      </c>
      <c r="BE56" s="14">
        <f>BD56*VLOOKUP('Données projet'!$B$11,Paramètres!$A$1:$I$89,3,0)*VLOOKUP('Données projet'!$B$11,Paramètres!$A$1:$I$89,5,0)</f>
        <v>153.97199999999995</v>
      </c>
      <c r="BF56" s="14">
        <f t="shared" si="37"/>
        <v>39.479859284656378</v>
      </c>
      <c r="BG56" s="22">
        <f t="shared" si="7"/>
        <v>336.92865492077641</v>
      </c>
      <c r="BH56" s="62">
        <f t="shared" si="8"/>
        <v>575.1498964613736</v>
      </c>
      <c r="BI56" s="62">
        <f ca="1">AVERAGE(OFFSET($BH$3,0,0,'Données projet'!$E$11+1,1))-AVERAGE(OFFSET($H$3,0,0,'Données projet'!$E$11+1,1))</f>
        <v>374.62597460242665</v>
      </c>
      <c r="BJ56" s="62">
        <f t="shared" si="38"/>
        <v>277.50105097454616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7.625</v>
      </c>
      <c r="BY56" s="13">
        <f>IF('Données projet'!$A$114&gt;35,BY55+BX56-CG55,IF(A56&lt;'Données projet'!$A$114,$BV$205^A56,IF(A56='Données projet'!$A$114,'Données projet'!$B$114,BY55+BX56-CG55)))</f>
        <v>221.375</v>
      </c>
      <c r="BZ56" s="14">
        <f>BY56*VLOOKUP('Données projet'!$B$12,Paramètres!$A$1:$I$89,3,0)*VLOOKUP('Données projet'!$B$12,Paramètres!$A$1:$I$89,5,0)</f>
        <v>103.6035</v>
      </c>
      <c r="CA56" s="14">
        <f t="shared" si="39"/>
        <v>27.818704980919851</v>
      </c>
      <c r="CB56" s="22">
        <f t="shared" si="10"/>
        <v>228.89367367510204</v>
      </c>
      <c r="CC56" s="62">
        <f t="shared" si="11"/>
        <v>467.11491521569917</v>
      </c>
      <c r="CD56" s="62">
        <f ca="1">AVERAGE(OFFSET($CC$3,0,0,'Données projet'!$E$12+1,1))-AVERAGE(OFFSET($H$3,0,0,'Données projet'!$E$12+1,1))</f>
        <v>329.79342219561465</v>
      </c>
      <c r="CE56" s="62">
        <f t="shared" si="40"/>
        <v>144.63206563329757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10.3</v>
      </c>
      <c r="CT56" s="13">
        <f>IF('Données projet'!$A$140&gt;35,CT55+CS56-DB55,IF(A56&lt;'Données projet'!$A$140,$CQ$205^A56,IF(A56='Données projet'!$A$140,'Données projet'!$B$140,CT55+CS56-DB55)))</f>
        <v>412.89999999999986</v>
      </c>
      <c r="CU56" s="18">
        <f>CT56*VLOOKUP('Données projet'!$B$13,Paramètres!$A$1:$I$89,3,0)*VLOOKUP('Données projet'!$B$13,Paramètres!$A$1:$I$89,5,0)</f>
        <v>246.91419999999994</v>
      </c>
      <c r="CV56" s="14">
        <f t="shared" si="41"/>
        <v>59.924686345288471</v>
      </c>
      <c r="CW56" s="22">
        <f t="shared" si="13"/>
        <v>534.41106038471059</v>
      </c>
      <c r="CX56" s="62">
        <f t="shared" si="14"/>
        <v>772.63230192530773</v>
      </c>
      <c r="CY56" s="62">
        <f ca="1">AVERAGE(OFFSET($CX$3,0,0,'Données projet'!$E$13+1,1))-AVERAGE(OFFSET($H$3,0,0,'Données projet'!$E$13+1,1))</f>
        <v>530.27599556821826</v>
      </c>
      <c r="CZ56" s="62">
        <f t="shared" si="42"/>
        <v>370.62231794492129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5.1941130217949246E-3</v>
      </c>
      <c r="DI56" s="24">
        <f t="shared" si="15"/>
        <v>5.1941130217949246E-3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207.26160000000007</v>
      </c>
      <c r="DQ56" s="14">
        <f t="shared" si="43"/>
        <v>51.3367200324452</v>
      </c>
      <c r="DR56" s="22">
        <f t="shared" si="16"/>
        <v>450.39207405650882</v>
      </c>
      <c r="DS56" s="62">
        <f t="shared" si="17"/>
        <v>688.61331559710595</v>
      </c>
      <c r="DT56" s="62">
        <f ca="1">AVERAGE(OFFSET($DS$3,0,0,'Données projet'!$E$14+1,1))-AVERAGE(OFFSET($H$3,0,0,'Données projet'!$E$14+1,1))</f>
        <v>520.23742527061836</v>
      </c>
      <c r="DU56" s="62">
        <f t="shared" si="44"/>
        <v>321.35925479331274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6.8</v>
      </c>
      <c r="EJ56" s="13">
        <f>IF('Données projet'!$A$192&gt;35,EJ55+EI56-ER55,IF(A56&lt;'Données projet'!$A$192,$EG$205^A56,IF(A56='Données projet'!$A$192,'Données projet'!$B$192,EJ55+EI56-ER55)))</f>
        <v>201.4</v>
      </c>
      <c r="EK56" s="18">
        <f>EJ56*VLOOKUP('Données projet'!$B$15,Paramètres!$A$1:$I$89,3,0)*VLOOKUP('Données projet'!$B$15,Paramètres!$A$1:$I$89,5,0)</f>
        <v>210.50328000000005</v>
      </c>
      <c r="EL56" s="14">
        <f t="shared" si="45"/>
        <v>52.045549714335849</v>
      </c>
      <c r="EM56" s="22">
        <f t="shared" si="19"/>
        <v>457.27254508580171</v>
      </c>
      <c r="EN56" s="62">
        <f t="shared" si="20"/>
        <v>695.4937866263989</v>
      </c>
      <c r="EO56" s="62">
        <f ca="1">AVERAGE(OFFSET($EN$3,0,0,'Données projet'!$E$15+1,1))-AVERAGE(OFFSET($H$3,0,0,'Données projet'!$E$15+1,1))</f>
        <v>435.44444011810265</v>
      </c>
      <c r="EP56" s="62">
        <f t="shared" si="46"/>
        <v>447.15868732689762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10.199999999999999</v>
      </c>
      <c r="FE56" s="13">
        <f>IF('Données projet'!$A$218&gt;35,FE55+FD56-FM55,IF(A56&lt;'Données projet'!$A$218,$FB$205^A56,IF(A56='Données projet'!$A$218,'Données projet'!$B$218,FE55+FD56-FM55)))</f>
        <v>233.6</v>
      </c>
      <c r="FF56" s="18">
        <f>FE56*VLOOKUP('Données projet'!$B$16,Paramètres!$A$1:$I$89,3,0)*VLOOKUP('Données projet'!$B$16,Paramètres!$A$1:$I$89,5,0)</f>
        <v>236.87040000000002</v>
      </c>
      <c r="FG56" s="14">
        <f t="shared" si="47"/>
        <v>57.765668276484661</v>
      </c>
      <c r="FH56" s="22">
        <f t="shared" si="22"/>
        <v>513.15781891487757</v>
      </c>
      <c r="FI56" s="62">
        <f t="shared" si="23"/>
        <v>751.3790604554747</v>
      </c>
      <c r="FJ56" s="62">
        <f ca="1">AVERAGE(OFFSET($FI$3,0,0,'Données projet'!$E$16+1,1))-AVERAGE(OFFSET($H$3,0,0,'Données projet'!$E$16+1,1))</f>
        <v>547.89540791313675</v>
      </c>
      <c r="FK56" s="62">
        <f t="shared" si="48"/>
        <v>345.19555189302378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17.625</v>
      </c>
      <c r="FZ56" s="13">
        <f>IF('Données projet'!$A$244&gt;35,FZ55+FY56-GH55,IF(A56&lt;'Données projet'!$A$244,$FW$205^A56,IF(A56='Données projet'!$A$244,'Données projet'!$B$244,FZ55+FY56-GH55)))</f>
        <v>339.87500000000006</v>
      </c>
      <c r="GA56" s="18">
        <f>FZ56*VLOOKUP('Données projet'!$B$17,Paramètres!$A$1:$I$89,3,0)*VLOOKUP('Données projet'!$B$17,Paramètres!$A$1:$I$89,5,0)</f>
        <v>203.24525000000006</v>
      </c>
      <c r="GB56" s="14">
        <f t="shared" si="49"/>
        <v>50.45670595349123</v>
      </c>
      <c r="GC56" s="22">
        <f t="shared" si="25"/>
        <v>441.86423995233059</v>
      </c>
      <c r="GD56" s="62">
        <f t="shared" si="26"/>
        <v>680.08548149292778</v>
      </c>
      <c r="GE56" s="62">
        <f ca="1">AVERAGE(OFFSET($GD$3,0,0,'Données projet'!$E$17+1,1))-AVERAGE(OFFSET($H$3,0,0,'Données projet'!$E$17+1,1))</f>
        <v>409.68685886029164</v>
      </c>
      <c r="GF56" s="62">
        <f t="shared" si="50"/>
        <v>330.8416508650887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8.8845377916243976E-3</v>
      </c>
      <c r="GO56" s="23">
        <f t="shared" si="27"/>
        <v>8.8845377916243976E-3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73.098184695482075</v>
      </c>
      <c r="T57" s="62">
        <f t="shared" si="34"/>
        <v>334.38551711782793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34.043583537282785</v>
      </c>
      <c r="AA57" s="23">
        <f>EXP(-LN(2)/25)*AA56+(1-EXP(-LN(2)/25))/(LN(2)/25)*Calculateur!V57*Calculateur!X57*VLOOKUP('Données projet'!$B$9,Paramètres!$A$1:$I$89,3,0)*0.475*44/12</f>
        <v>7.0644576345408732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41.108041171823658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70.520400819593021</v>
      </c>
      <c r="AO57" s="62">
        <f t="shared" si="36"/>
        <v>321.48616153644309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32.47716098188635</v>
      </c>
      <c r="AV57" s="23">
        <f>EXP(-LN(2)/25)*AV56+(1-EXP(-LN(2)/25))/(LN(2)/25)*Calculateur!AQ57*Calculateur!AS57*VLOOKUP('Données projet'!$B$10,Paramètres!$A$1:$I$89,3,0)*0.475*44/12</f>
        <v>6.7394059028902165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39.216566884776569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</v>
      </c>
      <c r="BD57" s="13">
        <f>IF('Données projet'!$A$88&gt;35,BD56+BC57-BL56,IF(A57&lt;'Données projet'!$A$88,$BA$205^A57,IF(A57='Données projet'!$A$88,'Données projet'!$B$88,BD56+BC57-BL56)))</f>
        <v>345.99999999999989</v>
      </c>
      <c r="BE57" s="14">
        <f>BD57*VLOOKUP('Données projet'!$B$11,Paramètres!$A$1:$I$89,3,0)*VLOOKUP('Données projet'!$B$11,Paramètres!$A$1:$I$89,5,0)</f>
        <v>161.92799999999994</v>
      </c>
      <c r="BF57" s="14">
        <f t="shared" si="37"/>
        <v>41.277077571585316</v>
      </c>
      <c r="BG57" s="22">
        <f t="shared" si="7"/>
        <v>353.91551010384433</v>
      </c>
      <c r="BH57" s="62">
        <f t="shared" si="8"/>
        <v>593.09282322486672</v>
      </c>
      <c r="BI57" s="62">
        <f ca="1">AVERAGE(OFFSET($BH$3,0,0,'Données projet'!$E$11+1,1))-AVERAGE(OFFSET($H$3,0,0,'Données projet'!$E$11+1,1))</f>
        <v>374.62597460242665</v>
      </c>
      <c r="BJ57" s="62">
        <f t="shared" si="38"/>
        <v>277.50105097454616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>
        <f>VLOOKUP(A57,'Données projet'!$A$113:$I$133,2,0)</f>
        <v>229</v>
      </c>
      <c r="BW57" s="13">
        <f>VLOOKUP(A57,'Données projet'!$A$113:$I$133,9,0)</f>
        <v>7.625</v>
      </c>
      <c r="BX57" s="13">
        <f t="array" ref="BX57">INDEX(BW:BW,MIN(IF(ISNUMBER(BW57:BW253),ROW(BW57:BW253),"")))</f>
        <v>7.625</v>
      </c>
      <c r="BY57" s="13">
        <f>IF('Données projet'!$A$114&gt;35,BY56+BX57-CG56,IF(A57&lt;'Données projet'!$A$114,$BV$205^A57,IF(A57='Données projet'!$A$114,'Données projet'!$B$114,BY56+BX57-CG56)))</f>
        <v>229</v>
      </c>
      <c r="BZ57" s="14">
        <f>BY57*VLOOKUP('Données projet'!$B$12,Paramètres!$A$1:$I$89,3,0)*VLOOKUP('Données projet'!$B$12,Paramètres!$A$1:$I$89,5,0)</f>
        <v>107.172</v>
      </c>
      <c r="CA57" s="14">
        <f t="shared" si="39"/>
        <v>28.663679082578788</v>
      </c>
      <c r="CB57" s="22">
        <f t="shared" si="10"/>
        <v>236.58047440215805</v>
      </c>
      <c r="CC57" s="62">
        <f t="shared" si="11"/>
        <v>475.75778752318047</v>
      </c>
      <c r="CD57" s="62">
        <f ca="1">AVERAGE(OFFSET($CC$3,0,0,'Données projet'!$E$12+1,1))-AVERAGE(OFFSET($H$3,0,0,'Données projet'!$E$12+1,1))</f>
        <v>329.79342219561465</v>
      </c>
      <c r="CE57" s="62">
        <f t="shared" si="40"/>
        <v>144.63206563329757</v>
      </c>
      <c r="CF57" s="16">
        <f>IF(ISNA(VLOOKUP(A57,'Données projet'!$A$113:$I$133,3,0)),0,VLOOKUP(A57,'Données projet'!$A$113:$I$133,3,0))</f>
        <v>4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10.3</v>
      </c>
      <c r="CT57" s="13">
        <f>IF('Données projet'!$A$140&gt;35,CT56+CS57-DB56,IF(A57&lt;'Données projet'!$A$140,$CQ$205^A57,IF(A57='Données projet'!$A$140,'Données projet'!$B$140,CT56+CS57-DB56)))</f>
        <v>423.19999999999987</v>
      </c>
      <c r="CU57" s="18">
        <f>CT57*VLOOKUP('Données projet'!$B$13,Paramètres!$A$1:$I$89,3,0)*VLOOKUP('Données projet'!$B$13,Paramètres!$A$1:$I$89,5,0)</f>
        <v>253.07359999999994</v>
      </c>
      <c r="CV57" s="14">
        <f t="shared" si="41"/>
        <v>61.243637233758619</v>
      </c>
      <c r="CW57" s="22">
        <f t="shared" si="13"/>
        <v>547.43585484879611</v>
      </c>
      <c r="CX57" s="62">
        <f t="shared" si="14"/>
        <v>786.61316796981851</v>
      </c>
      <c r="CY57" s="62">
        <f ca="1">AVERAGE(OFFSET($CX$3,0,0,'Données projet'!$E$13+1,1))-AVERAGE(OFFSET($H$3,0,0,'Données projet'!$E$13+1,1))</f>
        <v>530.27599556821826</v>
      </c>
      <c r="CZ57" s="62">
        <f t="shared" si="42"/>
        <v>370.62231794492129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3.6727925399605409E-3</v>
      </c>
      <c r="DI57" s="24">
        <f t="shared" si="15"/>
        <v>3.6727925399605409E-3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216.37200000000007</v>
      </c>
      <c r="DQ57" s="14">
        <f t="shared" si="43"/>
        <v>53.325596354398634</v>
      </c>
      <c r="DR57" s="22">
        <f t="shared" si="16"/>
        <v>469.72331365057767</v>
      </c>
      <c r="DS57" s="62">
        <f t="shared" si="17"/>
        <v>708.90062677160006</v>
      </c>
      <c r="DT57" s="62">
        <f ca="1">AVERAGE(OFFSET($DS$3,0,0,'Données projet'!$E$14+1,1))-AVERAGE(OFFSET($H$3,0,0,'Données projet'!$E$14+1,1))</f>
        <v>520.23742527061836</v>
      </c>
      <c r="DU57" s="62">
        <f t="shared" si="44"/>
        <v>321.35925479331274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6.8</v>
      </c>
      <c r="EJ57" s="13">
        <f>IF('Données projet'!$A$192&gt;35,EJ56+EI57-ER56,IF(A57&lt;'Données projet'!$A$192,$EG$205^A57,IF(A57='Données projet'!$A$192,'Données projet'!$B$192,EJ56+EI57-ER56)))</f>
        <v>208.20000000000002</v>
      </c>
      <c r="EK57" s="18">
        <f>EJ57*VLOOKUP('Données projet'!$B$15,Paramètres!$A$1:$I$89,3,0)*VLOOKUP('Données projet'!$B$15,Paramètres!$A$1:$I$89,5,0)</f>
        <v>217.61064000000005</v>
      </c>
      <c r="EL57" s="14">
        <f t="shared" si="45"/>
        <v>53.595240539151249</v>
      </c>
      <c r="EM57" s="22">
        <f t="shared" si="19"/>
        <v>472.35024193902177</v>
      </c>
      <c r="EN57" s="62">
        <f t="shared" si="20"/>
        <v>711.52755506004416</v>
      </c>
      <c r="EO57" s="62">
        <f ca="1">AVERAGE(OFFSET($EN$3,0,0,'Données projet'!$E$15+1,1))-AVERAGE(OFFSET($H$3,0,0,'Données projet'!$E$15+1,1))</f>
        <v>435.44444011810265</v>
      </c>
      <c r="EP57" s="62">
        <f t="shared" si="46"/>
        <v>447.15868732689762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10.199999999999999</v>
      </c>
      <c r="FE57" s="13">
        <f>IF('Données projet'!$A$218&gt;35,FE56+FD57-FM56,IF(A57&lt;'Données projet'!$A$218,$FB$205^A57,IF(A57='Données projet'!$A$218,'Données projet'!$B$218,FE56+FD57-FM56)))</f>
        <v>243.79999999999998</v>
      </c>
      <c r="FF57" s="18">
        <f>FE57*VLOOKUP('Données projet'!$B$16,Paramètres!$A$1:$I$89,3,0)*VLOOKUP('Données projet'!$B$16,Paramètres!$A$1:$I$89,5,0)</f>
        <v>247.2132</v>
      </c>
      <c r="FG57" s="14">
        <f t="shared" si="47"/>
        <v>59.988800807398761</v>
      </c>
      <c r="FH57" s="22">
        <f t="shared" si="22"/>
        <v>535.04348473955281</v>
      </c>
      <c r="FI57" s="62">
        <f t="shared" si="23"/>
        <v>774.2207978605752</v>
      </c>
      <c r="FJ57" s="62">
        <f ca="1">AVERAGE(OFFSET($FI$3,0,0,'Données projet'!$E$16+1,1))-AVERAGE(OFFSET($H$3,0,0,'Données projet'!$E$16+1,1))</f>
        <v>547.89540791313675</v>
      </c>
      <c r="FK57" s="62">
        <f t="shared" si="48"/>
        <v>345.19555189302378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17.625</v>
      </c>
      <c r="FZ57" s="13">
        <f>IF('Données projet'!$A$244&gt;35,FZ56+FY57-GH56,IF(A57&lt;'Données projet'!$A$244,$FW$205^A57,IF(A57='Données projet'!$A$244,'Données projet'!$B$244,FZ56+FY57-GH56)))</f>
        <v>357.50000000000006</v>
      </c>
      <c r="GA57" s="18">
        <f>FZ57*VLOOKUP('Données projet'!$B$17,Paramètres!$A$1:$I$89,3,0)*VLOOKUP('Données projet'!$B$17,Paramètres!$A$1:$I$89,5,0)</f>
        <v>213.78500000000005</v>
      </c>
      <c r="GB57" s="14">
        <f t="shared" si="49"/>
        <v>52.761841557402377</v>
      </c>
      <c r="GC57" s="22">
        <f t="shared" si="25"/>
        <v>464.2357490458092</v>
      </c>
      <c r="GD57" s="62">
        <f t="shared" si="26"/>
        <v>703.41306216683165</v>
      </c>
      <c r="GE57" s="62">
        <f ca="1">AVERAGE(OFFSET($GD$3,0,0,'Données projet'!$E$17+1,1))-AVERAGE(OFFSET($H$3,0,0,'Données projet'!$E$17+1,1))</f>
        <v>409.68685886029164</v>
      </c>
      <c r="GF57" s="62">
        <f t="shared" si="50"/>
        <v>330.8416508650887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6.2823169201657652E-3</v>
      </c>
      <c r="GO57" s="23">
        <f t="shared" si="27"/>
        <v>6.2823169201657652E-3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73.098184695482075</v>
      </c>
      <c r="T58" s="62">
        <f t="shared" si="34"/>
        <v>334.38551711782793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33.376009628652298</v>
      </c>
      <c r="AA58" s="23">
        <f>EXP(-LN(2)/25)*AA57+(1-EXP(-LN(2)/25))/(LN(2)/25)*Calculateur!V58*Calculateur!X58*VLOOKUP('Données projet'!$B$9,Paramètres!$A$1:$I$89,3,0)*0.475*44/12</f>
        <v>6.8712796690206721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40.247289297672971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70.520400819593021</v>
      </c>
      <c r="AO58" s="62">
        <f t="shared" si="36"/>
        <v>321.48616153644309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31.840303664143772</v>
      </c>
      <c r="AV58" s="23">
        <f>EXP(-LN(2)/25)*AV57+(1-EXP(-LN(2)/25))/(LN(2)/25)*Calculateur!AQ58*Calculateur!AS58*VLOOKUP('Données projet'!$B$10,Paramètres!$A$1:$I$89,3,0)*0.475*44/12</f>
        <v>6.5551164940657305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38.395420158209504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</v>
      </c>
      <c r="BD58" s="13">
        <f>IF('Données projet'!$A$88&gt;35,BD57+BC58-BL57,IF(A58&lt;'Données projet'!$A$88,$BA$205^A58,IF(A58='Données projet'!$A$88,'Données projet'!$B$88,BD57+BC58-BL57)))</f>
        <v>362.99999999999989</v>
      </c>
      <c r="BE58" s="14">
        <f>BD58*VLOOKUP('Données projet'!$B$11,Paramètres!$A$1:$I$89,3,0)*VLOOKUP('Données projet'!$B$11,Paramètres!$A$1:$I$89,5,0)</f>
        <v>169.88399999999993</v>
      </c>
      <c r="BF58" s="14">
        <f t="shared" si="37"/>
        <v>43.064042412117296</v>
      </c>
      <c r="BG58" s="22">
        <f t="shared" si="7"/>
        <v>370.8845072011041</v>
      </c>
      <c r="BH58" s="62">
        <f t="shared" si="8"/>
        <v>611.00130619808726</v>
      </c>
      <c r="BI58" s="62">
        <f ca="1">AVERAGE(OFFSET($BH$3,0,0,'Données projet'!$E$11+1,1))-AVERAGE(OFFSET($H$3,0,0,'Données projet'!$E$11+1,1))</f>
        <v>374.62597460242665</v>
      </c>
      <c r="BJ58" s="62">
        <f t="shared" si="38"/>
        <v>277.50105097454616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8.3076923076923084</v>
      </c>
      <c r="BY58" s="13">
        <f>IF('Données projet'!$A$114&gt;35,BY57+BX58-CG57,IF(A58&lt;'Données projet'!$A$114,$BV$205^A58,IF(A58='Données projet'!$A$114,'Données projet'!$B$114,BY57+BX58-CG57)))</f>
        <v>237.30769230769232</v>
      </c>
      <c r="BZ58" s="14">
        <f>BY58*VLOOKUP('Données projet'!$B$12,Paramètres!$A$1:$I$89,3,0)*VLOOKUP('Données projet'!$B$12,Paramètres!$A$1:$I$89,5,0)</f>
        <v>111.06</v>
      </c>
      <c r="CA58" s="14">
        <f t="shared" si="39"/>
        <v>29.580589274318296</v>
      </c>
      <c r="CB58" s="22">
        <f t="shared" si="10"/>
        <v>244.94902631943771</v>
      </c>
      <c r="CC58" s="62">
        <f t="shared" si="11"/>
        <v>485.06582531642084</v>
      </c>
      <c r="CD58" s="62">
        <f ca="1">AVERAGE(OFFSET($CC$3,0,0,'Données projet'!$E$12+1,1))-AVERAGE(OFFSET($H$3,0,0,'Données projet'!$E$12+1,1))</f>
        <v>329.79342219561465</v>
      </c>
      <c r="CE58" s="62">
        <f t="shared" si="40"/>
        <v>144.63206563329757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10.3</v>
      </c>
      <c r="CT58" s="13">
        <f>IF('Données projet'!$A$140&gt;35,CT57+CS58-DB57,IF(A58&lt;'Données projet'!$A$140,$CQ$205^A58,IF(A58='Données projet'!$A$140,'Données projet'!$B$140,CT57+CS58-DB57)))</f>
        <v>433.49999999999989</v>
      </c>
      <c r="CU58" s="18">
        <f>CT58*VLOOKUP('Données projet'!$B$13,Paramètres!$A$1:$I$89,3,0)*VLOOKUP('Données projet'!$B$13,Paramètres!$A$1:$I$89,5,0)</f>
        <v>259.23299999999995</v>
      </c>
      <c r="CV58" s="14">
        <f t="shared" si="41"/>
        <v>62.558856450288438</v>
      </c>
      <c r="CW58" s="22">
        <f t="shared" si="13"/>
        <v>560.45414998425224</v>
      </c>
      <c r="CX58" s="62">
        <f t="shared" si="14"/>
        <v>800.57094898123535</v>
      </c>
      <c r="CY58" s="62">
        <f ca="1">AVERAGE(OFFSET($CX$3,0,0,'Données projet'!$E$13+1,1))-AVERAGE(OFFSET($H$3,0,0,'Données projet'!$E$13+1,1))</f>
        <v>530.27599556821826</v>
      </c>
      <c r="CZ58" s="62">
        <f t="shared" si="42"/>
        <v>370.62231794492129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2.5970565108974623E-3</v>
      </c>
      <c r="DI58" s="24">
        <f t="shared" si="15"/>
        <v>2.5970565108974623E-3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225.4824000000001</v>
      </c>
      <c r="DQ58" s="14">
        <f t="shared" si="43"/>
        <v>55.304745901414421</v>
      </c>
      <c r="DR58" s="22">
        <f t="shared" si="16"/>
        <v>489.03761244496371</v>
      </c>
      <c r="DS58" s="62">
        <f t="shared" si="17"/>
        <v>729.15441144194688</v>
      </c>
      <c r="DT58" s="62">
        <f ca="1">AVERAGE(OFFSET($DS$3,0,0,'Données projet'!$E$14+1,1))-AVERAGE(OFFSET($H$3,0,0,'Données projet'!$E$14+1,1))</f>
        <v>520.23742527061836</v>
      </c>
      <c r="DU58" s="62">
        <f t="shared" si="44"/>
        <v>321.35925479331274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215</v>
      </c>
      <c r="EH58" s="13">
        <f>VLOOKUP(A58,'Données projet'!$A$191:$I$211,9,0)</f>
        <v>6.8</v>
      </c>
      <c r="EI58" s="13">
        <f t="array" ref="EI58">INDEX(EH:EH,MIN(IF(ISNUMBER(EH58:EH254),ROW(EH58:EH254),"")))</f>
        <v>6.8</v>
      </c>
      <c r="EJ58" s="13">
        <f>IF('Données projet'!$A$192&gt;35,EJ57+EI58-ER57,IF(A58&lt;'Données projet'!$A$192,$EG$205^A58,IF(A58='Données projet'!$A$192,'Données projet'!$B$192,EJ57+EI58-ER57)))</f>
        <v>215.00000000000003</v>
      </c>
      <c r="EK58" s="18">
        <f>EJ58*VLOOKUP('Données projet'!$B$15,Paramètres!$A$1:$I$89,3,0)*VLOOKUP('Données projet'!$B$15,Paramètres!$A$1:$I$89,5,0)</f>
        <v>224.71800000000007</v>
      </c>
      <c r="EL58" s="14">
        <f t="shared" si="45"/>
        <v>55.13904993933199</v>
      </c>
      <c r="EM58" s="22">
        <f t="shared" si="19"/>
        <v>487.41769531100323</v>
      </c>
      <c r="EN58" s="62">
        <f t="shared" si="20"/>
        <v>727.53449430798639</v>
      </c>
      <c r="EO58" s="62">
        <f ca="1">AVERAGE(OFFSET($EN$3,0,0,'Données projet'!$E$15+1,1))-AVERAGE(OFFSET($H$3,0,0,'Données projet'!$E$15+1,1))</f>
        <v>435.44444011810265</v>
      </c>
      <c r="EP58" s="62">
        <f t="shared" si="46"/>
        <v>447.15868732689762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25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254</v>
      </c>
      <c r="FC58" s="13">
        <f>VLOOKUP(A58,'Données projet'!$A$217:$I$237,9,0)</f>
        <v>10.199999999999999</v>
      </c>
      <c r="FD58" s="13">
        <f t="array" ref="FD58">INDEX(FC:FC,MIN(IF(ISNUMBER(FC58:FC254),ROW(FC58:FC254),"")))</f>
        <v>10.199999999999999</v>
      </c>
      <c r="FE58" s="13">
        <f>IF('Données projet'!$A$218&gt;35,FE57+FD58-FM57,IF(A58&lt;'Données projet'!$A$218,$FB$205^A58,IF(A58='Données projet'!$A$218,'Données projet'!$B$218,FE57+FD58-FM57)))</f>
        <v>253.99999999999997</v>
      </c>
      <c r="FF58" s="18">
        <f>FE58*VLOOKUP('Données projet'!$B$16,Paramètres!$A$1:$I$89,3,0)*VLOOKUP('Données projet'!$B$16,Paramètres!$A$1:$I$89,5,0)</f>
        <v>257.55599999999998</v>
      </c>
      <c r="FG58" s="14">
        <f t="shared" si="47"/>
        <v>62.201129910568184</v>
      </c>
      <c r="FH58" s="22">
        <f t="shared" si="22"/>
        <v>556.91033459423954</v>
      </c>
      <c r="FI58" s="62">
        <f t="shared" si="23"/>
        <v>797.02713359122265</v>
      </c>
      <c r="FJ58" s="62">
        <f ca="1">AVERAGE(OFFSET($FI$3,0,0,'Données projet'!$E$16+1,1))-AVERAGE(OFFSET($H$3,0,0,'Données projet'!$E$16+1,1))</f>
        <v>547.89540791313675</v>
      </c>
      <c r="FK58" s="62">
        <f t="shared" si="48"/>
        <v>345.19555189302378</v>
      </c>
      <c r="FL58" s="16">
        <f>IF(ISNA(VLOOKUP(A58,'Données projet'!$A$217:$I$237,3,0)),0,VLOOKUP(A58,'Données projet'!$A$217:$I$237,3,0))</f>
        <v>8</v>
      </c>
      <c r="FM58" s="16">
        <f>IF(ISNA(VLOOKUP(A58,'Données projet'!$A$217:$I$237,4,0)),0,VLOOKUP(A58,'Données projet'!$A$217:$I$237,4,0))</f>
        <v>28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17.625</v>
      </c>
      <c r="FZ58" s="13">
        <f>IF('Données projet'!$A$244&gt;35,FZ57+FY58-GH57,IF(A58&lt;'Données projet'!$A$244,$FW$205^A58,IF(A58='Données projet'!$A$244,'Données projet'!$B$244,FZ57+FY58-GH57)))</f>
        <v>375.12500000000006</v>
      </c>
      <c r="GA58" s="18">
        <f>FZ58*VLOOKUP('Données projet'!$B$17,Paramètres!$A$1:$I$89,3,0)*VLOOKUP('Données projet'!$B$17,Paramètres!$A$1:$I$89,5,0)</f>
        <v>224.32475000000005</v>
      </c>
      <c r="GB58" s="14">
        <f t="shared" si="49"/>
        <v>55.053781146410472</v>
      </c>
      <c r="GC58" s="22">
        <f t="shared" si="25"/>
        <v>486.58427507999835</v>
      </c>
      <c r="GD58" s="62">
        <f t="shared" si="26"/>
        <v>726.70107407698151</v>
      </c>
      <c r="GE58" s="62">
        <f ca="1">AVERAGE(OFFSET($GD$3,0,0,'Données projet'!$E$17+1,1))-AVERAGE(OFFSET($H$3,0,0,'Données projet'!$E$17+1,1))</f>
        <v>409.68685886029164</v>
      </c>
      <c r="GF58" s="62">
        <f t="shared" si="50"/>
        <v>330.8416508650887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4.4422688958121988E-3</v>
      </c>
      <c r="GO58" s="23">
        <f t="shared" si="27"/>
        <v>4.4422688958121988E-3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73.098184695482075</v>
      </c>
      <c r="T59" s="62">
        <f t="shared" si="34"/>
        <v>334.38551711782793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32.721526437190178</v>
      </c>
      <c r="AA59" s="23">
        <f>EXP(-LN(2)/25)*AA58+(1-EXP(-LN(2)/25))/(LN(2)/25)*Calculateur!V59*Calculateur!X59*VLOOKUP('Données projet'!$B$9,Paramètres!$A$1:$I$89,3,0)*0.475*44/12</f>
        <v>6.6833841651264088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39.40491060231659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70.520400819593021</v>
      </c>
      <c r="AO59" s="62">
        <f t="shared" si="36"/>
        <v>321.48616153644309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31.215934729957517</v>
      </c>
      <c r="AV59" s="23">
        <f>EXP(-LN(2)/25)*AV58+(1-EXP(-LN(2)/25))/(LN(2)/25)*Calculateur!AQ59*Calculateur!AS59*VLOOKUP('Données projet'!$B$10,Paramètres!$A$1:$I$89,3,0)*0.475*44/12</f>
        <v>6.375866488816909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37.591801218774428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380</v>
      </c>
      <c r="BB59" s="13">
        <f>VLOOKUP(A59,'Données projet'!$A$87:$I$107,9,0)</f>
        <v>17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379.99999999999989</v>
      </c>
      <c r="BE59" s="14">
        <f>BD59*VLOOKUP('Données projet'!$B$11,Paramètres!$A$1:$I$89,3,0)*VLOOKUP('Données projet'!$B$11,Paramètres!$A$1:$I$89,5,0)</f>
        <v>177.83999999999995</v>
      </c>
      <c r="BF59" s="14">
        <f t="shared" si="37"/>
        <v>44.841288830609102</v>
      </c>
      <c r="BG59" s="22">
        <f t="shared" si="7"/>
        <v>387.83657804664409</v>
      </c>
      <c r="BH59" s="62">
        <f t="shared" si="8"/>
        <v>628.87656494001567</v>
      </c>
      <c r="BI59" s="62">
        <f ca="1">AVERAGE(OFFSET($BH$3,0,0,'Données projet'!$E$11+1,1))-AVERAGE(OFFSET($H$3,0,0,'Données projet'!$E$11+1,1))</f>
        <v>374.62597460242665</v>
      </c>
      <c r="BJ59" s="62">
        <f t="shared" si="38"/>
        <v>277.50105097454616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79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8.3076923076923084</v>
      </c>
      <c r="BY59" s="13">
        <f>IF('Données projet'!$A$114&gt;35,BY58+BX59-CG58,IF(A59&lt;'Données projet'!$A$114,$BV$205^A59,IF(A59='Données projet'!$A$114,'Données projet'!$B$114,BY58+BX59-CG58)))</f>
        <v>245.61538461538464</v>
      </c>
      <c r="BZ59" s="14">
        <f>BY59*VLOOKUP('Données projet'!$B$12,Paramètres!$A$1:$I$89,3,0)*VLOOKUP('Données projet'!$B$12,Paramètres!$A$1:$I$89,5,0)</f>
        <v>114.94800000000001</v>
      </c>
      <c r="CA59" s="14">
        <f t="shared" si="39"/>
        <v>30.493769906691632</v>
      </c>
      <c r="CB59" s="22">
        <f t="shared" si="10"/>
        <v>253.3110825874879</v>
      </c>
      <c r="CC59" s="62">
        <f t="shared" si="11"/>
        <v>494.35106948085956</v>
      </c>
      <c r="CD59" s="62">
        <f ca="1">AVERAGE(OFFSET($CC$3,0,0,'Données projet'!$E$12+1,1))-AVERAGE(OFFSET($H$3,0,0,'Données projet'!$E$12+1,1))</f>
        <v>329.79342219561465</v>
      </c>
      <c r="CE59" s="62">
        <f t="shared" si="40"/>
        <v>144.63206563329757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10.3</v>
      </c>
      <c r="CT59" s="13">
        <f>IF('Données projet'!$A$140&gt;35,CT58+CS59-DB58,IF(A59&lt;'Données projet'!$A$140,$CQ$205^A59,IF(A59='Données projet'!$A$140,'Données projet'!$B$140,CT58+CS59-DB58)))</f>
        <v>443.7999999999999</v>
      </c>
      <c r="CU59" s="18">
        <f>CT59*VLOOKUP('Données projet'!$B$13,Paramètres!$A$1:$I$89,3,0)*VLOOKUP('Données projet'!$B$13,Paramètres!$A$1:$I$89,5,0)</f>
        <v>265.39239999999995</v>
      </c>
      <c r="CV59" s="14">
        <f t="shared" si="41"/>
        <v>63.870442862391762</v>
      </c>
      <c r="CW59" s="22">
        <f t="shared" si="13"/>
        <v>573.46611798533218</v>
      </c>
      <c r="CX59" s="62">
        <f t="shared" si="14"/>
        <v>814.50610487870381</v>
      </c>
      <c r="CY59" s="62">
        <f ca="1">AVERAGE(OFFSET($CX$3,0,0,'Données projet'!$E$13+1,1))-AVERAGE(OFFSET($H$3,0,0,'Données projet'!$E$13+1,1))</f>
        <v>530.27599556821826</v>
      </c>
      <c r="CZ59" s="62">
        <f t="shared" si="42"/>
        <v>370.62231794492129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1.8363962699802705E-3</v>
      </c>
      <c r="DI59" s="24">
        <f t="shared" si="15"/>
        <v>1.8363962699802705E-3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209.99472000000009</v>
      </c>
      <c r="DQ59" s="14">
        <f t="shared" si="43"/>
        <v>51.934431883769705</v>
      </c>
      <c r="DR59" s="22">
        <f t="shared" si="16"/>
        <v>456.19327286423237</v>
      </c>
      <c r="DS59" s="62">
        <f t="shared" si="17"/>
        <v>697.23325975760395</v>
      </c>
      <c r="DT59" s="62">
        <f ca="1">AVERAGE(OFFSET($DS$3,0,0,'Données projet'!$E$14+1,1))-AVERAGE(OFFSET($H$3,0,0,'Données projet'!$E$14+1,1))</f>
        <v>520.23742527061836</v>
      </c>
      <c r="DU59" s="62">
        <f t="shared" si="44"/>
        <v>321.35925479331274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6</v>
      </c>
      <c r="EJ59" s="13">
        <f>IF('Données projet'!$A$192&gt;35,EJ58+EI59-ER58,IF(A59&lt;'Données projet'!$A$192,$EG$205^A59,IF(A59='Données projet'!$A$192,'Données projet'!$B$192,EJ58+EI59-ER58)))</f>
        <v>196.00000000000003</v>
      </c>
      <c r="EK59" s="18">
        <f>EJ59*VLOOKUP('Données projet'!$B$15,Paramètres!$A$1:$I$89,3,0)*VLOOKUP('Données projet'!$B$15,Paramètres!$A$1:$I$89,5,0)</f>
        <v>204.85920000000004</v>
      </c>
      <c r="EL59" s="14">
        <f t="shared" si="45"/>
        <v>50.810576245160128</v>
      </c>
      <c r="EM59" s="22">
        <f t="shared" si="19"/>
        <v>445.2915269603206</v>
      </c>
      <c r="EN59" s="62">
        <f t="shared" si="20"/>
        <v>686.33151385369229</v>
      </c>
      <c r="EO59" s="62">
        <f ca="1">AVERAGE(OFFSET($EN$3,0,0,'Données projet'!$E$15+1,1))-AVERAGE(OFFSET($H$3,0,0,'Données projet'!$E$15+1,1))</f>
        <v>435.44444011810265</v>
      </c>
      <c r="EP59" s="62">
        <f t="shared" si="46"/>
        <v>447.15868732689762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9.4</v>
      </c>
      <c r="FE59" s="13">
        <f>IF('Données projet'!$A$218&gt;35,FE58+FD59-FM58,IF(A59&lt;'Données projet'!$A$218,$FB$205^A59,IF(A59='Données projet'!$A$218,'Données projet'!$B$218,FE58+FD59-FM58)))</f>
        <v>235.39999999999998</v>
      </c>
      <c r="FF59" s="18">
        <f>FE59*VLOOKUP('Données projet'!$B$16,Paramètres!$A$1:$I$89,3,0)*VLOOKUP('Données projet'!$B$16,Paramètres!$A$1:$I$89,5,0)</f>
        <v>238.69559999999998</v>
      </c>
      <c r="FG59" s="14">
        <f t="shared" si="47"/>
        <v>58.158793514165929</v>
      </c>
      <c r="FH59" s="22">
        <f t="shared" si="22"/>
        <v>517.02140203717238</v>
      </c>
      <c r="FI59" s="62">
        <f t="shared" si="23"/>
        <v>758.06138893054401</v>
      </c>
      <c r="FJ59" s="62">
        <f ca="1">AVERAGE(OFFSET($FI$3,0,0,'Données projet'!$E$16+1,1))-AVERAGE(OFFSET($H$3,0,0,'Données projet'!$E$16+1,1))</f>
        <v>547.89540791313675</v>
      </c>
      <c r="FK59" s="62">
        <f t="shared" si="48"/>
        <v>345.19555189302378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17.625</v>
      </c>
      <c r="FZ59" s="13">
        <f>IF('Données projet'!$A$244&gt;35,FZ58+FY59-GH58,IF(A59&lt;'Données projet'!$A$244,$FW$205^A59,IF(A59='Données projet'!$A$244,'Données projet'!$B$244,FZ58+FY59-GH58)))</f>
        <v>392.75000000000006</v>
      </c>
      <c r="GA59" s="18">
        <f>FZ59*VLOOKUP('Données projet'!$B$17,Paramètres!$A$1:$I$89,3,0)*VLOOKUP('Données projet'!$B$17,Paramètres!$A$1:$I$89,5,0)</f>
        <v>234.86450000000002</v>
      </c>
      <c r="GB59" s="14">
        <f t="shared" si="49"/>
        <v>57.33321552572081</v>
      </c>
      <c r="GC59" s="22">
        <f t="shared" si="25"/>
        <v>508.9110212072971</v>
      </c>
      <c r="GD59" s="62">
        <f t="shared" si="26"/>
        <v>749.95100810066879</v>
      </c>
      <c r="GE59" s="62">
        <f ca="1">AVERAGE(OFFSET($GD$3,0,0,'Données projet'!$E$17+1,1))-AVERAGE(OFFSET($H$3,0,0,'Données projet'!$E$17+1,1))</f>
        <v>409.68685886029164</v>
      </c>
      <c r="GF59" s="62">
        <f t="shared" si="50"/>
        <v>330.8416508650887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3.1411584600828826E-3</v>
      </c>
      <c r="GO59" s="23">
        <f t="shared" si="27"/>
        <v>3.1411584600828826E-3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73.098184695482075</v>
      </c>
      <c r="T60" s="62">
        <f t="shared" si="34"/>
        <v>334.38551711782793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32.079877261917304</v>
      </c>
      <c r="AA60" s="23">
        <f>EXP(-LN(2)/25)*AA59+(1-EXP(-LN(2)/25))/(LN(2)/25)*Calculateur!V60*Calculateur!X60*VLOOKUP('Données projet'!$B$9,Paramètres!$A$1:$I$89,3,0)*0.475*44/12</f>
        <v>6.5006266736671288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38.580503935584431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70.520400819593021</v>
      </c>
      <c r="AO60" s="62">
        <f t="shared" si="36"/>
        <v>321.48616153644309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30.603809289743207</v>
      </c>
      <c r="AV60" s="23">
        <f>EXP(-LN(2)/25)*AV59+(1-EXP(-LN(2)/25))/(LN(2)/25)*Calculateur!AQ60*Calculateur!AS60*VLOOKUP('Données projet'!$B$10,Paramètres!$A$1:$I$89,3,0)*0.475*44/12</f>
        <v>6.2015180843879643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36.805327374131174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316</v>
      </c>
      <c r="BB60" s="13">
        <f>VLOOKUP(A60,'Données projet'!$A$87:$I$107,9,0)</f>
        <v>15</v>
      </c>
      <c r="BC60" s="13">
        <f t="array" ref="BC60">INDEX(BB:BB,MIN(IF(ISNUMBER(BB60:BB256),ROW(BB60:BB256),"")))</f>
        <v>15</v>
      </c>
      <c r="BD60" s="13">
        <f>IF('Données projet'!$A$88&gt;35,BD59+BC60-BL59,IF(A60&lt;'Données projet'!$A$88,$BA$205^A60,IF(A60='Données projet'!$A$88,'Données projet'!$B$88,BD59+BC60-BL59)))</f>
        <v>315.99999999999989</v>
      </c>
      <c r="BE60" s="14">
        <f>BD60*VLOOKUP('Données projet'!$B$11,Paramètres!$A$1:$I$89,3,0)*VLOOKUP('Données projet'!$B$11,Paramètres!$A$1:$I$89,5,0)</f>
        <v>147.88799999999995</v>
      </c>
      <c r="BF60" s="14">
        <f t="shared" si="37"/>
        <v>38.098230660204834</v>
      </c>
      <c r="BG60" s="22">
        <f t="shared" si="7"/>
        <v>323.92601839985667</v>
      </c>
      <c r="BH60" s="62">
        <f t="shared" si="8"/>
        <v>565.8731779435534</v>
      </c>
      <c r="BI60" s="62">
        <f ca="1">AVERAGE(OFFSET($BH$3,0,0,'Données projet'!$E$11+1,1))-AVERAGE(OFFSET($H$3,0,0,'Données projet'!$E$11+1,1))</f>
        <v>374.62597460242665</v>
      </c>
      <c r="BJ60" s="62">
        <f t="shared" si="38"/>
        <v>277.50105097454616</v>
      </c>
      <c r="BK60" s="16">
        <f>IF(ISNA(VLOOKUP(A60,'Données projet'!$A$87:$I$107,3,0)),0,VLOOKUP(A60,'Données projet'!$A$87:$I$107,3,0))</f>
        <v>8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8.3076923076923084</v>
      </c>
      <c r="BY60" s="13">
        <f>IF('Données projet'!$A$114&gt;35,BY59+BX60-CG59,IF(A60&lt;'Données projet'!$A$114,$BV$205^A60,IF(A60='Données projet'!$A$114,'Données projet'!$B$114,BY59+BX60-CG59)))</f>
        <v>253.92307692307696</v>
      </c>
      <c r="BZ60" s="14">
        <f>BY60*VLOOKUP('Données projet'!$B$12,Paramètres!$A$1:$I$89,3,0)*VLOOKUP('Données projet'!$B$12,Paramètres!$A$1:$I$89,5,0)</f>
        <v>118.83600000000003</v>
      </c>
      <c r="CA60" s="14">
        <f t="shared" si="39"/>
        <v>31.403361589569748</v>
      </c>
      <c r="CB60" s="22">
        <f t="shared" si="10"/>
        <v>261.66688810183399</v>
      </c>
      <c r="CC60" s="62">
        <f t="shared" si="11"/>
        <v>503.61404764553077</v>
      </c>
      <c r="CD60" s="62">
        <f ca="1">AVERAGE(OFFSET($CC$3,0,0,'Données projet'!$E$12+1,1))-AVERAGE(OFFSET($H$3,0,0,'Données projet'!$E$12+1,1))</f>
        <v>329.79342219561465</v>
      </c>
      <c r="CE60" s="62">
        <f t="shared" si="40"/>
        <v>144.63206563329757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10.3</v>
      </c>
      <c r="CT60" s="13">
        <f>IF('Données projet'!$A$140&gt;35,CT59+CS60-DB59,IF(A60&lt;'Données projet'!$A$140,$CQ$205^A60,IF(A60='Données projet'!$A$140,'Données projet'!$B$140,CT59+CS60-DB59)))</f>
        <v>454.09999999999991</v>
      </c>
      <c r="CU60" s="18">
        <f>CT60*VLOOKUP('Données projet'!$B$13,Paramètres!$A$1:$I$89,3,0)*VLOOKUP('Données projet'!$B$13,Paramètres!$A$1:$I$89,5,0)</f>
        <v>271.55179999999996</v>
      </c>
      <c r="CV60" s="14">
        <f t="shared" si="41"/>
        <v>65.178490486572642</v>
      </c>
      <c r="CW60" s="22">
        <f t="shared" si="13"/>
        <v>586.47192259744713</v>
      </c>
      <c r="CX60" s="62">
        <f t="shared" si="14"/>
        <v>828.41908214114392</v>
      </c>
      <c r="CY60" s="62">
        <f ca="1">AVERAGE(OFFSET($CX$3,0,0,'Données projet'!$E$13+1,1))-AVERAGE(OFFSET($H$3,0,0,'Données projet'!$E$13+1,1))</f>
        <v>530.27599556821826</v>
      </c>
      <c r="CZ60" s="62">
        <f t="shared" si="42"/>
        <v>370.62231794492129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1.2985282554487311E-3</v>
      </c>
      <c r="DI60" s="24">
        <f t="shared" si="15"/>
        <v>1.2985282554487311E-3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218.42184000000006</v>
      </c>
      <c r="DQ60" s="14">
        <f t="shared" si="43"/>
        <v>53.771736855235361</v>
      </c>
      <c r="DR60" s="22">
        <f t="shared" si="16"/>
        <v>474.07047968953492</v>
      </c>
      <c r="DS60" s="62">
        <f t="shared" si="17"/>
        <v>716.01763923323165</v>
      </c>
      <c r="DT60" s="62">
        <f ca="1">AVERAGE(OFFSET($DS$3,0,0,'Données projet'!$E$14+1,1))-AVERAGE(OFFSET($H$3,0,0,'Données projet'!$E$14+1,1))</f>
        <v>520.23742527061836</v>
      </c>
      <c r="DU60" s="62">
        <f t="shared" si="44"/>
        <v>321.35925479331274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6</v>
      </c>
      <c r="EJ60" s="13">
        <f>IF('Données projet'!$A$192&gt;35,EJ59+EI60-ER59,IF(A60&lt;'Données projet'!$A$192,$EG$205^A60,IF(A60='Données projet'!$A$192,'Données projet'!$B$192,EJ59+EI60-ER59)))</f>
        <v>202.00000000000003</v>
      </c>
      <c r="EK60" s="18">
        <f>EJ60*VLOOKUP('Données projet'!$B$15,Paramètres!$A$1:$I$89,3,0)*VLOOKUP('Données projet'!$B$15,Paramètres!$A$1:$I$89,5,0)</f>
        <v>211.13040000000007</v>
      </c>
      <c r="EL60" s="14">
        <f t="shared" si="45"/>
        <v>52.182529306074585</v>
      </c>
      <c r="EM60" s="22">
        <f t="shared" si="19"/>
        <v>458.60335187474658</v>
      </c>
      <c r="EN60" s="62">
        <f t="shared" si="20"/>
        <v>700.55051141844342</v>
      </c>
      <c r="EO60" s="62">
        <f ca="1">AVERAGE(OFFSET($EN$3,0,0,'Données projet'!$E$15+1,1))-AVERAGE(OFFSET($H$3,0,0,'Données projet'!$E$15+1,1))</f>
        <v>435.44444011810265</v>
      </c>
      <c r="EP60" s="62">
        <f t="shared" si="46"/>
        <v>447.15868732689762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9.4</v>
      </c>
      <c r="FE60" s="13">
        <f>IF('Données projet'!$A$218&gt;35,FE59+FD60-FM59,IF(A60&lt;'Données projet'!$A$218,$FB$205^A60,IF(A60='Données projet'!$A$218,'Données projet'!$B$218,FE59+FD60-FM59)))</f>
        <v>244.79999999999998</v>
      </c>
      <c r="FF60" s="18">
        <f>FE60*VLOOKUP('Données projet'!$B$16,Paramètres!$A$1:$I$89,3,0)*VLOOKUP('Données projet'!$B$16,Paramètres!$A$1:$I$89,5,0)</f>
        <v>248.22720000000001</v>
      </c>
      <c r="FG60" s="14">
        <f t="shared" si="47"/>
        <v>60.20616532763993</v>
      </c>
      <c r="FH60" s="22">
        <f t="shared" si="22"/>
        <v>537.18811127897277</v>
      </c>
      <c r="FI60" s="62">
        <f t="shared" si="23"/>
        <v>779.13527082266955</v>
      </c>
      <c r="FJ60" s="62">
        <f ca="1">AVERAGE(OFFSET($FI$3,0,0,'Données projet'!$E$16+1,1))-AVERAGE(OFFSET($H$3,0,0,'Données projet'!$E$16+1,1))</f>
        <v>547.89540791313675</v>
      </c>
      <c r="FK60" s="62">
        <f t="shared" si="48"/>
        <v>345.19555189302378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17.625</v>
      </c>
      <c r="FZ60" s="13">
        <f>IF('Données projet'!$A$244&gt;35,FZ59+FY60-GH59,IF(A60&lt;'Données projet'!$A$244,$FW$205^A60,IF(A60='Données projet'!$A$244,'Données projet'!$B$244,FZ59+FY60-GH59)))</f>
        <v>410.37500000000006</v>
      </c>
      <c r="GA60" s="18">
        <f>FZ60*VLOOKUP('Données projet'!$B$17,Paramètres!$A$1:$I$89,3,0)*VLOOKUP('Données projet'!$B$17,Paramètres!$A$1:$I$89,5,0)</f>
        <v>245.40425000000005</v>
      </c>
      <c r="GB60" s="14">
        <f t="shared" si="49"/>
        <v>59.60076999447687</v>
      </c>
      <c r="GC60" s="22">
        <f t="shared" si="25"/>
        <v>531.21707649038069</v>
      </c>
      <c r="GD60" s="62">
        <f t="shared" si="26"/>
        <v>773.16423603407748</v>
      </c>
      <c r="GE60" s="62">
        <f ca="1">AVERAGE(OFFSET($GD$3,0,0,'Données projet'!$E$17+1,1))-AVERAGE(OFFSET($H$3,0,0,'Données projet'!$E$17+1,1))</f>
        <v>409.68685886029164</v>
      </c>
      <c r="GF60" s="62">
        <f t="shared" si="50"/>
        <v>330.8416508650887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2.2211344479060994E-3</v>
      </c>
      <c r="GO60" s="23">
        <f t="shared" si="27"/>
        <v>2.2211344479060994E-3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73.098184695482075</v>
      </c>
      <c r="T61" s="62">
        <f t="shared" si="34"/>
        <v>334.38551711782793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31.450810435604176</v>
      </c>
      <c r="AA61" s="23">
        <f>EXP(-LN(2)/25)*AA60+(1-EXP(-LN(2)/25))/(LN(2)/25)*Calculateur!V61*Calculateur!X61*VLOOKUP('Données projet'!$B$9,Paramètres!$A$1:$I$89,3,0)*0.475*44/12</f>
        <v>6.3228666954226016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37.77367713102678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70.520400819593021</v>
      </c>
      <c r="AO61" s="62">
        <f t="shared" si="36"/>
        <v>321.48616153644309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30.003687256051847</v>
      </c>
      <c r="AV61" s="23">
        <f>EXP(-LN(2)/25)*AV60+(1-EXP(-LN(2)/25))/(LN(2)/25)*Calculateur!AQ61*Calculateur!AS61*VLOOKUP('Données projet'!$B$10,Paramètres!$A$1:$I$89,3,0)*0.475*44/12</f>
        <v>6.0319372462467129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36.03562450229856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16.666666666666668</v>
      </c>
      <c r="BD61" s="13">
        <f>IF('Données projet'!$A$88&gt;35,BD60+BC61-BL60,IF(A61&lt;'Données projet'!$A$88,$BA$205^A61,IF(A61='Données projet'!$A$88,'Données projet'!$B$88,BD60+BC61-BL60)))</f>
        <v>332.66666666666657</v>
      </c>
      <c r="BE61" s="14">
        <f>BD61*VLOOKUP('Données projet'!$B$11,Paramètres!$A$1:$I$89,3,0)*VLOOKUP('Données projet'!$B$11,Paramètres!$A$1:$I$89,5,0)</f>
        <v>155.68799999999996</v>
      </c>
      <c r="BF61" s="14">
        <f t="shared" si="37"/>
        <v>39.868390761764985</v>
      </c>
      <c r="BG61" s="22">
        <f t="shared" si="7"/>
        <v>340.5940472434072</v>
      </c>
      <c r="BH61" s="62">
        <f t="shared" si="8"/>
        <v>583.43264202008027</v>
      </c>
      <c r="BI61" s="62">
        <f ca="1">AVERAGE(OFFSET($BH$3,0,0,'Données projet'!$E$11+1,1))-AVERAGE(OFFSET($H$3,0,0,'Données projet'!$E$11+1,1))</f>
        <v>374.62597460242665</v>
      </c>
      <c r="BJ61" s="62">
        <f t="shared" si="38"/>
        <v>277.50105097454616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8.3076923076923084</v>
      </c>
      <c r="BY61" s="13">
        <f>IF('Données projet'!$A$114&gt;35,BY60+BX61-CG60,IF(A61&lt;'Données projet'!$A$114,$BV$205^A61,IF(A61='Données projet'!$A$114,'Données projet'!$B$114,BY60+BX61-CG60)))</f>
        <v>262.23076923076928</v>
      </c>
      <c r="BZ61" s="14">
        <f>BY61*VLOOKUP('Données projet'!$B$12,Paramètres!$A$1:$I$89,3,0)*VLOOKUP('Données projet'!$B$12,Paramètres!$A$1:$I$89,5,0)</f>
        <v>122.72400000000002</v>
      </c>
      <c r="CA61" s="14">
        <f t="shared" si="39"/>
        <v>32.309495209816525</v>
      </c>
      <c r="CB61" s="22">
        <f t="shared" si="10"/>
        <v>270.01667082376383</v>
      </c>
      <c r="CC61" s="62">
        <f t="shared" si="11"/>
        <v>512.85526560043684</v>
      </c>
      <c r="CD61" s="62">
        <f ca="1">AVERAGE(OFFSET($CC$3,0,0,'Données projet'!$E$12+1,1))-AVERAGE(OFFSET($H$3,0,0,'Données projet'!$E$12+1,1))</f>
        <v>329.79342219561465</v>
      </c>
      <c r="CE61" s="62">
        <f t="shared" si="40"/>
        <v>144.63206563329757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10.3</v>
      </c>
      <c r="CT61" s="13">
        <f>IF('Données projet'!$A$140&gt;35,CT60+CS61-DB60,IF(A61&lt;'Données projet'!$A$140,$CQ$205^A61,IF(A61='Données projet'!$A$140,'Données projet'!$B$140,CT60+CS61-DB60)))</f>
        <v>464.39999999999992</v>
      </c>
      <c r="CU61" s="18">
        <f>CT61*VLOOKUP('Données projet'!$B$13,Paramètres!$A$1:$I$89,3,0)*VLOOKUP('Données projet'!$B$13,Paramètres!$A$1:$I$89,5,0)</f>
        <v>277.71119999999996</v>
      </c>
      <c r="CV61" s="14">
        <f t="shared" si="41"/>
        <v>66.483088830894033</v>
      </c>
      <c r="CW61" s="22">
        <f t="shared" si="13"/>
        <v>599.47171971380703</v>
      </c>
      <c r="CX61" s="62">
        <f t="shared" si="14"/>
        <v>842.3103144904801</v>
      </c>
      <c r="CY61" s="62">
        <f ca="1">AVERAGE(OFFSET($CX$3,0,0,'Données projet'!$E$13+1,1))-AVERAGE(OFFSET($H$3,0,0,'Données projet'!$E$13+1,1))</f>
        <v>530.27599556821826</v>
      </c>
      <c r="CZ61" s="62">
        <f t="shared" si="42"/>
        <v>370.62231794492129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9.1819813499013523E-4</v>
      </c>
      <c r="DI61" s="24">
        <f t="shared" si="15"/>
        <v>9.1819813499013523E-4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226.84896000000009</v>
      </c>
      <c r="DQ61" s="14">
        <f t="shared" si="43"/>
        <v>55.600806964501203</v>
      </c>
      <c r="DR61" s="22">
        <f t="shared" si="16"/>
        <v>491.93334412983972</v>
      </c>
      <c r="DS61" s="62">
        <f t="shared" si="17"/>
        <v>734.77193890651279</v>
      </c>
      <c r="DT61" s="62">
        <f ca="1">AVERAGE(OFFSET($DS$3,0,0,'Données projet'!$E$14+1,1))-AVERAGE(OFFSET($H$3,0,0,'Données projet'!$E$14+1,1))</f>
        <v>520.23742527061836</v>
      </c>
      <c r="DU61" s="62">
        <f t="shared" si="44"/>
        <v>321.35925479331274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6</v>
      </c>
      <c r="EJ61" s="13">
        <f>IF('Données projet'!$A$192&gt;35,EJ60+EI61-ER60,IF(A61&lt;'Données projet'!$A$192,$EG$205^A61,IF(A61='Données projet'!$A$192,'Données projet'!$B$192,EJ60+EI61-ER60)))</f>
        <v>208.00000000000003</v>
      </c>
      <c r="EK61" s="18">
        <f>EJ61*VLOOKUP('Données projet'!$B$15,Paramètres!$A$1:$I$89,3,0)*VLOOKUP('Données projet'!$B$15,Paramètres!$A$1:$I$89,5,0)</f>
        <v>217.40160000000003</v>
      </c>
      <c r="EL61" s="14">
        <f t="shared" si="45"/>
        <v>53.549746395925162</v>
      </c>
      <c r="EM61" s="22">
        <f t="shared" si="19"/>
        <v>471.90692830623647</v>
      </c>
      <c r="EN61" s="62">
        <f t="shared" si="20"/>
        <v>714.74552308290947</v>
      </c>
      <c r="EO61" s="62">
        <f ca="1">AVERAGE(OFFSET($EN$3,0,0,'Données projet'!$E$15+1,1))-AVERAGE(OFFSET($H$3,0,0,'Données projet'!$E$15+1,1))</f>
        <v>435.44444011810265</v>
      </c>
      <c r="EP61" s="62">
        <f t="shared" si="46"/>
        <v>447.15868732689762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9.4</v>
      </c>
      <c r="FE61" s="13">
        <f>IF('Données projet'!$A$218&gt;35,FE60+FD61-FM60,IF(A61&lt;'Données projet'!$A$218,$FB$205^A61,IF(A61='Données projet'!$A$218,'Données projet'!$B$218,FE60+FD61-FM60)))</f>
        <v>254.2</v>
      </c>
      <c r="FF61" s="18">
        <f>FE61*VLOOKUP('Données projet'!$B$16,Paramètres!$A$1:$I$89,3,0)*VLOOKUP('Données projet'!$B$16,Paramètres!$A$1:$I$89,5,0)</f>
        <v>257.75880000000001</v>
      </c>
      <c r="FG61" s="14">
        <f t="shared" si="47"/>
        <v>62.244404241627407</v>
      </c>
      <c r="FH61" s="22">
        <f t="shared" si="22"/>
        <v>557.33891405416773</v>
      </c>
      <c r="FI61" s="62">
        <f t="shared" si="23"/>
        <v>800.17750883084079</v>
      </c>
      <c r="FJ61" s="62">
        <f ca="1">AVERAGE(OFFSET($FI$3,0,0,'Données projet'!$E$16+1,1))-AVERAGE(OFFSET($H$3,0,0,'Données projet'!$E$16+1,1))</f>
        <v>547.89540791313675</v>
      </c>
      <c r="FK61" s="62">
        <f t="shared" si="48"/>
        <v>345.19555189302378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>
        <f>VLOOKUP(A61,'Données projet'!$A$243:$I$263,2,0)</f>
        <v>428</v>
      </c>
      <c r="FX61" s="13">
        <f>VLOOKUP(A61,'Données projet'!$A$243:$I$263,9,0)</f>
        <v>17.625</v>
      </c>
      <c r="FY61" s="13">
        <f t="array" ref="FY61">INDEX(FX:FX,MIN(IF(ISNUMBER(FX61:FX257),ROW(FX61:FX257),"")))</f>
        <v>17.625</v>
      </c>
      <c r="FZ61" s="13">
        <f>IF('Données projet'!$A$244&gt;35,FZ60+FY61-GH60,IF(A61&lt;'Données projet'!$A$244,$FW$205^A61,IF(A61='Données projet'!$A$244,'Données projet'!$B$244,FZ60+FY61-GH60)))</f>
        <v>428.00000000000006</v>
      </c>
      <c r="GA61" s="18">
        <f>FZ61*VLOOKUP('Données projet'!$B$17,Paramètres!$A$1:$I$89,3,0)*VLOOKUP('Données projet'!$B$17,Paramètres!$A$1:$I$89,5,0)</f>
        <v>255.94400000000005</v>
      </c>
      <c r="GB61" s="14">
        <f t="shared" si="49"/>
        <v>61.857013102708898</v>
      </c>
      <c r="GC61" s="22">
        <f t="shared" si="25"/>
        <v>553.50343115388478</v>
      </c>
      <c r="GD61" s="62">
        <f t="shared" si="26"/>
        <v>796.34202593055784</v>
      </c>
      <c r="GE61" s="62">
        <f ca="1">AVERAGE(OFFSET($GD$3,0,0,'Données projet'!$E$17+1,1))-AVERAGE(OFFSET($H$3,0,0,'Données projet'!$E$17+1,1))</f>
        <v>409.68685886029164</v>
      </c>
      <c r="GF61" s="62">
        <f t="shared" si="50"/>
        <v>330.8416508650887</v>
      </c>
      <c r="GG61" s="16">
        <f>IF(ISNA(VLOOKUP(A61,'Données projet'!$A$243:$I$263,3,0)),0,VLOOKUP(A61,'Données projet'!$A$243:$I$263,3,0))</f>
        <v>8</v>
      </c>
      <c r="GH61" s="16">
        <f>IF(ISNA(VLOOKUP(A61,'Données projet'!$A$243:$I$263,4,0)),0,VLOOKUP(A61,'Données projet'!$A$243:$I$263,4,0))</f>
        <v>78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1.5705792300414413E-3</v>
      </c>
      <c r="GO61" s="23">
        <f t="shared" si="27"/>
        <v>1.5705792300414413E-3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73.098184695482075</v>
      </c>
      <c r="T62" s="62">
        <f t="shared" si="34"/>
        <v>334.38551711782793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30.834079226062169</v>
      </c>
      <c r="AA62" s="23">
        <f>EXP(-LN(2)/25)*AA61+(1-EXP(-LN(2)/25))/(LN(2)/25)*Calculateur!V62*Calculateur!X62*VLOOKUP('Données projet'!$B$9,Paramètres!$A$1:$I$89,3,0)*0.475*44/12</f>
        <v>6.1499675731311623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36.984046799193329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70.520400819593021</v>
      </c>
      <c r="AO62" s="62">
        <f t="shared" si="36"/>
        <v>321.48616153644309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29.415333249402877</v>
      </c>
      <c r="AV62" s="23">
        <f>EXP(-LN(2)/25)*AV61+(1-EXP(-LN(2)/25))/(LN(2)/25)*Calculateur!AQ62*Calculateur!AS62*VLOOKUP('Données projet'!$B$10,Paramètres!$A$1:$I$89,3,0)*0.475*44/12</f>
        <v>5.8669936050423033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35.282326854445181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16.666666666666668</v>
      </c>
      <c r="BD62" s="13">
        <f>IF('Données projet'!$A$88&gt;35,BD61+BC62-BL61,IF(A62&lt;'Données projet'!$A$88,$BA$205^A62,IF(A62='Données projet'!$A$88,'Données projet'!$B$88,BD61+BC62-BL61)))</f>
        <v>349.33333333333326</v>
      </c>
      <c r="BE62" s="14">
        <f>BD62*VLOOKUP('Données projet'!$B$11,Paramètres!$A$1:$I$89,3,0)*VLOOKUP('Données projet'!$B$11,Paramètres!$A$1:$I$89,5,0)</f>
        <v>163.48799999999994</v>
      </c>
      <c r="BF62" s="14">
        <f t="shared" si="37"/>
        <v>41.628253379180116</v>
      </c>
      <c r="BG62" s="22">
        <f t="shared" si="7"/>
        <v>357.24414130207191</v>
      </c>
      <c r="BH62" s="62">
        <f t="shared" si="8"/>
        <v>600.95870690337961</v>
      </c>
      <c r="BI62" s="62">
        <f ca="1">AVERAGE(OFFSET($BH$3,0,0,'Données projet'!$E$11+1,1))-AVERAGE(OFFSET($H$3,0,0,'Données projet'!$E$11+1,1))</f>
        <v>374.62597460242665</v>
      </c>
      <c r="BJ62" s="62">
        <f t="shared" si="38"/>
        <v>277.50105097454616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8.3076923076923084</v>
      </c>
      <c r="BY62" s="13">
        <f>IF('Données projet'!$A$114&gt;35,BY61+BX62-CG61,IF(A62&lt;'Données projet'!$A$114,$BV$205^A62,IF(A62='Données projet'!$A$114,'Données projet'!$B$114,BY61+BX62-CG61)))</f>
        <v>270.5384615384616</v>
      </c>
      <c r="BZ62" s="14">
        <f>BY62*VLOOKUP('Données projet'!$B$12,Paramètres!$A$1:$I$89,3,0)*VLOOKUP('Données projet'!$B$12,Paramètres!$A$1:$I$89,5,0)</f>
        <v>126.61200000000002</v>
      </c>
      <c r="CA62" s="14">
        <f t="shared" si="39"/>
        <v>33.212292890128921</v>
      </c>
      <c r="CB62" s="22">
        <f t="shared" si="10"/>
        <v>278.36064345030792</v>
      </c>
      <c r="CC62" s="62">
        <f t="shared" si="11"/>
        <v>522.07520905161562</v>
      </c>
      <c r="CD62" s="62">
        <f ca="1">AVERAGE(OFFSET($CC$3,0,0,'Données projet'!$E$12+1,1))-AVERAGE(OFFSET($H$3,0,0,'Données projet'!$E$12+1,1))</f>
        <v>329.79342219561465</v>
      </c>
      <c r="CE62" s="62">
        <f t="shared" si="40"/>
        <v>144.63206563329757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10.3</v>
      </c>
      <c r="CT62" s="13">
        <f>IF('Données projet'!$A$140&gt;35,CT61+CS62-DB61,IF(A62&lt;'Données projet'!$A$140,$CQ$205^A62,IF(A62='Données projet'!$A$140,'Données projet'!$B$140,CT61+CS62-DB61)))</f>
        <v>474.69999999999993</v>
      </c>
      <c r="CU62" s="18">
        <f>CT62*VLOOKUP('Données projet'!$B$13,Paramètres!$A$1:$I$89,3,0)*VLOOKUP('Données projet'!$B$13,Paramètres!$A$1:$I$89,5,0)</f>
        <v>283.87059999999997</v>
      </c>
      <c r="CV62" s="14">
        <f t="shared" si="41"/>
        <v>67.784323206297671</v>
      </c>
      <c r="CW62" s="22">
        <f t="shared" si="13"/>
        <v>612.46565791763499</v>
      </c>
      <c r="CX62" s="62">
        <f t="shared" si="14"/>
        <v>856.18022351894263</v>
      </c>
      <c r="CY62" s="62">
        <f ca="1">AVERAGE(OFFSET($CX$3,0,0,'Données projet'!$E$13+1,1))-AVERAGE(OFFSET($H$3,0,0,'Données projet'!$E$13+1,1))</f>
        <v>530.27599556821826</v>
      </c>
      <c r="CZ62" s="62">
        <f t="shared" si="42"/>
        <v>370.62231794492129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6.4926412772436557E-4</v>
      </c>
      <c r="DI62" s="24">
        <f t="shared" si="15"/>
        <v>6.4926412772436557E-4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235.27608000000006</v>
      </c>
      <c r="DQ62" s="14">
        <f t="shared" si="43"/>
        <v>57.421983155715438</v>
      </c>
      <c r="DR62" s="22">
        <f t="shared" si="16"/>
        <v>509.78245999620441</v>
      </c>
      <c r="DS62" s="62">
        <f t="shared" si="17"/>
        <v>753.49702559751211</v>
      </c>
      <c r="DT62" s="62">
        <f ca="1">AVERAGE(OFFSET($DS$3,0,0,'Données projet'!$E$14+1,1))-AVERAGE(OFFSET($H$3,0,0,'Données projet'!$E$14+1,1))</f>
        <v>520.23742527061836</v>
      </c>
      <c r="DU62" s="62">
        <f t="shared" si="44"/>
        <v>321.35925479331274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6</v>
      </c>
      <c r="EJ62" s="13">
        <f>IF('Données projet'!$A$192&gt;35,EJ61+EI62-ER61,IF(A62&lt;'Données projet'!$A$192,$EG$205^A62,IF(A62='Données projet'!$A$192,'Données projet'!$B$192,EJ61+EI62-ER61)))</f>
        <v>214.00000000000003</v>
      </c>
      <c r="EK62" s="18">
        <f>EJ62*VLOOKUP('Données projet'!$B$15,Paramètres!$A$1:$I$89,3,0)*VLOOKUP('Données projet'!$B$15,Paramètres!$A$1:$I$89,5,0)</f>
        <v>223.67280000000005</v>
      </c>
      <c r="EL62" s="14">
        <f t="shared" si="45"/>
        <v>54.91237981823884</v>
      </c>
      <c r="EM62" s="22">
        <f t="shared" si="19"/>
        <v>485.20252151676613</v>
      </c>
      <c r="EN62" s="62">
        <f t="shared" si="20"/>
        <v>728.91708711807382</v>
      </c>
      <c r="EO62" s="62">
        <f ca="1">AVERAGE(OFFSET($EN$3,0,0,'Données projet'!$E$15+1,1))-AVERAGE(OFFSET($H$3,0,0,'Données projet'!$E$15+1,1))</f>
        <v>435.44444011810265</v>
      </c>
      <c r="EP62" s="62">
        <f t="shared" si="46"/>
        <v>447.15868732689762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9.4</v>
      </c>
      <c r="FE62" s="13">
        <f>IF('Données projet'!$A$218&gt;35,FE61+FD62-FM61,IF(A62&lt;'Données projet'!$A$218,$FB$205^A62,IF(A62='Données projet'!$A$218,'Données projet'!$B$218,FE61+FD62-FM61)))</f>
        <v>263.59999999999997</v>
      </c>
      <c r="FF62" s="18">
        <f>FE62*VLOOKUP('Données projet'!$B$16,Paramètres!$A$1:$I$89,3,0)*VLOOKUP('Données projet'!$B$16,Paramètres!$A$1:$I$89,5,0)</f>
        <v>267.29039999999998</v>
      </c>
      <c r="FG62" s="14">
        <f t="shared" si="47"/>
        <v>64.273886654661325</v>
      </c>
      <c r="FH62" s="22">
        <f t="shared" si="22"/>
        <v>577.47446592353515</v>
      </c>
      <c r="FI62" s="62">
        <f t="shared" si="23"/>
        <v>821.18903152484279</v>
      </c>
      <c r="FJ62" s="62">
        <f ca="1">AVERAGE(OFFSET($FI$3,0,0,'Données projet'!$E$16+1,1))-AVERAGE(OFFSET($H$3,0,0,'Données projet'!$E$16+1,1))</f>
        <v>547.89540791313675</v>
      </c>
      <c r="FK62" s="62">
        <f t="shared" si="48"/>
        <v>345.19555189302378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16.625</v>
      </c>
      <c r="FZ62" s="13">
        <f>IF('Données projet'!$A$244&gt;35,FZ61+FY62-GH61,IF(A62&lt;'Données projet'!$A$244,$FW$205^A62,IF(A62='Données projet'!$A$244,'Données projet'!$B$244,FZ61+FY62-GH61)))</f>
        <v>366.62500000000006</v>
      </c>
      <c r="GA62" s="18">
        <f>FZ62*VLOOKUP('Données projet'!$B$17,Paramètres!$A$1:$I$89,3,0)*VLOOKUP('Données projet'!$B$17,Paramètres!$A$1:$I$89,5,0)</f>
        <v>219.24175000000005</v>
      </c>
      <c r="GB62" s="14">
        <f t="shared" si="49"/>
        <v>53.950050729111297</v>
      </c>
      <c r="GC62" s="22">
        <f t="shared" si="25"/>
        <v>475.80905293653558</v>
      </c>
      <c r="GD62" s="62">
        <f t="shared" si="26"/>
        <v>719.52361853784328</v>
      </c>
      <c r="GE62" s="62">
        <f ca="1">AVERAGE(OFFSET($GD$3,0,0,'Données projet'!$E$17+1,1))-AVERAGE(OFFSET($H$3,0,0,'Données projet'!$E$17+1,1))</f>
        <v>409.68685886029164</v>
      </c>
      <c r="GF62" s="62">
        <f t="shared" si="50"/>
        <v>330.8416508650887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1.1105672239530497E-3</v>
      </c>
      <c r="GO62" s="23">
        <f t="shared" si="27"/>
        <v>1.1105672239530497E-3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73.098184695482075</v>
      </c>
      <c r="T63" s="62">
        <f t="shared" si="34"/>
        <v>334.38551711782793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30.229441739370387</v>
      </c>
      <c r="AA63" s="23">
        <f>EXP(-LN(2)/25)*AA62+(1-EXP(-LN(2)/25))/(LN(2)/25)*Calculateur!V63*Calculateur!X63*VLOOKUP('Données projet'!$B$9,Paramètres!$A$1:$I$89,3,0)*0.475*44/12</f>
        <v>5.9817963864311521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36.211238125801536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70.520400819593021</v>
      </c>
      <c r="AO63" s="62">
        <f t="shared" si="36"/>
        <v>321.48616153644309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28.838516505963785</v>
      </c>
      <c r="AV63" s="23">
        <f>EXP(-LN(2)/25)*AV62+(1-EXP(-LN(2)/25))/(LN(2)/25)*Calculateur!AQ63*Calculateur!AS63*VLOOKUP('Données projet'!$B$10,Paramètres!$A$1:$I$89,3,0)*0.475*44/12</f>
        <v>5.7065603563806366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34.545076862344423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16.666666666666668</v>
      </c>
      <c r="BD63" s="13">
        <f>IF('Données projet'!$A$88&gt;35,BD62+BC63-BL62,IF(A63&lt;'Données projet'!$A$88,$BA$205^A63,IF(A63='Données projet'!$A$88,'Données projet'!$B$88,BD62+BC63-BL62)))</f>
        <v>365.99999999999994</v>
      </c>
      <c r="BE63" s="14">
        <f>BD63*VLOOKUP('Données projet'!$B$11,Paramètres!$A$1:$I$89,3,0)*VLOOKUP('Données projet'!$B$11,Paramètres!$A$1:$I$89,5,0)</f>
        <v>171.28799999999995</v>
      </c>
      <c r="BF63" s="14">
        <f t="shared" si="37"/>
        <v>43.378365895721338</v>
      </c>
      <c r="BG63" s="22">
        <f t="shared" si="7"/>
        <v>373.87725393504792</v>
      </c>
      <c r="BH63" s="62">
        <f t="shared" si="8"/>
        <v>618.45259422556023</v>
      </c>
      <c r="BI63" s="62">
        <f ca="1">AVERAGE(OFFSET($BH$3,0,0,'Données projet'!$E$11+1,1))-AVERAGE(OFFSET($H$3,0,0,'Données projet'!$E$11+1,1))</f>
        <v>374.62597460242665</v>
      </c>
      <c r="BJ63" s="62">
        <f t="shared" si="38"/>
        <v>277.50105097454616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8.3076923076923084</v>
      </c>
      <c r="BY63" s="13">
        <f>IF('Données projet'!$A$114&gt;35,BY62+BX63-CG62,IF(A63&lt;'Données projet'!$A$114,$BV$205^A63,IF(A63='Données projet'!$A$114,'Données projet'!$B$114,BY62+BX63-CG62)))</f>
        <v>278.84615384615392</v>
      </c>
      <c r="BZ63" s="14">
        <f>BY63*VLOOKUP('Données projet'!$B$12,Paramètres!$A$1:$I$89,3,0)*VLOOKUP('Données projet'!$B$12,Paramètres!$A$1:$I$89,5,0)</f>
        <v>130.50000000000006</v>
      </c>
      <c r="CA63" s="14">
        <f t="shared" si="39"/>
        <v>34.111868826792417</v>
      </c>
      <c r="CB63" s="22">
        <f t="shared" si="10"/>
        <v>286.69900487333024</v>
      </c>
      <c r="CC63" s="62">
        <f t="shared" si="11"/>
        <v>531.27434516384255</v>
      </c>
      <c r="CD63" s="62">
        <f ca="1">AVERAGE(OFFSET($CC$3,0,0,'Données projet'!$E$12+1,1))-AVERAGE(OFFSET($H$3,0,0,'Données projet'!$E$12+1,1))</f>
        <v>329.79342219561465</v>
      </c>
      <c r="CE63" s="62">
        <f t="shared" si="40"/>
        <v>144.63206563329757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485</v>
      </c>
      <c r="CR63" s="13">
        <f>VLOOKUP(A63,'Données projet'!$A$139:$I$159,9,0)</f>
        <v>10.3</v>
      </c>
      <c r="CS63" s="13">
        <f t="array" ref="CS63">INDEX(CR:CR,MIN(IF(ISNUMBER(CR63:CR259),ROW(CR63:CR259),"")))</f>
        <v>10.3</v>
      </c>
      <c r="CT63" s="13">
        <f>IF('Données projet'!$A$140&gt;35,CT62+CS63-DB62,IF(A63&lt;'Données projet'!$A$140,$CQ$205^A63,IF(A63='Données projet'!$A$140,'Données projet'!$B$140,CT62+CS63-DB62)))</f>
        <v>484.99999999999994</v>
      </c>
      <c r="CU63" s="18">
        <f>CT63*VLOOKUP('Données projet'!$B$13,Paramètres!$A$1:$I$89,3,0)*VLOOKUP('Données projet'!$B$13,Paramètres!$A$1:$I$89,5,0)</f>
        <v>290.03000000000003</v>
      </c>
      <c r="CV63" s="14">
        <f t="shared" si="41"/>
        <v>69.082275010142553</v>
      </c>
      <c r="CW63" s="22">
        <f t="shared" si="13"/>
        <v>625.45387897599824</v>
      </c>
      <c r="CX63" s="62">
        <f t="shared" si="14"/>
        <v>870.02921926651061</v>
      </c>
      <c r="CY63" s="62">
        <f ca="1">AVERAGE(OFFSET($CX$3,0,0,'Données projet'!$E$13+1,1))-AVERAGE(OFFSET($H$3,0,0,'Données projet'!$E$13+1,1))</f>
        <v>530.27599556821826</v>
      </c>
      <c r="CZ63" s="62">
        <f t="shared" si="42"/>
        <v>370.62231794492129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4.5909906749506762E-4</v>
      </c>
      <c r="DI63" s="24">
        <f t="shared" si="15"/>
        <v>4.5909906749506762E-4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243.70320000000009</v>
      </c>
      <c r="DQ63" s="14">
        <f t="shared" si="43"/>
        <v>59.235580564655933</v>
      </c>
      <c r="DR63" s="22">
        <f t="shared" si="16"/>
        <v>527.61837615010927</v>
      </c>
      <c r="DS63" s="62">
        <f t="shared" si="17"/>
        <v>772.19371644062164</v>
      </c>
      <c r="DT63" s="62">
        <f ca="1">AVERAGE(OFFSET($DS$3,0,0,'Données projet'!$E$14+1,1))-AVERAGE(OFFSET($H$3,0,0,'Données projet'!$E$14+1,1))</f>
        <v>520.23742527061836</v>
      </c>
      <c r="DU63" s="62">
        <f t="shared" si="44"/>
        <v>321.35925479331274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220</v>
      </c>
      <c r="EH63" s="13">
        <f>VLOOKUP(A63,'Données projet'!$A$191:$I$211,9,0)</f>
        <v>6</v>
      </c>
      <c r="EI63" s="13">
        <f t="array" ref="EI63">INDEX(EH:EH,MIN(IF(ISNUMBER(EH63:EH259),ROW(EH63:EH259),"")))</f>
        <v>6</v>
      </c>
      <c r="EJ63" s="13">
        <f>IF('Données projet'!$A$192&gt;35,EJ62+EI63-ER62,IF(A63&lt;'Données projet'!$A$192,$EG$205^A63,IF(A63='Données projet'!$A$192,'Données projet'!$B$192,EJ62+EI63-ER62)))</f>
        <v>220.00000000000003</v>
      </c>
      <c r="EK63" s="18">
        <f>EJ63*VLOOKUP('Données projet'!$B$15,Paramètres!$A$1:$I$89,3,0)*VLOOKUP('Données projet'!$B$15,Paramètres!$A$1:$I$89,5,0)</f>
        <v>229.94400000000007</v>
      </c>
      <c r="EL63" s="14">
        <f t="shared" si="45"/>
        <v>56.270572850262418</v>
      </c>
      <c r="EM63" s="22">
        <f t="shared" si="19"/>
        <v>498.49038104754044</v>
      </c>
      <c r="EN63" s="62">
        <f t="shared" si="20"/>
        <v>743.06572133805275</v>
      </c>
      <c r="EO63" s="62">
        <f ca="1">AVERAGE(OFFSET($EN$3,0,0,'Données projet'!$E$15+1,1))-AVERAGE(OFFSET($H$3,0,0,'Données projet'!$E$15+1,1))</f>
        <v>435.44444011810265</v>
      </c>
      <c r="EP63" s="62">
        <f t="shared" si="46"/>
        <v>447.15868732689762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22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273</v>
      </c>
      <c r="FC63" s="13">
        <f>VLOOKUP(A63,'Données projet'!$A$217:$I$237,9,0)</f>
        <v>9.4</v>
      </c>
      <c r="FD63" s="13">
        <f t="array" ref="FD63">INDEX(FC:FC,MIN(IF(ISNUMBER(FC63:FC259),ROW(FC63:FC259),"")))</f>
        <v>9.4</v>
      </c>
      <c r="FE63" s="13">
        <f>IF('Données projet'!$A$218&gt;35,FE62+FD63-FM62,IF(A63&lt;'Données projet'!$A$218,$FB$205^A63,IF(A63='Données projet'!$A$218,'Données projet'!$B$218,FE62+FD63-FM62)))</f>
        <v>272.99999999999994</v>
      </c>
      <c r="FF63" s="18">
        <f>FE63*VLOOKUP('Données projet'!$B$16,Paramètres!$A$1:$I$89,3,0)*VLOOKUP('Données projet'!$B$16,Paramètres!$A$1:$I$89,5,0)</f>
        <v>276.82199999999995</v>
      </c>
      <c r="FG63" s="14">
        <f t="shared" si="47"/>
        <v>66.29496059864374</v>
      </c>
      <c r="FH63" s="22">
        <f t="shared" si="22"/>
        <v>597.59537304263779</v>
      </c>
      <c r="FI63" s="62">
        <f t="shared" si="23"/>
        <v>842.17071333315016</v>
      </c>
      <c r="FJ63" s="62">
        <f ca="1">AVERAGE(OFFSET($FI$3,0,0,'Données projet'!$E$16+1,1))-AVERAGE(OFFSET($H$3,0,0,'Données projet'!$E$16+1,1))</f>
        <v>547.89540791313675</v>
      </c>
      <c r="FK63" s="62">
        <f t="shared" si="48"/>
        <v>345.19555189302378</v>
      </c>
      <c r="FL63" s="16">
        <f>IF(ISNA(VLOOKUP(A63,'Données projet'!$A$217:$I$237,3,0)),0,VLOOKUP(A63,'Données projet'!$A$217:$I$237,3,0))</f>
        <v>9</v>
      </c>
      <c r="FM63" s="16">
        <f>IF(ISNA(VLOOKUP(A63,'Données projet'!$A$217:$I$237,4,0)),0,VLOOKUP(A63,'Données projet'!$A$217:$I$237,4,0))</f>
        <v>28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16.625</v>
      </c>
      <c r="FZ63" s="13">
        <f>IF('Données projet'!$A$244&gt;35,FZ62+FY63-GH62,IF(A63&lt;'Données projet'!$A$244,$FW$205^A63,IF(A63='Données projet'!$A$244,'Données projet'!$B$244,FZ62+FY63-GH62)))</f>
        <v>383.25000000000006</v>
      </c>
      <c r="GA63" s="18">
        <f>FZ63*VLOOKUP('Données projet'!$B$17,Paramètres!$A$1:$I$89,3,0)*VLOOKUP('Données projet'!$B$17,Paramètres!$A$1:$I$89,5,0)</f>
        <v>229.18350000000007</v>
      </c>
      <c r="GB63" s="14">
        <f t="shared" si="49"/>
        <v>56.106098616839645</v>
      </c>
      <c r="GC63" s="22">
        <f t="shared" si="25"/>
        <v>496.87938425766248</v>
      </c>
      <c r="GD63" s="62">
        <f t="shared" si="26"/>
        <v>741.45472454817491</v>
      </c>
      <c r="GE63" s="62">
        <f ca="1">AVERAGE(OFFSET($GD$3,0,0,'Données projet'!$E$17+1,1))-AVERAGE(OFFSET($H$3,0,0,'Données projet'!$E$17+1,1))</f>
        <v>409.68685886029164</v>
      </c>
      <c r="GF63" s="62">
        <f t="shared" si="50"/>
        <v>330.8416508650887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7.8528961502072065E-4</v>
      </c>
      <c r="GO63" s="23">
        <f t="shared" si="27"/>
        <v>7.8528961502072065E-4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73.098184695482075</v>
      </c>
      <c r="T64" s="62">
        <f t="shared" si="34"/>
        <v>334.38551711782793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29.636660825000181</v>
      </c>
      <c r="AA64" s="23">
        <f>EXP(-LN(2)/25)*AA63+(1-EXP(-LN(2)/25))/(LN(2)/25)*Calculateur!V64*Calculateur!X64*VLOOKUP('Données projet'!$B$9,Paramètres!$A$1:$I$89,3,0)*0.475*44/12</f>
        <v>5.8182238496751921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35.45488467467537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70.520400819593021</v>
      </c>
      <c r="AO64" s="62">
        <f t="shared" si="36"/>
        <v>321.48616153644309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28.273010787040061</v>
      </c>
      <c r="AV64" s="23">
        <f>EXP(-LN(2)/25)*AV63+(1-EXP(-LN(2)/25))/(LN(2)/25)*Calculateur!AQ64*Calculateur!AS64*VLOOKUP('Données projet'!$B$10,Paramètres!$A$1:$I$89,3,0)*0.475*44/12</f>
        <v>5.5505141633404413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33.823524950380502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16.666666666666668</v>
      </c>
      <c r="BD64" s="13">
        <f>IF('Données projet'!$A$88&gt;35,BD63+BC64-BL63,IF(A64&lt;'Données projet'!$A$88,$BA$205^A64,IF(A64='Données projet'!$A$88,'Données projet'!$B$88,BD63+BC64-BL63)))</f>
        <v>382.66666666666663</v>
      </c>
      <c r="BE64" s="14">
        <f>BD64*VLOOKUP('Données projet'!$B$11,Paramètres!$A$1:$I$89,3,0)*VLOOKUP('Données projet'!$B$11,Paramètres!$A$1:$I$89,5,0)</f>
        <v>179.08799999999999</v>
      </c>
      <c r="BF64" s="14">
        <f t="shared" si="37"/>
        <v>45.119223023956835</v>
      </c>
      <c r="BG64" s="22">
        <f t="shared" si="7"/>
        <v>390.49424676672476</v>
      </c>
      <c r="BH64" s="62">
        <f t="shared" si="8"/>
        <v>635.91542922998792</v>
      </c>
      <c r="BI64" s="62">
        <f ca="1">AVERAGE(OFFSET($BH$3,0,0,'Données projet'!$E$11+1,1))-AVERAGE(OFFSET($H$3,0,0,'Données projet'!$E$11+1,1))</f>
        <v>374.62597460242665</v>
      </c>
      <c r="BJ64" s="62">
        <f t="shared" si="38"/>
        <v>277.50105097454616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8.3076923076923084</v>
      </c>
      <c r="BY64" s="13">
        <f>IF('Données projet'!$A$114&gt;35,BY63+BX64-CG63,IF(A64&lt;'Données projet'!$A$114,$BV$205^A64,IF(A64='Données projet'!$A$114,'Données projet'!$B$114,BY63+BX64-CG63)))</f>
        <v>287.15384615384625</v>
      </c>
      <c r="BZ64" s="14">
        <f>BY64*VLOOKUP('Données projet'!$B$12,Paramètres!$A$1:$I$89,3,0)*VLOOKUP('Données projet'!$B$12,Paramètres!$A$1:$I$89,5,0)</f>
        <v>134.38800000000003</v>
      </c>
      <c r="CA64" s="14">
        <f t="shared" si="39"/>
        <v>35.008330024793679</v>
      </c>
      <c r="CB64" s="22">
        <f t="shared" si="10"/>
        <v>295.03194145984901</v>
      </c>
      <c r="CC64" s="62">
        <f t="shared" si="11"/>
        <v>540.45312392311223</v>
      </c>
      <c r="CD64" s="62">
        <f ca="1">AVERAGE(OFFSET($CC$3,0,0,'Données projet'!$E$12+1,1))-AVERAGE(OFFSET($H$3,0,0,'Données projet'!$E$12+1,1))</f>
        <v>329.79342219561465</v>
      </c>
      <c r="CE64" s="62">
        <f t="shared" si="40"/>
        <v>144.63206563329757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</v>
      </c>
      <c r="CT64" s="13">
        <f>IF('Données projet'!$A$140&gt;35,CT63+CS64-DB63,IF(A64&lt;'Données projet'!$A$140,$CQ$205^A64,IF(A64='Données projet'!$A$140,'Données projet'!$B$140,CT63+CS64-DB63)))</f>
        <v>451.59999999999997</v>
      </c>
      <c r="CU64" s="18">
        <f>CT64*VLOOKUP('Données projet'!$B$13,Paramètres!$A$1:$I$89,3,0)*VLOOKUP('Données projet'!$B$13,Paramètres!$A$1:$I$89,5,0)</f>
        <v>270.05680000000001</v>
      </c>
      <c r="CV64" s="14">
        <f t="shared" si="41"/>
        <v>64.861323533797474</v>
      </c>
      <c r="CW64" s="22">
        <f t="shared" si="13"/>
        <v>583.3157318213639</v>
      </c>
      <c r="CX64" s="62">
        <f t="shared" si="14"/>
        <v>828.73691428462712</v>
      </c>
      <c r="CY64" s="62">
        <f ca="1">AVERAGE(OFFSET($CX$3,0,0,'Données projet'!$E$13+1,1))-AVERAGE(OFFSET($H$3,0,0,'Données projet'!$E$13+1,1))</f>
        <v>530.27599556821826</v>
      </c>
      <c r="CZ64" s="62">
        <f t="shared" si="42"/>
        <v>370.62231794492129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3.2463206386218279E-4</v>
      </c>
      <c r="DI64" s="24">
        <f t="shared" si="15"/>
        <v>3.2463206386218279E-4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227.98776000000007</v>
      </c>
      <c r="DQ64" s="14">
        <f t="shared" si="43"/>
        <v>55.847365929662985</v>
      </c>
      <c r="DR64" s="22">
        <f t="shared" si="16"/>
        <v>494.34617766082982</v>
      </c>
      <c r="DS64" s="62">
        <f t="shared" si="17"/>
        <v>739.7673601240931</v>
      </c>
      <c r="DT64" s="62">
        <f ca="1">AVERAGE(OFFSET($DS$3,0,0,'Données projet'!$E$14+1,1))-AVERAGE(OFFSET($H$3,0,0,'Données projet'!$E$14+1,1))</f>
        <v>520.23742527061836</v>
      </c>
      <c r="DU64" s="62">
        <f t="shared" si="44"/>
        <v>321.35925479331274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5.2</v>
      </c>
      <c r="EJ64" s="13">
        <f>IF('Données projet'!$A$192&gt;35,EJ63+EI64-ER63,IF(A64&lt;'Données projet'!$A$192,$EG$205^A64,IF(A64='Données projet'!$A$192,'Données projet'!$B$192,EJ63+EI64-ER63)))</f>
        <v>203.20000000000002</v>
      </c>
      <c r="EK64" s="18">
        <f>EJ64*VLOOKUP('Données projet'!$B$15,Paramètres!$A$1:$I$89,3,0)*VLOOKUP('Données projet'!$B$15,Paramètres!$A$1:$I$89,5,0)</f>
        <v>212.38464000000002</v>
      </c>
      <c r="EL64" s="14">
        <f t="shared" si="45"/>
        <v>52.456346591387693</v>
      </c>
      <c r="EM64" s="22">
        <f t="shared" si="19"/>
        <v>461.26471831333356</v>
      </c>
      <c r="EN64" s="62">
        <f t="shared" si="20"/>
        <v>706.68590077659678</v>
      </c>
      <c r="EO64" s="62">
        <f ca="1">AVERAGE(OFFSET($EN$3,0,0,'Données projet'!$E$15+1,1))-AVERAGE(OFFSET($H$3,0,0,'Données projet'!$E$15+1,1))</f>
        <v>435.44444011810265</v>
      </c>
      <c r="EP64" s="62">
        <f t="shared" si="46"/>
        <v>447.15868732689762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8.8000000000000007</v>
      </c>
      <c r="FE64" s="13">
        <f>IF('Données projet'!$A$218&gt;35,FE63+FD64-FM63,IF(A64&lt;'Données projet'!$A$218,$FB$205^A64,IF(A64='Données projet'!$A$218,'Données projet'!$B$218,FE63+FD64-FM63)))</f>
        <v>253.79999999999995</v>
      </c>
      <c r="FF64" s="18">
        <f>FE64*VLOOKUP('Données projet'!$B$16,Paramètres!$A$1:$I$89,3,0)*VLOOKUP('Données projet'!$B$16,Paramètres!$A$1:$I$89,5,0)</f>
        <v>257.35319999999996</v>
      </c>
      <c r="FG64" s="14">
        <f t="shared" si="47"/>
        <v>62.157851613080908</v>
      </c>
      <c r="FH64" s="22">
        <f t="shared" si="22"/>
        <v>556.48174822611588</v>
      </c>
      <c r="FI64" s="62">
        <f t="shared" si="23"/>
        <v>801.9029306893791</v>
      </c>
      <c r="FJ64" s="62">
        <f ca="1">AVERAGE(OFFSET($FI$3,0,0,'Données projet'!$E$16+1,1))-AVERAGE(OFFSET($H$3,0,0,'Données projet'!$E$16+1,1))</f>
        <v>547.89540791313675</v>
      </c>
      <c r="FK64" s="62">
        <f t="shared" si="48"/>
        <v>345.19555189302378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16.625</v>
      </c>
      <c r="FZ64" s="13">
        <f>IF('Données projet'!$A$244&gt;35,FZ63+FY64-GH63,IF(A64&lt;'Données projet'!$A$244,$FW$205^A64,IF(A64='Données projet'!$A$244,'Données projet'!$B$244,FZ63+FY64-GH63)))</f>
        <v>399.87500000000006</v>
      </c>
      <c r="GA64" s="18">
        <f>FZ64*VLOOKUP('Données projet'!$B$17,Paramètres!$A$1:$I$89,3,0)*VLOOKUP('Données projet'!$B$17,Paramètres!$A$1:$I$89,5,0)</f>
        <v>239.12525000000005</v>
      </c>
      <c r="GB64" s="14">
        <f t="shared" si="49"/>
        <v>58.251283780505084</v>
      </c>
      <c r="GC64" s="22">
        <f t="shared" si="25"/>
        <v>517.93079633437981</v>
      </c>
      <c r="GD64" s="62">
        <f t="shared" si="26"/>
        <v>763.35197879764303</v>
      </c>
      <c r="GE64" s="62">
        <f ca="1">AVERAGE(OFFSET($GD$3,0,0,'Données projet'!$E$17+1,1))-AVERAGE(OFFSET($H$3,0,0,'Données projet'!$E$17+1,1))</f>
        <v>409.68685886029164</v>
      </c>
      <c r="GF64" s="62">
        <f t="shared" si="50"/>
        <v>330.8416508650887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5.5528361197652485E-4</v>
      </c>
      <c r="GO64" s="23">
        <f t="shared" si="27"/>
        <v>5.5528361197652485E-4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73.098184695482075</v>
      </c>
      <c r="T65" s="62">
        <f t="shared" si="34"/>
        <v>334.38551711782793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29.055503982800118</v>
      </c>
      <c r="AA65" s="23">
        <f>EXP(-LN(2)/25)*AA64+(1-EXP(-LN(2)/25))/(LN(2)/25)*Calculateur!V65*Calculateur!X65*VLOOKUP('Données projet'!$B$9,Paramètres!$A$1:$I$89,3,0)*0.475*44/12</f>
        <v>5.6591242125387291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34.714628195338847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70.520400819593021</v>
      </c>
      <c r="AO65" s="62">
        <f t="shared" si="36"/>
        <v>321.48616153644309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27.71859429034</v>
      </c>
      <c r="AV65" s="23">
        <f>EXP(-LN(2)/25)*AV64+(1-EXP(-LN(2)/25))/(LN(2)/25)*Calculateur!AQ65*Calculateur!AS65*VLOOKUP('Données projet'!$B$10,Paramètres!$A$1:$I$89,3,0)*0.475*44/12</f>
        <v>5.3987350616550431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33.117329351995046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16.666666666666668</v>
      </c>
      <c r="BD65" s="13">
        <f>IF('Données projet'!$A$88&gt;35,BD64+BC65-BL64,IF(A65&lt;'Données projet'!$A$88,$BA$205^A65,IF(A65='Données projet'!$A$88,'Données projet'!$B$88,BD64+BC65-BL64)))</f>
        <v>399.33333333333331</v>
      </c>
      <c r="BE65" s="14">
        <f>BD65*VLOOKUP('Données projet'!$B$11,Paramètres!$A$1:$I$89,3,0)*VLOOKUP('Données projet'!$B$11,Paramètres!$A$1:$I$89,5,0)</f>
        <v>186.88800000000001</v>
      </c>
      <c r="BF65" s="14">
        <f t="shared" si="37"/>
        <v>46.851273946133198</v>
      </c>
      <c r="BG65" s="22">
        <f t="shared" si="7"/>
        <v>407.09590212284866</v>
      </c>
      <c r="BH65" s="62">
        <f t="shared" si="8"/>
        <v>653.34825328818533</v>
      </c>
      <c r="BI65" s="62">
        <f ca="1">AVERAGE(OFFSET($BH$3,0,0,'Données projet'!$E$11+1,1))-AVERAGE(OFFSET($H$3,0,0,'Données projet'!$E$11+1,1))</f>
        <v>374.62597460242665</v>
      </c>
      <c r="BJ65" s="62">
        <f t="shared" si="38"/>
        <v>277.50105097454616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8.3076923076923084</v>
      </c>
      <c r="BY65" s="13">
        <f>IF('Données projet'!$A$114&gt;35,BY64+BX65-CG64,IF(A65&lt;'Données projet'!$A$114,$BV$205^A65,IF(A65='Données projet'!$A$114,'Données projet'!$B$114,BY64+BX65-CG64)))</f>
        <v>295.46153846153857</v>
      </c>
      <c r="BZ65" s="14">
        <f>BY65*VLOOKUP('Données projet'!$B$12,Paramètres!$A$1:$I$89,3,0)*VLOOKUP('Données projet'!$B$12,Paramètres!$A$1:$I$89,5,0)</f>
        <v>138.27600000000004</v>
      </c>
      <c r="CA65" s="14">
        <f t="shared" si="39"/>
        <v>35.901776945471816</v>
      </c>
      <c r="CB65" s="22">
        <f t="shared" si="10"/>
        <v>303.35962818003014</v>
      </c>
      <c r="CC65" s="62">
        <f t="shared" si="11"/>
        <v>549.61197934536676</v>
      </c>
      <c r="CD65" s="62">
        <f ca="1">AVERAGE(OFFSET($CC$3,0,0,'Données projet'!$E$12+1,1))-AVERAGE(OFFSET($H$3,0,0,'Données projet'!$E$12+1,1))</f>
        <v>329.79342219561465</v>
      </c>
      <c r="CE65" s="62">
        <f t="shared" si="40"/>
        <v>144.63206563329757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</v>
      </c>
      <c r="CT65" s="13">
        <f>IF('Données projet'!$A$140&gt;35,CT64+CS65-DB64,IF(A65&lt;'Données projet'!$A$140,$CQ$205^A65,IF(A65='Données projet'!$A$140,'Données projet'!$B$140,CT64+CS65-DB64)))</f>
        <v>460.2</v>
      </c>
      <c r="CU65" s="18">
        <f>CT65*VLOOKUP('Données projet'!$B$13,Paramètres!$A$1:$I$89,3,0)*VLOOKUP('Données projet'!$B$13,Paramètres!$A$1:$I$89,5,0)</f>
        <v>275.19960000000003</v>
      </c>
      <c r="CV65" s="14">
        <f t="shared" si="41"/>
        <v>65.951527620662617</v>
      </c>
      <c r="CW65" s="22">
        <f t="shared" si="13"/>
        <v>594.17154727265404</v>
      </c>
      <c r="CX65" s="62">
        <f t="shared" si="14"/>
        <v>840.42389843799072</v>
      </c>
      <c r="CY65" s="62">
        <f ca="1">AVERAGE(OFFSET($CX$3,0,0,'Données projet'!$E$13+1,1))-AVERAGE(OFFSET($H$3,0,0,'Données projet'!$E$13+1,1))</f>
        <v>530.27599556821826</v>
      </c>
      <c r="CZ65" s="62">
        <f t="shared" si="42"/>
        <v>370.62231794492129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2.2954953374753381E-4</v>
      </c>
      <c r="DI65" s="24">
        <f t="shared" si="15"/>
        <v>2.2954953374753381E-4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236.18712000000008</v>
      </c>
      <c r="DQ65" s="14">
        <f t="shared" si="43"/>
        <v>57.61840772987285</v>
      </c>
      <c r="DR65" s="22">
        <f t="shared" si="16"/>
        <v>511.71129412952865</v>
      </c>
      <c r="DS65" s="62">
        <f t="shared" si="17"/>
        <v>757.96364529486527</v>
      </c>
      <c r="DT65" s="62">
        <f ca="1">AVERAGE(OFFSET($DS$3,0,0,'Données projet'!$E$14+1,1))-AVERAGE(OFFSET($H$3,0,0,'Données projet'!$E$14+1,1))</f>
        <v>520.23742527061836</v>
      </c>
      <c r="DU65" s="62">
        <f t="shared" si="44"/>
        <v>321.35925479331274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5.2</v>
      </c>
      <c r="EJ65" s="13">
        <f>IF('Données projet'!$A$192&gt;35,EJ64+EI65-ER64,IF(A65&lt;'Données projet'!$A$192,$EG$205^A65,IF(A65='Données projet'!$A$192,'Données projet'!$B$192,EJ64+EI65-ER64)))</f>
        <v>208.4</v>
      </c>
      <c r="EK65" s="18">
        <f>EJ65*VLOOKUP('Données projet'!$B$15,Paramètres!$A$1:$I$89,3,0)*VLOOKUP('Données projet'!$B$15,Paramètres!$A$1:$I$89,5,0)</f>
        <v>217.81968000000003</v>
      </c>
      <c r="EL65" s="14">
        <f t="shared" si="45"/>
        <v>53.640729595707775</v>
      </c>
      <c r="EM65" s="22">
        <f t="shared" si="19"/>
        <v>472.7935467125244</v>
      </c>
      <c r="EN65" s="62">
        <f t="shared" si="20"/>
        <v>719.04589787786108</v>
      </c>
      <c r="EO65" s="62">
        <f ca="1">AVERAGE(OFFSET($EN$3,0,0,'Données projet'!$E$15+1,1))-AVERAGE(OFFSET($H$3,0,0,'Données projet'!$E$15+1,1))</f>
        <v>435.44444011810265</v>
      </c>
      <c r="EP65" s="62">
        <f t="shared" si="46"/>
        <v>447.15868732689762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8.8000000000000007</v>
      </c>
      <c r="FE65" s="13">
        <f>IF('Données projet'!$A$218&gt;35,FE64+FD65-FM64,IF(A65&lt;'Données projet'!$A$218,$FB$205^A65,IF(A65='Données projet'!$A$218,'Données projet'!$B$218,FE64+FD65-FM64)))</f>
        <v>262.59999999999997</v>
      </c>
      <c r="FF65" s="18">
        <f>FE65*VLOOKUP('Données projet'!$B$16,Paramètres!$A$1:$I$89,3,0)*VLOOKUP('Données projet'!$B$16,Paramètres!$A$1:$I$89,5,0)</f>
        <v>266.27640000000002</v>
      </c>
      <c r="FG65" s="14">
        <f t="shared" si="47"/>
        <v>64.058389829439747</v>
      </c>
      <c r="FH65" s="22">
        <f t="shared" si="22"/>
        <v>575.33309228627434</v>
      </c>
      <c r="FI65" s="62">
        <f t="shared" si="23"/>
        <v>821.58544345161101</v>
      </c>
      <c r="FJ65" s="62">
        <f ca="1">AVERAGE(OFFSET($FI$3,0,0,'Données projet'!$E$16+1,1))-AVERAGE(OFFSET($H$3,0,0,'Données projet'!$E$16+1,1))</f>
        <v>547.89540791313675</v>
      </c>
      <c r="FK65" s="62">
        <f t="shared" si="48"/>
        <v>345.19555189302378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16.625</v>
      </c>
      <c r="FZ65" s="13">
        <f>IF('Données projet'!$A$244&gt;35,FZ64+FY65-GH64,IF(A65&lt;'Données projet'!$A$244,$FW$205^A65,IF(A65='Données projet'!$A$244,'Données projet'!$B$244,FZ64+FY65-GH64)))</f>
        <v>416.50000000000006</v>
      </c>
      <c r="GA65" s="18">
        <f>FZ65*VLOOKUP('Données projet'!$B$17,Paramètres!$A$1:$I$89,3,0)*VLOOKUP('Données projet'!$B$17,Paramètres!$A$1:$I$89,5,0)</f>
        <v>249.06700000000004</v>
      </c>
      <c r="GB65" s="14">
        <f t="shared" si="49"/>
        <v>60.386109489804014</v>
      </c>
      <c r="GC65" s="22">
        <f t="shared" si="25"/>
        <v>538.96416569474195</v>
      </c>
      <c r="GD65" s="62">
        <f t="shared" si="26"/>
        <v>785.21651686007863</v>
      </c>
      <c r="GE65" s="62">
        <f ca="1">AVERAGE(OFFSET($GD$3,0,0,'Données projet'!$E$17+1,1))-AVERAGE(OFFSET($H$3,0,0,'Données projet'!$E$17+1,1))</f>
        <v>409.68685886029164</v>
      </c>
      <c r="GF65" s="62">
        <f t="shared" si="50"/>
        <v>330.8416508650887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3.9264480751036033E-4</v>
      </c>
      <c r="GO65" s="23">
        <f t="shared" si="27"/>
        <v>3.9264480751036033E-4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73.098184695482075</v>
      </c>
      <c r="T66" s="62">
        <f t="shared" si="34"/>
        <v>334.38551711782793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28.485743271804925</v>
      </c>
      <c r="AA66" s="23">
        <f>EXP(-LN(2)/25)*AA65+(1-EXP(-LN(2)/25))/(LN(2)/25)*Calculateur!V66*Calculateur!X66*VLOOKUP('Données projet'!$B$9,Paramètres!$A$1:$I$89,3,0)*0.475*44/12</f>
        <v>5.5043751633464497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33.990118435151373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70.520400819593021</v>
      </c>
      <c r="AO66" s="62">
        <f t="shared" si="36"/>
        <v>321.48616153644309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27.175049562979556</v>
      </c>
      <c r="AV66" s="23">
        <f>EXP(-LN(2)/25)*AV65+(1-EXP(-LN(2)/25))/(LN(2)/25)*Calculateur!AQ66*Calculateur!AS66*VLOOKUP('Données projet'!$B$10,Paramètres!$A$1:$I$89,3,0)*0.475*44/12</f>
        <v>5.2511063674869485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32.426155930466507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416</v>
      </c>
      <c r="BB66" s="13">
        <f>VLOOKUP(A66,'Données projet'!$A$87:$I$107,9,0)</f>
        <v>16.666666666666668</v>
      </c>
      <c r="BC66" s="13">
        <f t="array" ref="BC66">INDEX(BB:BB,MIN(IF(ISNUMBER(BB66:BB262),ROW(BB66:BB262),"")))</f>
        <v>16.666666666666668</v>
      </c>
      <c r="BD66" s="13">
        <f>IF('Données projet'!$A$88&gt;35,BD65+BC66-BL65,IF(A66&lt;'Données projet'!$A$88,$BA$205^A66,IF(A66='Données projet'!$A$88,'Données projet'!$B$88,BD65+BC66-BL65)))</f>
        <v>416</v>
      </c>
      <c r="BE66" s="14">
        <f>BD66*VLOOKUP('Données projet'!$B$11,Paramètres!$A$1:$I$89,3,0)*VLOOKUP('Données projet'!$B$11,Paramètres!$A$1:$I$89,5,0)</f>
        <v>194.68799999999999</v>
      </c>
      <c r="BF66" s="14">
        <f t="shared" si="37"/>
        <v>48.574928228914978</v>
      </c>
      <c r="BG66" s="22">
        <f t="shared" si="7"/>
        <v>423.68293333202695</v>
      </c>
      <c r="BH66" s="62">
        <f t="shared" si="8"/>
        <v>670.75203428067096</v>
      </c>
      <c r="BI66" s="62">
        <f ca="1">AVERAGE(OFFSET($BH$3,0,0,'Données projet'!$E$11+1,1))-AVERAGE(OFFSET($H$3,0,0,'Données projet'!$E$11+1,1))</f>
        <v>374.62597460242665</v>
      </c>
      <c r="BJ66" s="62">
        <f t="shared" si="38"/>
        <v>277.50105097454616</v>
      </c>
      <c r="BK66" s="16">
        <f>IF(ISNA(VLOOKUP(A66,'Données projet'!$A$87:$I$107,3,0)),0,VLOOKUP(A66,'Données projet'!$A$87:$I$107,3,0))</f>
        <v>9</v>
      </c>
      <c r="BL66" s="16">
        <f>IF(ISNA(VLOOKUP(A66,'Données projet'!$A$87:$I$107,4,0)),0,VLOOKUP(A66,'Données projet'!$A$87:$I$107,4,0))</f>
        <v>79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8.3076923076923084</v>
      </c>
      <c r="BY66" s="13">
        <f>IF('Données projet'!$A$114&gt;35,BY65+BX66-CG65,IF(A66&lt;'Données projet'!$A$114,$BV$205^A66,IF(A66='Données projet'!$A$114,'Données projet'!$B$114,BY65+BX66-CG65)))</f>
        <v>303.76923076923089</v>
      </c>
      <c r="BZ66" s="14">
        <f>BY66*VLOOKUP('Données projet'!$B$12,Paramètres!$A$1:$I$89,3,0)*VLOOKUP('Données projet'!$B$12,Paramètres!$A$1:$I$89,5,0)</f>
        <v>142.16400000000004</v>
      </c>
      <c r="CA66" s="14">
        <f t="shared" si="39"/>
        <v>36.792304079280136</v>
      </c>
      <c r="CB66" s="22">
        <f t="shared" si="10"/>
        <v>311.68222960474628</v>
      </c>
      <c r="CC66" s="62">
        <f t="shared" si="11"/>
        <v>558.75133055339029</v>
      </c>
      <c r="CD66" s="62">
        <f ca="1">AVERAGE(OFFSET($CC$3,0,0,'Données projet'!$E$12+1,1))-AVERAGE(OFFSET($H$3,0,0,'Données projet'!$E$12+1,1))</f>
        <v>329.79342219561465</v>
      </c>
      <c r="CE66" s="62">
        <f t="shared" si="40"/>
        <v>144.63206563329757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</v>
      </c>
      <c r="CT66" s="13">
        <f>IF('Données projet'!$A$140&gt;35,CT65+CS66-DB65,IF(A66&lt;'Données projet'!$A$140,$CQ$205^A66,IF(A66='Données projet'!$A$140,'Données projet'!$B$140,CT65+CS66-DB65)))</f>
        <v>468.8</v>
      </c>
      <c r="CU66" s="18">
        <f>CT66*VLOOKUP('Données projet'!$B$13,Paramètres!$A$1:$I$89,3,0)*VLOOKUP('Données projet'!$B$13,Paramètres!$A$1:$I$89,5,0)</f>
        <v>280.34240000000005</v>
      </c>
      <c r="CV66" s="14">
        <f t="shared" si="41"/>
        <v>67.039362696476971</v>
      </c>
      <c r="CW66" s="22">
        <f t="shared" si="13"/>
        <v>605.02323669636417</v>
      </c>
      <c r="CX66" s="62">
        <f t="shared" si="14"/>
        <v>852.09233764500812</v>
      </c>
      <c r="CY66" s="62">
        <f ca="1">AVERAGE(OFFSET($CX$3,0,0,'Données projet'!$E$13+1,1))-AVERAGE(OFFSET($H$3,0,0,'Données projet'!$E$13+1,1))</f>
        <v>530.27599556821826</v>
      </c>
      <c r="CZ66" s="62">
        <f t="shared" si="42"/>
        <v>370.62231794492129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1.6231603193109139E-4</v>
      </c>
      <c r="DI66" s="24">
        <f t="shared" si="15"/>
        <v>1.6231603193109139E-4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244.38648000000006</v>
      </c>
      <c r="DQ66" s="14">
        <f t="shared" si="43"/>
        <v>59.382305874225118</v>
      </c>
      <c r="DR66" s="22">
        <f t="shared" si="16"/>
        <v>529.06396873094207</v>
      </c>
      <c r="DS66" s="62">
        <f t="shared" si="17"/>
        <v>776.13306967958601</v>
      </c>
      <c r="DT66" s="62">
        <f ca="1">AVERAGE(OFFSET($DS$3,0,0,'Données projet'!$E$14+1,1))-AVERAGE(OFFSET($H$3,0,0,'Données projet'!$E$14+1,1))</f>
        <v>520.23742527061836</v>
      </c>
      <c r="DU66" s="62">
        <f t="shared" si="44"/>
        <v>321.35925479331274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5.2</v>
      </c>
      <c r="EJ66" s="13">
        <f>IF('Données projet'!$A$192&gt;35,EJ65+EI66-ER65,IF(A66&lt;'Données projet'!$A$192,$EG$205^A66,IF(A66='Données projet'!$A$192,'Données projet'!$B$192,EJ65+EI66-ER65)))</f>
        <v>213.6</v>
      </c>
      <c r="EK66" s="18">
        <f>EJ66*VLOOKUP('Données projet'!$B$15,Paramètres!$A$1:$I$89,3,0)*VLOOKUP('Données projet'!$B$15,Paramètres!$A$1:$I$89,5,0)</f>
        <v>223.25471999999999</v>
      </c>
      <c r="EL66" s="14">
        <f t="shared" si="45"/>
        <v>54.821677274695034</v>
      </c>
      <c r="EM66" s="22">
        <f t="shared" si="19"/>
        <v>484.31639192009379</v>
      </c>
      <c r="EN66" s="62">
        <f t="shared" si="20"/>
        <v>731.38549286873774</v>
      </c>
      <c r="EO66" s="62">
        <f ca="1">AVERAGE(OFFSET($EN$3,0,0,'Données projet'!$E$15+1,1))-AVERAGE(OFFSET($H$3,0,0,'Données projet'!$E$15+1,1))</f>
        <v>435.44444011810265</v>
      </c>
      <c r="EP66" s="62">
        <f t="shared" si="46"/>
        <v>447.15868732689762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8.8000000000000007</v>
      </c>
      <c r="FE66" s="13">
        <f>IF('Données projet'!$A$218&gt;35,FE65+FD66-FM65,IF(A66&lt;'Données projet'!$A$218,$FB$205^A66,IF(A66='Données projet'!$A$218,'Données projet'!$B$218,FE65+FD66-FM65)))</f>
        <v>271.39999999999998</v>
      </c>
      <c r="FF66" s="18">
        <f>FE66*VLOOKUP('Données projet'!$B$16,Paramètres!$A$1:$I$89,3,0)*VLOOKUP('Données projet'!$B$16,Paramètres!$A$1:$I$89,5,0)</f>
        <v>275.19960000000003</v>
      </c>
      <c r="FG66" s="14">
        <f t="shared" si="47"/>
        <v>65.951527620662617</v>
      </c>
      <c r="FH66" s="22">
        <f t="shared" si="22"/>
        <v>594.17154727265404</v>
      </c>
      <c r="FI66" s="62">
        <f t="shared" si="23"/>
        <v>841.24064822129799</v>
      </c>
      <c r="FJ66" s="62">
        <f ca="1">AVERAGE(OFFSET($FI$3,0,0,'Données projet'!$E$16+1,1))-AVERAGE(OFFSET($H$3,0,0,'Données projet'!$E$16+1,1))</f>
        <v>547.89540791313675</v>
      </c>
      <c r="FK66" s="62">
        <f t="shared" si="48"/>
        <v>345.19555189302378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16.625</v>
      </c>
      <c r="FZ66" s="13">
        <f>IF('Données projet'!$A$244&gt;35,FZ65+FY66-GH65,IF(A66&lt;'Données projet'!$A$244,$FW$205^A66,IF(A66='Données projet'!$A$244,'Données projet'!$B$244,FZ65+FY66-GH65)))</f>
        <v>433.12500000000006</v>
      </c>
      <c r="GA66" s="18">
        <f>FZ66*VLOOKUP('Données projet'!$B$17,Paramètres!$A$1:$I$89,3,0)*VLOOKUP('Données projet'!$B$17,Paramètres!$A$1:$I$89,5,0)</f>
        <v>259.00875000000008</v>
      </c>
      <c r="GB66" s="14">
        <f t="shared" si="49"/>
        <v>62.511036563235727</v>
      </c>
      <c r="GC66" s="22">
        <f t="shared" si="25"/>
        <v>559.98029493096897</v>
      </c>
      <c r="GD66" s="62">
        <f t="shared" si="26"/>
        <v>807.04939587961292</v>
      </c>
      <c r="GE66" s="62">
        <f ca="1">AVERAGE(OFFSET($GD$3,0,0,'Données projet'!$E$17+1,1))-AVERAGE(OFFSET($H$3,0,0,'Données projet'!$E$17+1,1))</f>
        <v>409.68685886029164</v>
      </c>
      <c r="GF66" s="62">
        <f t="shared" si="50"/>
        <v>330.8416508650887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2.7764180598826243E-4</v>
      </c>
      <c r="GO66" s="23">
        <f t="shared" si="27"/>
        <v>2.7764180598826243E-4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73.098184695482075</v>
      </c>
      <c r="T67" s="62">
        <f t="shared" si="34"/>
        <v>334.38551711782793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27.927155220832628</v>
      </c>
      <c r="AA67" s="23">
        <f>EXP(-LN(2)/25)*AA66+(1-EXP(-LN(2)/25))/(LN(2)/25)*Calculateur!V67*Calculateur!X67*VLOOKUP('Données projet'!$B$9,Paramètres!$A$1:$I$89,3,0)*0.475*44/12</f>
        <v>5.3538577350422321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33.281012955874857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70.520400819593021</v>
      </c>
      <c r="AO67" s="62">
        <f t="shared" si="36"/>
        <v>321.48616153644309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26.6421634161931</v>
      </c>
      <c r="AV67" s="23">
        <f>EXP(-LN(2)/25)*AV66+(1-EXP(-LN(2)/25))/(LN(2)/25)*Calculateur!AQ67*Calculateur!AS67*VLOOKUP('Données projet'!$B$10,Paramètres!$A$1:$I$89,3,0)*0.475*44/12</f>
        <v>5.107514587724336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31.749678003917435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353</v>
      </c>
      <c r="BB67" s="13">
        <f>VLOOKUP(A67,'Données projet'!$A$87:$I$107,9,0)</f>
        <v>16</v>
      </c>
      <c r="BC67" s="13">
        <f t="array" ref="BC67">INDEX(BB:BB,MIN(IF(ISNUMBER(BB67:BB263),ROW(BB67:BB263),"")))</f>
        <v>16</v>
      </c>
      <c r="BD67" s="13">
        <f>IF('Données projet'!$A$88&gt;35,BD66+BC67-BL66,IF(A67&lt;'Données projet'!$A$88,$BA$205^A67,IF(A67='Données projet'!$A$88,'Données projet'!$B$88,BD66+BC67-BL66)))</f>
        <v>353</v>
      </c>
      <c r="BE67" s="14">
        <f>BD67*VLOOKUP('Données projet'!$B$11,Paramètres!$A$1:$I$89,3,0)*VLOOKUP('Données projet'!$B$11,Paramètres!$A$1:$I$89,5,0)</f>
        <v>165.20400000000001</v>
      </c>
      <c r="BF67" s="14">
        <f t="shared" si="37"/>
        <v>42.01409666579589</v>
      </c>
      <c r="BG67" s="22">
        <f t="shared" si="7"/>
        <v>360.90485169292782</v>
      </c>
      <c r="BH67" s="62">
        <f t="shared" si="8"/>
        <v>608.77653364211767</v>
      </c>
      <c r="BI67" s="62">
        <f ca="1">AVERAGE(OFFSET($BH$3,0,0,'Données projet'!$E$11+1,1))-AVERAGE(OFFSET($H$3,0,0,'Données projet'!$E$11+1,1))</f>
        <v>374.62597460242665</v>
      </c>
      <c r="BJ67" s="62">
        <f t="shared" si="38"/>
        <v>277.50105097454616</v>
      </c>
      <c r="BK67" s="16">
        <f>IF(ISNA(VLOOKUP(A67,'Données projet'!$A$87:$I$107,3,0)),0,VLOOKUP(A67,'Données projet'!$A$87:$I$107,3,0))</f>
        <v>10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8.3076923076923084</v>
      </c>
      <c r="BY67" s="13">
        <f>IF('Données projet'!$A$114&gt;35,BY66+BX67-CG66,IF(A67&lt;'Données projet'!$A$114,$BV$205^A67,IF(A67='Données projet'!$A$114,'Données projet'!$B$114,BY66+BX67-CG66)))</f>
        <v>312.07692307692321</v>
      </c>
      <c r="BZ67" s="14">
        <f>BY67*VLOOKUP('Données projet'!$B$12,Paramètres!$A$1:$I$89,3,0)*VLOOKUP('Données projet'!$B$12,Paramètres!$A$1:$I$89,5,0)</f>
        <v>146.05200000000008</v>
      </c>
      <c r="CA67" s="14">
        <f t="shared" si="39"/>
        <v>37.680000454129072</v>
      </c>
      <c r="CB67" s="22">
        <f t="shared" si="10"/>
        <v>319.99990079094158</v>
      </c>
      <c r="CC67" s="62">
        <f t="shared" si="11"/>
        <v>567.87158274013143</v>
      </c>
      <c r="CD67" s="62">
        <f ca="1">AVERAGE(OFFSET($CC$3,0,0,'Données projet'!$E$12+1,1))-AVERAGE(OFFSET($H$3,0,0,'Données projet'!$E$12+1,1))</f>
        <v>329.79342219561465</v>
      </c>
      <c r="CE67" s="62">
        <f t="shared" si="40"/>
        <v>144.63206563329757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</v>
      </c>
      <c r="CT67" s="13">
        <f>IF('Données projet'!$A$140&gt;35,CT66+CS67-DB66,IF(A67&lt;'Données projet'!$A$140,$CQ$205^A67,IF(A67='Données projet'!$A$140,'Données projet'!$B$140,CT66+CS67-DB66)))</f>
        <v>477.40000000000003</v>
      </c>
      <c r="CU67" s="18">
        <f>CT67*VLOOKUP('Données projet'!$B$13,Paramètres!$A$1:$I$89,3,0)*VLOOKUP('Données projet'!$B$13,Paramètres!$A$1:$I$89,5,0)</f>
        <v>285.48520000000002</v>
      </c>
      <c r="CV67" s="14">
        <f t="shared" si="41"/>
        <v>68.124877232386936</v>
      </c>
      <c r="CW67" s="22">
        <f t="shared" si="13"/>
        <v>615.87088451307397</v>
      </c>
      <c r="CX67" s="62">
        <f t="shared" si="14"/>
        <v>863.74256646226377</v>
      </c>
      <c r="CY67" s="62">
        <f ca="1">AVERAGE(OFFSET($CX$3,0,0,'Données projet'!$E$13+1,1))-AVERAGE(OFFSET($H$3,0,0,'Données projet'!$E$13+1,1))</f>
        <v>530.27599556821826</v>
      </c>
      <c r="CZ67" s="62">
        <f t="shared" si="42"/>
        <v>370.62231794492129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1.147747668737669E-4</v>
      </c>
      <c r="DI67" s="24">
        <f t="shared" si="15"/>
        <v>1.147747668737669E-4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252.58584000000005</v>
      </c>
      <c r="DQ67" s="14">
        <f t="shared" si="43"/>
        <v>61.139327516253068</v>
      </c>
      <c r="DR67" s="22">
        <f t="shared" si="16"/>
        <v>546.40466675747416</v>
      </c>
      <c r="DS67" s="62">
        <f t="shared" si="17"/>
        <v>794.27634870666395</v>
      </c>
      <c r="DT67" s="62">
        <f ca="1">AVERAGE(OFFSET($DS$3,0,0,'Données projet'!$E$14+1,1))-AVERAGE(OFFSET($H$3,0,0,'Données projet'!$E$14+1,1))</f>
        <v>520.23742527061836</v>
      </c>
      <c r="DU67" s="62">
        <f t="shared" si="44"/>
        <v>321.35925479331274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5.2</v>
      </c>
      <c r="EJ67" s="13">
        <f>IF('Données projet'!$A$192&gt;35,EJ66+EI67-ER66,IF(A67&lt;'Données projet'!$A$192,$EG$205^A67,IF(A67='Données projet'!$A$192,'Données projet'!$B$192,EJ66+EI67-ER66)))</f>
        <v>218.79999999999998</v>
      </c>
      <c r="EK67" s="18">
        <f>EJ67*VLOOKUP('Données projet'!$B$15,Paramètres!$A$1:$I$89,3,0)*VLOOKUP('Données projet'!$B$15,Paramètres!$A$1:$I$89,5,0)</f>
        <v>228.68976000000001</v>
      </c>
      <c r="EL67" s="14">
        <f t="shared" si="45"/>
        <v>55.999282881040642</v>
      </c>
      <c r="EM67" s="22">
        <f t="shared" si="19"/>
        <v>495.83341635114584</v>
      </c>
      <c r="EN67" s="62">
        <f t="shared" si="20"/>
        <v>743.70509830033564</v>
      </c>
      <c r="EO67" s="62">
        <f ca="1">AVERAGE(OFFSET($EN$3,0,0,'Données projet'!$E$15+1,1))-AVERAGE(OFFSET($H$3,0,0,'Données projet'!$E$15+1,1))</f>
        <v>435.44444011810265</v>
      </c>
      <c r="EP67" s="62">
        <f t="shared" si="46"/>
        <v>447.15868732689762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8.8000000000000007</v>
      </c>
      <c r="FE67" s="13">
        <f>IF('Données projet'!$A$218&gt;35,FE66+FD67-FM66,IF(A67&lt;'Données projet'!$A$218,$FB$205^A67,IF(A67='Données projet'!$A$218,'Données projet'!$B$218,FE66+FD67-FM66)))</f>
        <v>280.2</v>
      </c>
      <c r="FF67" s="18">
        <f>FE67*VLOOKUP('Données projet'!$B$16,Paramètres!$A$1:$I$89,3,0)*VLOOKUP('Données projet'!$B$16,Paramètres!$A$1:$I$89,5,0)</f>
        <v>284.12279999999998</v>
      </c>
      <c r="FG67" s="14">
        <f t="shared" si="47"/>
        <v>67.837532462585557</v>
      </c>
      <c r="FH67" s="22">
        <f t="shared" si="22"/>
        <v>612.99757903900309</v>
      </c>
      <c r="FI67" s="62">
        <f t="shared" si="23"/>
        <v>860.86926098819288</v>
      </c>
      <c r="FJ67" s="62">
        <f ca="1">AVERAGE(OFFSET($FI$3,0,0,'Données projet'!$E$16+1,1))-AVERAGE(OFFSET($H$3,0,0,'Données projet'!$E$16+1,1))</f>
        <v>547.89540791313675</v>
      </c>
      <c r="FK67" s="62">
        <f t="shared" si="48"/>
        <v>345.19555189302378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16.625</v>
      </c>
      <c r="FZ67" s="13">
        <f>IF('Données projet'!$A$244&gt;35,FZ66+FY67-GH66,IF(A67&lt;'Données projet'!$A$244,$FW$205^A67,IF(A67='Données projet'!$A$244,'Données projet'!$B$244,FZ66+FY67-GH66)))</f>
        <v>449.75000000000006</v>
      </c>
      <c r="GA67" s="18">
        <f>FZ67*VLOOKUP('Données projet'!$B$17,Paramètres!$A$1:$I$89,3,0)*VLOOKUP('Données projet'!$B$17,Paramètres!$A$1:$I$89,5,0)</f>
        <v>268.95050000000009</v>
      </c>
      <c r="GB67" s="14">
        <f t="shared" si="49"/>
        <v>64.626488439895155</v>
      </c>
      <c r="GC67" s="22">
        <f t="shared" si="25"/>
        <v>580.97992153281746</v>
      </c>
      <c r="GD67" s="62">
        <f t="shared" si="26"/>
        <v>828.85160348200725</v>
      </c>
      <c r="GE67" s="62">
        <f ca="1">AVERAGE(OFFSET($GD$3,0,0,'Données projet'!$E$17+1,1))-AVERAGE(OFFSET($H$3,0,0,'Données projet'!$E$17+1,1))</f>
        <v>409.68685886029164</v>
      </c>
      <c r="GF67" s="62">
        <f t="shared" si="50"/>
        <v>330.8416508650887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1.9632240375518016E-4</v>
      </c>
      <c r="GO67" s="23">
        <f t="shared" si="27"/>
        <v>1.9632240375518016E-4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73.098184695482075</v>
      </c>
      <c r="T68" s="62">
        <f t="shared" si="34"/>
        <v>334.38551711782793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27.379520740834828</v>
      </c>
      <c r="AA68" s="23">
        <f>EXP(-LN(2)/25)*AA67+(1-EXP(-LN(2)/25))/(LN(2)/25)*Calculateur!V68*Calculateur!X68*VLOOKUP('Données projet'!$B$9,Paramètres!$A$1:$I$89,3,0)*0.475*44/12</f>
        <v>5.2074562137303602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32.586976954565188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70.520400819593021</v>
      </c>
      <c r="AO68" s="62">
        <f t="shared" si="36"/>
        <v>321.48616153644309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26.11972684171667</v>
      </c>
      <c r="AV68" s="23">
        <f>EXP(-LN(2)/25)*AV67+(1-EXP(-LN(2)/25))/(LN(2)/25)*Calculateur!AQ68*Calculateur!AS68*VLOOKUP('Données projet'!$B$10,Paramètres!$A$1:$I$89,3,0)*0.475*44/12</f>
        <v>4.9678493327304949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31.087576174447165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16.142857142857142</v>
      </c>
      <c r="BD68" s="13">
        <f>IF('Données projet'!$A$88&gt;35,BD67+BC68-BL67,IF(A68&lt;'Données projet'!$A$88,$BA$205^A68,IF(A68='Données projet'!$A$88,'Données projet'!$B$88,BD67+BC68-BL67)))</f>
        <v>369.14285714285717</v>
      </c>
      <c r="BE68" s="14">
        <f>BD68*VLOOKUP('Données projet'!$B$11,Paramètres!$A$1:$I$89,3,0)*VLOOKUP('Données projet'!$B$11,Paramètres!$A$1:$I$89,5,0)</f>
        <v>172.75885714285715</v>
      </c>
      <c r="BF68" s="14">
        <f t="shared" si="37"/>
        <v>43.707335703690283</v>
      </c>
      <c r="BG68" s="22">
        <f t="shared" ref="BG68:BG131" si="61">(BE68+BF68)*0.475*44/12</f>
        <v>377.01195254107012</v>
      </c>
      <c r="BH68" s="62">
        <f t="shared" ref="BH68:BH131" si="62">BG68+(AY68+AZ68)*44/12</f>
        <v>625.67229250474861</v>
      </c>
      <c r="BI68" s="62">
        <f ca="1">AVERAGE(OFFSET($BH$3,0,0,'Données projet'!$E$11+1,1))-AVERAGE(OFFSET($H$3,0,0,'Données projet'!$E$11+1,1))</f>
        <v>374.62597460242665</v>
      </c>
      <c r="BJ68" s="62">
        <f t="shared" si="38"/>
        <v>277.50105097454616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8.3076923076923084</v>
      </c>
      <c r="BY68" s="13">
        <f>IF('Données projet'!$A$114&gt;35,BY67+BX68-CG67,IF(A68&lt;'Données projet'!$A$114,$BV$205^A68,IF(A68='Données projet'!$A$114,'Données projet'!$B$114,BY67+BX68-CG67)))</f>
        <v>320.38461538461553</v>
      </c>
      <c r="BZ68" s="14">
        <f>BY68*VLOOKUP('Données projet'!$B$12,Paramètres!$A$1:$I$89,3,0)*VLOOKUP('Données projet'!$B$12,Paramètres!$A$1:$I$89,5,0)</f>
        <v>149.94000000000005</v>
      </c>
      <c r="CA68" s="14">
        <f t="shared" si="39"/>
        <v>38.564950088076799</v>
      </c>
      <c r="CB68" s="22">
        <f t="shared" ref="CB68:CB131" si="64">(BZ68+CA68)*0.475*44/12</f>
        <v>328.31278807006714</v>
      </c>
      <c r="CC68" s="62">
        <f t="shared" ref="CC68:CC131" si="65">CB68+(BT68+BU68)*44/12</f>
        <v>576.97312803374575</v>
      </c>
      <c r="CD68" s="62">
        <f ca="1">AVERAGE(OFFSET($CC$3,0,0,'Données projet'!$E$12+1,1))-AVERAGE(OFFSET($H$3,0,0,'Données projet'!$E$12+1,1))</f>
        <v>329.79342219561465</v>
      </c>
      <c r="CE68" s="62">
        <f t="shared" si="40"/>
        <v>144.63206563329757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</v>
      </c>
      <c r="CT68" s="13">
        <f>IF('Données projet'!$A$140&gt;35,CT67+CS68-DB67,IF(A68&lt;'Données projet'!$A$140,$CQ$205^A68,IF(A68='Données projet'!$A$140,'Données projet'!$B$140,CT67+CS68-DB67)))</f>
        <v>486.00000000000006</v>
      </c>
      <c r="CU68" s="18">
        <f>CT68*VLOOKUP('Données projet'!$B$13,Paramètres!$A$1:$I$89,3,0)*VLOOKUP('Données projet'!$B$13,Paramètres!$A$1:$I$89,5,0)</f>
        <v>290.62800000000004</v>
      </c>
      <c r="CV68" s="14">
        <f t="shared" si="41"/>
        <v>69.208117853196882</v>
      </c>
      <c r="CW68" s="22">
        <f t="shared" ref="CW68:CW131" si="67">(CU68+CV68)*0.475*44/12</f>
        <v>626.71457192765126</v>
      </c>
      <c r="CX68" s="62">
        <f t="shared" ref="CX68:CX131" si="68">CW68+(CO68+CP68)*44/12</f>
        <v>875.37491189132982</v>
      </c>
      <c r="CY68" s="62">
        <f ca="1">AVERAGE(OFFSET($CX$3,0,0,'Données projet'!$E$13+1,1))-AVERAGE(OFFSET($H$3,0,0,'Données projet'!$E$13+1,1))</f>
        <v>530.27599556821826</v>
      </c>
      <c r="CZ68" s="62">
        <f t="shared" si="42"/>
        <v>370.62231794492129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8.1158015965545696E-5</v>
      </c>
      <c r="DI68" s="24">
        <f t="shared" ref="DI68:DI131" si="69">SUM(DF68:DH68)</f>
        <v>8.1158015965545696E-5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260.78520000000003</v>
      </c>
      <c r="DQ68" s="14">
        <f t="shared" si="43"/>
        <v>62.889721480388701</v>
      </c>
      <c r="DR68" s="22">
        <f t="shared" ref="DR68:DR131" si="70">(DP68+DQ68)*0.475*44/12</f>
        <v>563.73382157834374</v>
      </c>
      <c r="DS68" s="62">
        <f t="shared" ref="DS68:DS131" si="71">DR68+(DJ68+DK68)*44/12</f>
        <v>812.39416154202229</v>
      </c>
      <c r="DT68" s="62">
        <f ca="1">AVERAGE(OFFSET($DS$3,0,0,'Données projet'!$E$14+1,1))-AVERAGE(OFFSET($H$3,0,0,'Données projet'!$E$14+1,1))</f>
        <v>520.23742527061836</v>
      </c>
      <c r="DU68" s="62">
        <f t="shared" si="44"/>
        <v>321.35925479331274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224</v>
      </c>
      <c r="EH68" s="13">
        <f>VLOOKUP(A68,'Données projet'!$A$191:$I$211,9,0)</f>
        <v>5.2</v>
      </c>
      <c r="EI68" s="13">
        <f t="array" ref="EI68">INDEX(EH:EH,MIN(IF(ISNUMBER(EH68:EH264),ROW(EH68:EH264),"")))</f>
        <v>5.2</v>
      </c>
      <c r="EJ68" s="13">
        <f>IF('Données projet'!$A$192&gt;35,EJ67+EI68-ER67,IF(A68&lt;'Données projet'!$A$192,$EG$205^A68,IF(A68='Données projet'!$A$192,'Données projet'!$B$192,EJ67+EI68-ER67)))</f>
        <v>223.99999999999997</v>
      </c>
      <c r="EK68" s="18">
        <f>EJ68*VLOOKUP('Données projet'!$B$15,Paramètres!$A$1:$I$89,3,0)*VLOOKUP('Données projet'!$B$15,Paramètres!$A$1:$I$89,5,0)</f>
        <v>234.12479999999999</v>
      </c>
      <c r="EL68" s="14">
        <f t="shared" si="45"/>
        <v>57.173634982132555</v>
      </c>
      <c r="EM68" s="22">
        <f t="shared" ref="EM68:EM131" si="73">(EK68+EL68)*0.475*44/12</f>
        <v>507.34477426054747</v>
      </c>
      <c r="EN68" s="62">
        <f t="shared" ref="EN68:EN131" si="74">EM68+(EE68+EF68)*44/12</f>
        <v>756.00511422422596</v>
      </c>
      <c r="EO68" s="62">
        <f ca="1">AVERAGE(OFFSET($EN$3,0,0,'Données projet'!$E$15+1,1))-AVERAGE(OFFSET($H$3,0,0,'Données projet'!$E$15+1,1))</f>
        <v>435.44444011810265</v>
      </c>
      <c r="EP68" s="62">
        <f t="shared" si="46"/>
        <v>447.15868732689762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20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289</v>
      </c>
      <c r="FC68" s="13">
        <f>VLOOKUP(A68,'Données projet'!$A$217:$I$237,9,0)</f>
        <v>8.8000000000000007</v>
      </c>
      <c r="FD68" s="13">
        <f t="array" ref="FD68">INDEX(FC:FC,MIN(IF(ISNUMBER(FC68:FC264),ROW(FC68:FC264),"")))</f>
        <v>8.8000000000000007</v>
      </c>
      <c r="FE68" s="13">
        <f>IF('Données projet'!$A$218&gt;35,FE67+FD68-FM67,IF(A68&lt;'Données projet'!$A$218,$FB$205^A68,IF(A68='Données projet'!$A$218,'Données projet'!$B$218,FE67+FD68-FM67)))</f>
        <v>289</v>
      </c>
      <c r="FF68" s="18">
        <f>FE68*VLOOKUP('Données projet'!$B$16,Paramètres!$A$1:$I$89,3,0)*VLOOKUP('Données projet'!$B$16,Paramètres!$A$1:$I$89,5,0)</f>
        <v>293.04599999999999</v>
      </c>
      <c r="FG68" s="14">
        <f t="shared" si="47"/>
        <v>69.716654076072615</v>
      </c>
      <c r="FH68" s="22">
        <f t="shared" ref="FH68:FH131" si="76">(FF68+FG68)*0.475*44/12</f>
        <v>631.81162251582646</v>
      </c>
      <c r="FI68" s="62">
        <f t="shared" ref="FI68:FI131" si="77">FH68+(EZ68+FA68)*44/12</f>
        <v>880.47196247950501</v>
      </c>
      <c r="FJ68" s="62">
        <f ca="1">AVERAGE(OFFSET($FI$3,0,0,'Données projet'!$E$16+1,1))-AVERAGE(OFFSET($H$3,0,0,'Données projet'!$E$16+1,1))</f>
        <v>547.89540791313675</v>
      </c>
      <c r="FK68" s="62">
        <f t="shared" si="48"/>
        <v>345.19555189302378</v>
      </c>
      <c r="FL68" s="16">
        <f>IF(ISNA(VLOOKUP(A68,'Données projet'!$A$217:$I$237,3,0)),0,VLOOKUP(A68,'Données projet'!$A$217:$I$237,3,0))</f>
        <v>10</v>
      </c>
      <c r="FM68" s="16">
        <f>IF(ISNA(VLOOKUP(A68,'Données projet'!$A$217:$I$237,4,0)),0,VLOOKUP(A68,'Données projet'!$A$217:$I$237,4,0))</f>
        <v>28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16.625</v>
      </c>
      <c r="FZ68" s="13">
        <f>IF('Données projet'!$A$244&gt;35,FZ67+FY68-GH67,IF(A68&lt;'Données projet'!$A$244,$FW$205^A68,IF(A68='Données projet'!$A$244,'Données projet'!$B$244,FZ67+FY68-GH67)))</f>
        <v>466.37500000000006</v>
      </c>
      <c r="GA68" s="18">
        <f>FZ68*VLOOKUP('Données projet'!$B$17,Paramètres!$A$1:$I$89,3,0)*VLOOKUP('Données projet'!$B$17,Paramètres!$A$1:$I$89,5,0)</f>
        <v>278.89225000000005</v>
      </c>
      <c r="GB68" s="14">
        <f t="shared" si="49"/>
        <v>66.732855480271084</v>
      </c>
      <c r="GC68" s="22">
        <f t="shared" ref="GC68:GC131" si="79">(GA68+GB68)*0.475*44/12</f>
        <v>601.96372537813886</v>
      </c>
      <c r="GD68" s="62">
        <f t="shared" ref="GD68:GD131" si="80">GC68+(FU68+FV68)*44/12</f>
        <v>850.62406534181741</v>
      </c>
      <c r="GE68" s="62">
        <f ca="1">AVERAGE(OFFSET($GD$3,0,0,'Données projet'!$E$17+1,1))-AVERAGE(OFFSET($H$3,0,0,'Données projet'!$E$17+1,1))</f>
        <v>409.68685886029164</v>
      </c>
      <c r="GF68" s="62">
        <f t="shared" si="50"/>
        <v>330.8416508650887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1.3882090299413121E-4</v>
      </c>
      <c r="GO68" s="23">
        <f t="shared" ref="GO68:GO131" si="81">SUM(GL68:GN68)</f>
        <v>1.3882090299413121E-4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73.098184695482075</v>
      </c>
      <c r="T69" s="62">
        <f t="shared" ref="T69:T132" si="88">$T$3</f>
        <v>334.38551711782793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26.842625038965735</v>
      </c>
      <c r="AA69" s="23">
        <f>EXP(-LN(2)/25)*AA68+(1-EXP(-LN(2)/25))/(LN(2)/25)*Calculateur!V69*Calculateur!X69*VLOOKUP('Données projet'!$B$9,Paramètres!$A$1:$I$89,3,0)*0.475*44/12</f>
        <v>5.0650580497176829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31.90768308868342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70.520400819593021</v>
      </c>
      <c r="AO69" s="62">
        <f t="shared" ref="AO69:AO132" si="90">$AO$3</f>
        <v>321.48616153644309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25.607534929810878</v>
      </c>
      <c r="AV69" s="23">
        <f>EXP(-LN(2)/25)*AV68+(1-EXP(-LN(2)/25))/(LN(2)/25)*Calculateur!AQ69*Calculateur!AS69*VLOOKUP('Données projet'!$B$10,Paramètres!$A$1:$I$89,3,0)*0.475*44/12</f>
        <v>4.8320032314791375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30.439538161290017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16.142857142857142</v>
      </c>
      <c r="BD69" s="13">
        <f>IF('Données projet'!$A$88&gt;35,BD68+BC69-BL68,IF(A69&lt;'Données projet'!$A$88,$BA$205^A69,IF(A69='Données projet'!$A$88,'Données projet'!$B$88,BD68+BC69-BL68)))</f>
        <v>385.28571428571433</v>
      </c>
      <c r="BE69" s="14">
        <f>BD69*VLOOKUP('Données projet'!$B$11,Paramètres!$A$1:$I$89,3,0)*VLOOKUP('Données projet'!$B$11,Paramètres!$A$1:$I$89,5,0)</f>
        <v>180.3137142857143</v>
      </c>
      <c r="BF69" s="14">
        <f t="shared" ref="BF69:BF132" si="91">EXP(-1.0587+0.8836*LN(BE69)+0.284)</f>
        <v>45.391974740208404</v>
      </c>
      <c r="BG69" s="22">
        <f t="shared" si="61"/>
        <v>393.10407505348206</v>
      </c>
      <c r="BH69" s="62">
        <f t="shared" si="62"/>
        <v>642.53939157827313</v>
      </c>
      <c r="BI69" s="62">
        <f ca="1">AVERAGE(OFFSET($BH$3,0,0,'Données projet'!$E$11+1,1))-AVERAGE(OFFSET($H$3,0,0,'Données projet'!$E$11+1,1))</f>
        <v>374.62597460242665</v>
      </c>
      <c r="BJ69" s="62">
        <f t="shared" ref="BJ69:BJ132" si="92">$BJ$3</f>
        <v>277.50105097454616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8.3076923076923084</v>
      </c>
      <c r="BY69" s="13">
        <f>IF('Données projet'!$A$114&gt;35,BY68+BX69-CG68,IF(A69&lt;'Données projet'!$A$114,$BV$205^A69,IF(A69='Données projet'!$A$114,'Données projet'!$B$114,BY68+BX69-CG68)))</f>
        <v>328.69230769230785</v>
      </c>
      <c r="BZ69" s="14">
        <f>BY69*VLOOKUP('Données projet'!$B$12,Paramètres!$A$1:$I$89,3,0)*VLOOKUP('Données projet'!$B$12,Paramètres!$A$1:$I$89,5,0)</f>
        <v>153.82800000000006</v>
      </c>
      <c r="CA69" s="14">
        <f t="shared" ref="CA69:CA132" si="93">EXP(-1.0587+0.8836*LN(BZ69)+0.284)</f>
        <v>39.447232393745246</v>
      </c>
      <c r="CB69" s="22">
        <f t="shared" si="64"/>
        <v>336.62102975243971</v>
      </c>
      <c r="CC69" s="62">
        <f t="shared" si="65"/>
        <v>586.05634627723089</v>
      </c>
      <c r="CD69" s="62">
        <f ca="1">AVERAGE(OFFSET($CC$3,0,0,'Données projet'!$E$12+1,1))-AVERAGE(OFFSET($H$3,0,0,'Données projet'!$E$12+1,1))</f>
        <v>329.79342219561465</v>
      </c>
      <c r="CE69" s="62">
        <f t="shared" ref="CE69:CE132" si="94">$CE$3</f>
        <v>144.63206563329757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</v>
      </c>
      <c r="CT69" s="13">
        <f>IF('Données projet'!$A$140&gt;35,CT68+CS69-DB68,IF(A69&lt;'Données projet'!$A$140,$CQ$205^A69,IF(A69='Données projet'!$A$140,'Données projet'!$B$140,CT68+CS69-DB68)))</f>
        <v>494.60000000000008</v>
      </c>
      <c r="CU69" s="18">
        <f>CT69*VLOOKUP('Données projet'!$B$13,Paramètres!$A$1:$I$89,3,0)*VLOOKUP('Données projet'!$B$13,Paramètres!$A$1:$I$89,5,0)</f>
        <v>295.77080000000007</v>
      </c>
      <c r="CV69" s="14">
        <f t="shared" ref="CV69:CV132" si="95">EXP(-1.0587+0.8836*LN(CU69)+0.284)</f>
        <v>70.289129439104499</v>
      </c>
      <c r="CW69" s="22">
        <f t="shared" si="67"/>
        <v>637.55437710644048</v>
      </c>
      <c r="CX69" s="62">
        <f t="shared" si="68"/>
        <v>886.9896936312316</v>
      </c>
      <c r="CY69" s="62">
        <f ca="1">AVERAGE(OFFSET($CX$3,0,0,'Données projet'!$E$13+1,1))-AVERAGE(OFFSET($H$3,0,0,'Données projet'!$E$13+1,1))</f>
        <v>530.27599556821826</v>
      </c>
      <c r="CZ69" s="62">
        <f t="shared" ref="CZ69:CZ132" si="96">$CZ$3</f>
        <v>370.62231794492129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5.7387383436883452E-5</v>
      </c>
      <c r="DI69" s="24">
        <f t="shared" si="69"/>
        <v>5.7387383436883452E-5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244.61424000000005</v>
      </c>
      <c r="DQ69" s="14">
        <f t="shared" ref="DQ69:DQ132" si="97">EXP(-1.0587+0.8836*LN(DP69)+0.284)</f>
        <v>59.431203693842654</v>
      </c>
      <c r="DR69" s="22">
        <f t="shared" si="70"/>
        <v>529.54581443344262</v>
      </c>
      <c r="DS69" s="62">
        <f t="shared" si="71"/>
        <v>778.98113095823373</v>
      </c>
      <c r="DT69" s="62">
        <f ca="1">AVERAGE(OFFSET($DS$3,0,0,'Données projet'!$E$14+1,1))-AVERAGE(OFFSET($H$3,0,0,'Données projet'!$E$14+1,1))</f>
        <v>520.23742527061836</v>
      </c>
      <c r="DU69" s="62">
        <f t="shared" ref="DU69:DU132" si="98">$DU$3</f>
        <v>321.35925479331274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4.5999999999999996</v>
      </c>
      <c r="EJ69" s="13">
        <f>IF('Données projet'!$A$192&gt;35,EJ68+EI69-ER68,IF(A69&lt;'Données projet'!$A$192,$EG$205^A69,IF(A69='Données projet'!$A$192,'Données projet'!$B$192,EJ68+EI69-ER68)))</f>
        <v>208.59999999999997</v>
      </c>
      <c r="EK69" s="18">
        <f>EJ69*VLOOKUP('Données projet'!$B$15,Paramètres!$A$1:$I$89,3,0)*VLOOKUP('Données projet'!$B$15,Paramètres!$A$1:$I$89,5,0)</f>
        <v>218.02871999999996</v>
      </c>
      <c r="EL69" s="14">
        <f t="shared" ref="EL69:EL132" si="99">EXP(-1.0587+0.8836*LN(EK69)+0.284)</f>
        <v>53.686213571044199</v>
      </c>
      <c r="EM69" s="22">
        <f t="shared" si="73"/>
        <v>473.23684263623528</v>
      </c>
      <c r="EN69" s="62">
        <f t="shared" si="74"/>
        <v>722.67215916102646</v>
      </c>
      <c r="EO69" s="62">
        <f ca="1">AVERAGE(OFFSET($EN$3,0,0,'Données projet'!$E$15+1,1))-AVERAGE(OFFSET($H$3,0,0,'Données projet'!$E$15+1,1))</f>
        <v>435.44444011810265</v>
      </c>
      <c r="EP69" s="62">
        <f t="shared" ref="EP69:EP132" si="100">$EP$3</f>
        <v>447.15868732689762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8.1999999999999993</v>
      </c>
      <c r="FE69" s="13">
        <f>IF('Données projet'!$A$218&gt;35,FE68+FD69-FM68,IF(A69&lt;'Données projet'!$A$218,$FB$205^A69,IF(A69='Données projet'!$A$218,'Données projet'!$B$218,FE68+FD69-FM68)))</f>
        <v>269.2</v>
      </c>
      <c r="FF69" s="18">
        <f>FE69*VLOOKUP('Données projet'!$B$16,Paramètres!$A$1:$I$89,3,0)*VLOOKUP('Données projet'!$B$16,Paramètres!$A$1:$I$89,5,0)</f>
        <v>272.96879999999999</v>
      </c>
      <c r="FG69" s="14">
        <f t="shared" ref="FG69:FG132" si="101">EXP(-1.0587+0.8836*LN(FF69)+0.284)</f>
        <v>65.478922017818945</v>
      </c>
      <c r="FH69" s="22">
        <f t="shared" si="76"/>
        <v>589.46311584770126</v>
      </c>
      <c r="FI69" s="62">
        <f t="shared" si="77"/>
        <v>838.89843237249238</v>
      </c>
      <c r="FJ69" s="62">
        <f ca="1">AVERAGE(OFFSET($FI$3,0,0,'Données projet'!$E$16+1,1))-AVERAGE(OFFSET($H$3,0,0,'Données projet'!$E$16+1,1))</f>
        <v>547.89540791313675</v>
      </c>
      <c r="FK69" s="62">
        <f t="shared" ref="FK69:FK132" si="102">$FK$3</f>
        <v>345.19555189302378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>
        <f>VLOOKUP(A69,'Données projet'!$A$243:$I$263,2,0)</f>
        <v>483</v>
      </c>
      <c r="FX69" s="13">
        <f>VLOOKUP(A69,'Données projet'!$A$243:$I$263,9,0)</f>
        <v>16.625</v>
      </c>
      <c r="FY69" s="13">
        <f t="array" ref="FY69">INDEX(FX:FX,MIN(IF(ISNUMBER(FX69:FX265),ROW(FX69:FX265),"")))</f>
        <v>16.625</v>
      </c>
      <c r="FZ69" s="13">
        <f>IF('Données projet'!$A$244&gt;35,FZ68+FY69-GH68,IF(A69&lt;'Données projet'!$A$244,$FW$205^A69,IF(A69='Données projet'!$A$244,'Données projet'!$B$244,FZ68+FY69-GH68)))</f>
        <v>483.00000000000006</v>
      </c>
      <c r="GA69" s="18">
        <f>FZ69*VLOOKUP('Données projet'!$B$17,Paramètres!$A$1:$I$89,3,0)*VLOOKUP('Données projet'!$B$17,Paramètres!$A$1:$I$89,5,0)</f>
        <v>288.83400000000006</v>
      </c>
      <c r="GB69" s="14">
        <f t="shared" ref="GB69:GB132" si="103">EXP(-1.0587+0.8836*LN(GA69)+0.284)</f>
        <v>68.830498636563377</v>
      </c>
      <c r="GC69" s="22">
        <f t="shared" si="79"/>
        <v>622.932335125348</v>
      </c>
      <c r="GD69" s="62">
        <f t="shared" si="80"/>
        <v>872.36765165013912</v>
      </c>
      <c r="GE69" s="62">
        <f ca="1">AVERAGE(OFFSET($GD$3,0,0,'Données projet'!$E$17+1,1))-AVERAGE(OFFSET($H$3,0,0,'Données projet'!$E$17+1,1))</f>
        <v>409.68685886029164</v>
      </c>
      <c r="GF69" s="62">
        <f t="shared" ref="GF69:GF132" si="104">$GF$3</f>
        <v>330.8416508650887</v>
      </c>
      <c r="GG69" s="16">
        <f>IF(ISNA(VLOOKUP(A69,'Données projet'!$A$243:$I$263,3,0)),0,VLOOKUP(A69,'Données projet'!$A$243:$I$263,3,0))</f>
        <v>9</v>
      </c>
      <c r="GH69" s="16">
        <f>IF(ISNA(VLOOKUP(A69,'Données projet'!$A$243:$I$263,4,0)),0,VLOOKUP(A69,'Données projet'!$A$243:$I$263,4,0))</f>
        <v>65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9.8161201877590082E-5</v>
      </c>
      <c r="GO69" s="23">
        <f t="shared" si="81"/>
        <v>9.8161201877590082E-5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73.098184695482075</v>
      </c>
      <c r="T70" s="62">
        <f t="shared" si="88"/>
        <v>334.38551711782793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26.316257534336252</v>
      </c>
      <c r="AA70" s="23">
        <f>EXP(-LN(2)/25)*AA69+(1-EXP(-LN(2)/25))/(LN(2)/25)*Calculateur!V70*Calculateur!X70*VLOOKUP('Données projet'!$B$9,Paramètres!$A$1:$I$89,3,0)*0.475*44/12</f>
        <v>4.9265537709883267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31.24281130532458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70.520400819593021</v>
      </c>
      <c r="AO70" s="62">
        <f t="shared" si="90"/>
        <v>321.48616153644309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25.105386788891341</v>
      </c>
      <c r="AV70" s="23">
        <f>EXP(-LN(2)/25)*AV69+(1-EXP(-LN(2)/25))/(LN(2)/25)*Calculateur!AQ70*Calculateur!AS70*VLOOKUP('Données projet'!$B$10,Paramètres!$A$1:$I$89,3,0)*0.475*44/12</f>
        <v>4.6998718490103339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29.805258637901673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16.142857142857142</v>
      </c>
      <c r="BD70" s="13">
        <f>IF('Données projet'!$A$88&gt;35,BD69+BC70-BL69,IF(A70&lt;'Données projet'!$A$88,$BA$205^A70,IF(A70='Données projet'!$A$88,'Données projet'!$B$88,BD69+BC70-BL69)))</f>
        <v>401.4285714285715</v>
      </c>
      <c r="BE70" s="14">
        <f>BD70*VLOOKUP('Données projet'!$B$11,Paramètres!$A$1:$I$89,3,0)*VLOOKUP('Données projet'!$B$11,Paramètres!$A$1:$I$89,5,0)</f>
        <v>187.86857142857147</v>
      </c>
      <c r="BF70" s="14">
        <f t="shared" si="91"/>
        <v>47.068415303981318</v>
      </c>
      <c r="BG70" s="22">
        <f t="shared" si="61"/>
        <v>409.18191855919605</v>
      </c>
      <c r="BH70" s="62">
        <f t="shared" si="62"/>
        <v>659.37876753435239</v>
      </c>
      <c r="BI70" s="62">
        <f ca="1">AVERAGE(OFFSET($BH$3,0,0,'Données projet'!$E$11+1,1))-AVERAGE(OFFSET($H$3,0,0,'Données projet'!$E$11+1,1))</f>
        <v>374.62597460242665</v>
      </c>
      <c r="BJ70" s="62">
        <f t="shared" si="92"/>
        <v>277.50105097454616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>
        <f>VLOOKUP(A70,'Données projet'!$A$113:$I$133,2,0)</f>
        <v>337</v>
      </c>
      <c r="BW70" s="13">
        <f>VLOOKUP(A70,'Données projet'!$A$113:$I$133,9,0)</f>
        <v>8.3076923076923084</v>
      </c>
      <c r="BX70" s="13">
        <f t="array" ref="BX70">INDEX(BW:BW,MIN(IF(ISNUMBER(BW70:BW266),ROW(BW70:BW266),"")))</f>
        <v>8.3076923076923084</v>
      </c>
      <c r="BY70" s="13">
        <f>IF('Données projet'!$A$114&gt;35,BY69+BX70-CG69,IF(A70&lt;'Données projet'!$A$114,$BV$205^A70,IF(A70='Données projet'!$A$114,'Données projet'!$B$114,BY69+BX70-CG69)))</f>
        <v>337.00000000000017</v>
      </c>
      <c r="BZ70" s="14">
        <f>BY70*VLOOKUP('Données projet'!$B$12,Paramètres!$A$1:$I$89,3,0)*VLOOKUP('Données projet'!$B$12,Paramètres!$A$1:$I$89,5,0)</f>
        <v>157.71600000000007</v>
      </c>
      <c r="CA70" s="14">
        <f t="shared" si="93"/>
        <v>40.326922540698838</v>
      </c>
      <c r="CB70" s="22">
        <f t="shared" si="64"/>
        <v>344.92475675838386</v>
      </c>
      <c r="CC70" s="62">
        <f t="shared" si="65"/>
        <v>595.12160573354026</v>
      </c>
      <c r="CD70" s="62">
        <f ca="1">AVERAGE(OFFSET($CC$3,0,0,'Données projet'!$E$12+1,1))-AVERAGE(OFFSET($H$3,0,0,'Données projet'!$E$12+1,1))</f>
        <v>329.79342219561465</v>
      </c>
      <c r="CE70" s="62">
        <f t="shared" si="94"/>
        <v>144.63206563329757</v>
      </c>
      <c r="CF70" s="16">
        <f>IF(ISNA(VLOOKUP(A70,'Données projet'!$A$113:$I$133,3,0)),0,VLOOKUP(A70,'Données projet'!$A$113:$I$133,3,0))</f>
        <v>5</v>
      </c>
      <c r="CG70" s="16">
        <f>IF(ISNA(VLOOKUP(A70,'Données projet'!$A$113:$I$133,4,0)),0,VLOOKUP(A70,'Données projet'!$A$113:$I$133,4,0))</f>
        <v>122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</v>
      </c>
      <c r="CT70" s="13">
        <f>IF('Données projet'!$A$140&gt;35,CT69+CS70-DB69,IF(A70&lt;'Données projet'!$A$140,$CQ$205^A70,IF(A70='Données projet'!$A$140,'Données projet'!$B$140,CT69+CS70-DB69)))</f>
        <v>503.2000000000001</v>
      </c>
      <c r="CU70" s="18">
        <f>CT70*VLOOKUP('Données projet'!$B$13,Paramètres!$A$1:$I$89,3,0)*VLOOKUP('Données projet'!$B$13,Paramètres!$A$1:$I$89,5,0)</f>
        <v>300.91360000000009</v>
      </c>
      <c r="CV70" s="14">
        <f t="shared" si="95"/>
        <v>71.367955220159118</v>
      </c>
      <c r="CW70" s="22">
        <f t="shared" si="67"/>
        <v>648.39037534177726</v>
      </c>
      <c r="CX70" s="62">
        <f t="shared" si="68"/>
        <v>898.58722431693366</v>
      </c>
      <c r="CY70" s="62">
        <f ca="1">AVERAGE(OFFSET($CX$3,0,0,'Données projet'!$E$13+1,1))-AVERAGE(OFFSET($H$3,0,0,'Données projet'!$E$13+1,1))</f>
        <v>530.27599556821826</v>
      </c>
      <c r="CZ70" s="62">
        <f t="shared" si="96"/>
        <v>370.62231794492129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4.0579007982772848E-5</v>
      </c>
      <c r="DI70" s="24">
        <f t="shared" si="69"/>
        <v>4.0579007982772848E-5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252.35808000000006</v>
      </c>
      <c r="DQ70" s="14">
        <f t="shared" si="97"/>
        <v>61.09061196544927</v>
      </c>
      <c r="DR70" s="22">
        <f t="shared" si="70"/>
        <v>545.92313850649077</v>
      </c>
      <c r="DS70" s="62">
        <f t="shared" si="71"/>
        <v>796.11998748164717</v>
      </c>
      <c r="DT70" s="62">
        <f ca="1">AVERAGE(OFFSET($DS$3,0,0,'Données projet'!$E$14+1,1))-AVERAGE(OFFSET($H$3,0,0,'Données projet'!$E$14+1,1))</f>
        <v>520.23742527061836</v>
      </c>
      <c r="DU70" s="62">
        <f t="shared" si="98"/>
        <v>321.35925479331274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4.5999999999999996</v>
      </c>
      <c r="EJ70" s="13">
        <f>IF('Données projet'!$A$192&gt;35,EJ69+EI70-ER69,IF(A70&lt;'Données projet'!$A$192,$EG$205^A70,IF(A70='Données projet'!$A$192,'Données projet'!$B$192,EJ69+EI70-ER69)))</f>
        <v>213.19999999999996</v>
      </c>
      <c r="EK70" s="18">
        <f>EJ70*VLOOKUP('Données projet'!$B$15,Paramètres!$A$1:$I$89,3,0)*VLOOKUP('Données projet'!$B$15,Paramètres!$A$1:$I$89,5,0)</f>
        <v>222.83663999999999</v>
      </c>
      <c r="EL70" s="14">
        <f t="shared" si="99"/>
        <v>54.730954957867816</v>
      </c>
      <c r="EM70" s="22">
        <f t="shared" si="73"/>
        <v>483.43022788495313</v>
      </c>
      <c r="EN70" s="62">
        <f t="shared" si="74"/>
        <v>733.62707686010947</v>
      </c>
      <c r="EO70" s="62">
        <f ca="1">AVERAGE(OFFSET($EN$3,0,0,'Données projet'!$E$15+1,1))-AVERAGE(OFFSET($H$3,0,0,'Données projet'!$E$15+1,1))</f>
        <v>435.44444011810265</v>
      </c>
      <c r="EP70" s="62">
        <f t="shared" si="100"/>
        <v>447.15868732689762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8.1999999999999993</v>
      </c>
      <c r="FE70" s="13">
        <f>IF('Données projet'!$A$218&gt;35,FE69+FD70-FM69,IF(A70&lt;'Données projet'!$A$218,$FB$205^A70,IF(A70='Données projet'!$A$218,'Données projet'!$B$218,FE69+FD70-FM69)))</f>
        <v>277.39999999999998</v>
      </c>
      <c r="FF70" s="18">
        <f>FE70*VLOOKUP('Données projet'!$B$16,Paramètres!$A$1:$I$89,3,0)*VLOOKUP('Données projet'!$B$16,Paramètres!$A$1:$I$89,5,0)</f>
        <v>281.28360000000004</v>
      </c>
      <c r="FG70" s="14">
        <f t="shared" si="101"/>
        <v>67.238198209347928</v>
      </c>
      <c r="FH70" s="22">
        <f t="shared" si="76"/>
        <v>607.00879854794766</v>
      </c>
      <c r="FI70" s="62">
        <f t="shared" si="77"/>
        <v>857.20564752310406</v>
      </c>
      <c r="FJ70" s="62">
        <f ca="1">AVERAGE(OFFSET($FI$3,0,0,'Données projet'!$E$16+1,1))-AVERAGE(OFFSET($H$3,0,0,'Données projet'!$E$16+1,1))</f>
        <v>547.89540791313675</v>
      </c>
      <c r="FK70" s="62">
        <f t="shared" si="102"/>
        <v>345.19555189302378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12.875</v>
      </c>
      <c r="FZ70" s="13">
        <f>IF('Données projet'!$A$244&gt;35,FZ69+FY70-GH69,IF(A70&lt;'Données projet'!$A$244,$FW$205^A70,IF(A70='Données projet'!$A$244,'Données projet'!$B$244,FZ69+FY70-GH69)))</f>
        <v>430.87500000000006</v>
      </c>
      <c r="GA70" s="18">
        <f>FZ70*VLOOKUP('Données projet'!$B$17,Paramètres!$A$1:$I$89,3,0)*VLOOKUP('Données projet'!$B$17,Paramètres!$A$1:$I$89,5,0)</f>
        <v>257.66325000000006</v>
      </c>
      <c r="GB70" s="14">
        <f t="shared" si="103"/>
        <v>62.224015868041043</v>
      </c>
      <c r="GC70" s="22">
        <f t="shared" si="79"/>
        <v>557.13698805350487</v>
      </c>
      <c r="GD70" s="62">
        <f t="shared" si="80"/>
        <v>807.33383702866126</v>
      </c>
      <c r="GE70" s="62">
        <f ca="1">AVERAGE(OFFSET($GD$3,0,0,'Données projet'!$E$17+1,1))-AVERAGE(OFFSET($H$3,0,0,'Données projet'!$E$17+1,1))</f>
        <v>409.68685886029164</v>
      </c>
      <c r="GF70" s="62">
        <f t="shared" si="104"/>
        <v>330.8416508650887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6.9410451497065606E-5</v>
      </c>
      <c r="GO70" s="23">
        <f t="shared" si="81"/>
        <v>6.9410451497065606E-5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73.098184695482075</v>
      </c>
      <c r="T71" s="62">
        <f t="shared" si="88"/>
        <v>334.38551711782793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25.800211775420077</v>
      </c>
      <c r="AA71" s="23">
        <f>EXP(-LN(2)/25)*AA70+(1-EXP(-LN(2)/25))/(LN(2)/25)*Calculateur!V71*Calculateur!X71*VLOOKUP('Données projet'!$B$9,Paramètres!$A$1:$I$89,3,0)*0.475*44/12</f>
        <v>4.7918368990444478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30.592048674464525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70.520400819593021</v>
      </c>
      <c r="AO71" s="62">
        <f t="shared" si="90"/>
        <v>321.48616153644309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24.613085466735111</v>
      </c>
      <c r="AV71" s="23">
        <f>EXP(-LN(2)/25)*AV70+(1-EXP(-LN(2)/25))/(LN(2)/25)*Calculateur!AQ71*Calculateur!AS71*VLOOKUP('Données projet'!$B$10,Paramètres!$A$1:$I$89,3,0)*0.475*44/12</f>
        <v>4.571353606143628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29.184439072878739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16.142857142857142</v>
      </c>
      <c r="BD71" s="13">
        <f>IF('Données projet'!$A$88&gt;35,BD70+BC71-BL70,IF(A71&lt;'Données projet'!$A$88,$BA$205^A71,IF(A71='Données projet'!$A$88,'Données projet'!$B$88,BD70+BC71-BL70)))</f>
        <v>417.57142857142867</v>
      </c>
      <c r="BE71" s="14">
        <f>BD71*VLOOKUP('Données projet'!$B$11,Paramètres!$A$1:$I$89,3,0)*VLOOKUP('Données projet'!$B$11,Paramètres!$A$1:$I$89,5,0)</f>
        <v>195.42342857142864</v>
      </c>
      <c r="BF71" s="14">
        <f t="shared" si="91"/>
        <v>48.737024802067147</v>
      </c>
      <c r="BG71" s="22">
        <f t="shared" si="61"/>
        <v>425.24612295883844</v>
      </c>
      <c r="BH71" s="62">
        <f t="shared" si="62"/>
        <v>676.1912934988776</v>
      </c>
      <c r="BI71" s="62">
        <f ca="1">AVERAGE(OFFSET($BH$3,0,0,'Données projet'!$E$11+1,1))-AVERAGE(OFFSET($H$3,0,0,'Données projet'!$E$11+1,1))</f>
        <v>374.62597460242665</v>
      </c>
      <c r="BJ71" s="62">
        <f t="shared" si="92"/>
        <v>277.50105097454616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</v>
      </c>
      <c r="BY71" s="13">
        <f>IF('Données projet'!$A$114&gt;35,BY70+BX71-CG70,IF(A71&lt;'Données projet'!$A$114,$BV$205^A71,IF(A71='Données projet'!$A$114,'Données projet'!$B$114,BY70+BX71-CG70)))</f>
        <v>222.00000000000017</v>
      </c>
      <c r="BZ71" s="14">
        <f>BY71*VLOOKUP('Données projet'!$B$12,Paramètres!$A$1:$I$89,3,0)*VLOOKUP('Données projet'!$B$12,Paramètres!$A$1:$I$89,5,0)</f>
        <v>103.89600000000009</v>
      </c>
      <c r="CA71" s="14">
        <f t="shared" si="93"/>
        <v>27.888091127225824</v>
      </c>
      <c r="CB71" s="22">
        <f t="shared" si="64"/>
        <v>229.52395871325177</v>
      </c>
      <c r="CC71" s="62">
        <f t="shared" si="65"/>
        <v>480.46912925329093</v>
      </c>
      <c r="CD71" s="62">
        <f ca="1">AVERAGE(OFFSET($CC$3,0,0,'Données projet'!$E$12+1,1))-AVERAGE(OFFSET($H$3,0,0,'Données projet'!$E$12+1,1))</f>
        <v>329.79342219561465</v>
      </c>
      <c r="CE71" s="62">
        <f t="shared" si="94"/>
        <v>144.63206563329757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</v>
      </c>
      <c r="CT71" s="13">
        <f>IF('Données projet'!$A$140&gt;35,CT70+CS71-DB70,IF(A71&lt;'Données projet'!$A$140,$CQ$205^A71,IF(A71='Données projet'!$A$140,'Données projet'!$B$140,CT70+CS71-DB70)))</f>
        <v>511.80000000000013</v>
      </c>
      <c r="CU71" s="18">
        <f>CT71*VLOOKUP('Données projet'!$B$13,Paramètres!$A$1:$I$89,3,0)*VLOOKUP('Données projet'!$B$13,Paramètres!$A$1:$I$89,5,0)</f>
        <v>306.05640000000005</v>
      </c>
      <c r="CV71" s="14">
        <f t="shared" si="95"/>
        <v>72.444636864080792</v>
      </c>
      <c r="CW71" s="22">
        <f t="shared" si="67"/>
        <v>659.22263920494072</v>
      </c>
      <c r="CX71" s="62">
        <f t="shared" si="68"/>
        <v>910.16780974497988</v>
      </c>
      <c r="CY71" s="62">
        <f ca="1">AVERAGE(OFFSET($CX$3,0,0,'Données projet'!$E$13+1,1))-AVERAGE(OFFSET($H$3,0,0,'Données projet'!$E$13+1,1))</f>
        <v>530.27599556821826</v>
      </c>
      <c r="CZ71" s="62">
        <f t="shared" si="96"/>
        <v>370.62231794492129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2.8693691718441726E-5</v>
      </c>
      <c r="DI71" s="24">
        <f t="shared" si="69"/>
        <v>2.8693691718441726E-5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260.10192000000006</v>
      </c>
      <c r="DQ71" s="14">
        <f t="shared" si="97"/>
        <v>62.74410268590654</v>
      </c>
      <c r="DR71" s="22">
        <f t="shared" si="70"/>
        <v>562.29015617795403</v>
      </c>
      <c r="DS71" s="62">
        <f t="shared" si="71"/>
        <v>813.23532671799319</v>
      </c>
      <c r="DT71" s="62">
        <f ca="1">AVERAGE(OFFSET($DS$3,0,0,'Données projet'!$E$14+1,1))-AVERAGE(OFFSET($H$3,0,0,'Données projet'!$E$14+1,1))</f>
        <v>520.23742527061836</v>
      </c>
      <c r="DU71" s="62">
        <f t="shared" si="98"/>
        <v>321.35925479331274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4.5999999999999996</v>
      </c>
      <c r="EJ71" s="13">
        <f>IF('Données projet'!$A$192&gt;35,EJ70+EI71-ER70,IF(A71&lt;'Données projet'!$A$192,$EG$205^A71,IF(A71='Données projet'!$A$192,'Données projet'!$B$192,EJ70+EI71-ER70)))</f>
        <v>217.79999999999995</v>
      </c>
      <c r="EK71" s="18">
        <f>EJ71*VLOOKUP('Données projet'!$B$15,Paramètres!$A$1:$I$89,3,0)*VLOOKUP('Données projet'!$B$15,Paramètres!$A$1:$I$89,5,0)</f>
        <v>227.64455999999998</v>
      </c>
      <c r="EL71" s="14">
        <f t="shared" si="99"/>
        <v>55.773075611618694</v>
      </c>
      <c r="EM71" s="22">
        <f t="shared" si="73"/>
        <v>493.61904869023584</v>
      </c>
      <c r="EN71" s="62">
        <f t="shared" si="74"/>
        <v>744.56421923027506</v>
      </c>
      <c r="EO71" s="62">
        <f ca="1">AVERAGE(OFFSET($EN$3,0,0,'Données projet'!$E$15+1,1))-AVERAGE(OFFSET($H$3,0,0,'Données projet'!$E$15+1,1))</f>
        <v>435.44444011810265</v>
      </c>
      <c r="EP71" s="62">
        <f t="shared" si="100"/>
        <v>447.15868732689762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8.1999999999999993</v>
      </c>
      <c r="FE71" s="13">
        <f>IF('Données projet'!$A$218&gt;35,FE70+FD71-FM70,IF(A71&lt;'Données projet'!$A$218,$FB$205^A71,IF(A71='Données projet'!$A$218,'Données projet'!$B$218,FE70+FD71-FM70)))</f>
        <v>285.59999999999997</v>
      </c>
      <c r="FF71" s="18">
        <f>FE71*VLOOKUP('Données projet'!$B$16,Paramètres!$A$1:$I$89,3,0)*VLOOKUP('Données projet'!$B$16,Paramètres!$A$1:$I$89,5,0)</f>
        <v>289.59839999999997</v>
      </c>
      <c r="FG71" s="14">
        <f t="shared" si="101"/>
        <v>68.991430542388798</v>
      </c>
      <c r="FH71" s="22">
        <f t="shared" si="76"/>
        <v>624.54395486132705</v>
      </c>
      <c r="FI71" s="62">
        <f t="shared" si="77"/>
        <v>875.48912540136621</v>
      </c>
      <c r="FJ71" s="62">
        <f ca="1">AVERAGE(OFFSET($FI$3,0,0,'Données projet'!$E$16+1,1))-AVERAGE(OFFSET($H$3,0,0,'Données projet'!$E$16+1,1))</f>
        <v>547.89540791313675</v>
      </c>
      <c r="FK71" s="62">
        <f t="shared" si="102"/>
        <v>345.19555189302378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12.875</v>
      </c>
      <c r="FZ71" s="13">
        <f>IF('Données projet'!$A$244&gt;35,FZ70+FY71-GH70,IF(A71&lt;'Données projet'!$A$244,$FW$205^A71,IF(A71='Données projet'!$A$244,'Données projet'!$B$244,FZ70+FY71-GH70)))</f>
        <v>443.75000000000006</v>
      </c>
      <c r="GA71" s="18">
        <f>FZ71*VLOOKUP('Données projet'!$B$17,Paramètres!$A$1:$I$89,3,0)*VLOOKUP('Données projet'!$B$17,Paramètres!$A$1:$I$89,5,0)</f>
        <v>265.36250000000007</v>
      </c>
      <c r="GB71" s="14">
        <f t="shared" si="103"/>
        <v>63.864084559847946</v>
      </c>
      <c r="GC71" s="22">
        <f t="shared" si="79"/>
        <v>573.40296810840198</v>
      </c>
      <c r="GD71" s="62">
        <f t="shared" si="80"/>
        <v>824.34813864844114</v>
      </c>
      <c r="GE71" s="62">
        <f ca="1">AVERAGE(OFFSET($GD$3,0,0,'Données projet'!$E$17+1,1))-AVERAGE(OFFSET($H$3,0,0,'Données projet'!$E$17+1,1))</f>
        <v>409.68685886029164</v>
      </c>
      <c r="GF71" s="62">
        <f t="shared" si="104"/>
        <v>330.8416508650887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4.9080600938795041E-5</v>
      </c>
      <c r="GO71" s="23">
        <f t="shared" si="81"/>
        <v>4.9080600938795041E-5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73.098184695482075</v>
      </c>
      <c r="T72" s="62">
        <f t="shared" si="88"/>
        <v>334.38551711782793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25.294285359079414</v>
      </c>
      <c r="AA72" s="23">
        <f>EXP(-LN(2)/25)*AA71+(1-EXP(-LN(2)/25))/(LN(2)/25)*Calculateur!V72*Calculateur!X72*VLOOKUP('Données projet'!$B$9,Paramètres!$A$1:$I$89,3,0)*0.475*44/12</f>
        <v>4.6608038670483269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29.95508922612774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70.520400819593021</v>
      </c>
      <c r="AO72" s="62">
        <f t="shared" si="90"/>
        <v>321.48616153644309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24.130437873232207</v>
      </c>
      <c r="AV72" s="23">
        <f>EXP(-LN(2)/25)*AV71+(1-EXP(-LN(2)/25))/(LN(2)/25)*Calculateur!AQ72*Calculateur!AS72*VLOOKUP('Données projet'!$B$10,Paramètres!$A$1:$I$89,3,0)*0.475*44/12</f>
        <v>4.446349701386592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28.576787574618798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16.142857142857142</v>
      </c>
      <c r="BD72" s="13">
        <f>IF('Données projet'!$A$88&gt;35,BD71+BC72-BL71,IF(A72&lt;'Données projet'!$A$88,$BA$205^A72,IF(A72='Données projet'!$A$88,'Données projet'!$B$88,BD71+BC72-BL71)))</f>
        <v>433.71428571428584</v>
      </c>
      <c r="BE72" s="14">
        <f>BD72*VLOOKUP('Données projet'!$B$11,Paramètres!$A$1:$I$89,3,0)*VLOOKUP('Données projet'!$B$11,Paramètres!$A$1:$I$89,5,0)</f>
        <v>202.97828571428576</v>
      </c>
      <c r="BF72" s="14">
        <f t="shared" si="91"/>
        <v>50.398140625785402</v>
      </c>
      <c r="BG72" s="22">
        <f t="shared" si="61"/>
        <v>441.29727587562394</v>
      </c>
      <c r="BH72" s="62">
        <f t="shared" si="62"/>
        <v>692.97778627439175</v>
      </c>
      <c r="BI72" s="62">
        <f ca="1">AVERAGE(OFFSET($BH$3,0,0,'Données projet'!$E$11+1,1))-AVERAGE(OFFSET($H$3,0,0,'Données projet'!$E$11+1,1))</f>
        <v>374.62597460242665</v>
      </c>
      <c r="BJ72" s="62">
        <f t="shared" si="92"/>
        <v>277.50105097454616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</v>
      </c>
      <c r="BY72" s="13">
        <f>IF('Données projet'!$A$114&gt;35,BY71+BX72-CG71,IF(A72&lt;'Données projet'!$A$114,$BV$205^A72,IF(A72='Données projet'!$A$114,'Données projet'!$B$114,BY71+BX72-CG71)))</f>
        <v>229.00000000000017</v>
      </c>
      <c r="BZ72" s="14">
        <f>BY72*VLOOKUP('Données projet'!$B$12,Paramètres!$A$1:$I$89,3,0)*VLOOKUP('Données projet'!$B$12,Paramètres!$A$1:$I$89,5,0)</f>
        <v>107.17200000000007</v>
      </c>
      <c r="CA72" s="14">
        <f t="shared" si="93"/>
        <v>28.663679082578813</v>
      </c>
      <c r="CB72" s="22">
        <f t="shared" si="64"/>
        <v>236.58047440215819</v>
      </c>
      <c r="CC72" s="62">
        <f t="shared" si="65"/>
        <v>488.26098480092605</v>
      </c>
      <c r="CD72" s="62">
        <f ca="1">AVERAGE(OFFSET($CC$3,0,0,'Données projet'!$E$12+1,1))-AVERAGE(OFFSET($H$3,0,0,'Données projet'!$E$12+1,1))</f>
        <v>329.79342219561465</v>
      </c>
      <c r="CE72" s="62">
        <f t="shared" si="94"/>
        <v>144.63206563329757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8.6</v>
      </c>
      <c r="CT72" s="13">
        <f>IF('Données projet'!$A$140&gt;35,CT71+CS72-DB71,IF(A72&lt;'Données projet'!$A$140,$CQ$205^A72,IF(A72='Données projet'!$A$140,'Données projet'!$B$140,CT71+CS72-DB71)))</f>
        <v>520.40000000000009</v>
      </c>
      <c r="CU72" s="18">
        <f>CT72*VLOOKUP('Données projet'!$B$13,Paramètres!$A$1:$I$89,3,0)*VLOOKUP('Données projet'!$B$13,Paramètres!$A$1:$I$89,5,0)</f>
        <v>311.19920000000008</v>
      </c>
      <c r="CV72" s="14">
        <f t="shared" si="95"/>
        <v>73.519214558008628</v>
      </c>
      <c r="CW72" s="22">
        <f t="shared" si="67"/>
        <v>670.05123868853173</v>
      </c>
      <c r="CX72" s="62">
        <f t="shared" si="68"/>
        <v>921.73174908729959</v>
      </c>
      <c r="CY72" s="62">
        <f ca="1">AVERAGE(OFFSET($CX$3,0,0,'Données projet'!$E$13+1,1))-AVERAGE(OFFSET($H$3,0,0,'Données projet'!$E$13+1,1))</f>
        <v>530.27599556821826</v>
      </c>
      <c r="CZ72" s="62">
        <f t="shared" si="96"/>
        <v>370.62231794492129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2.0289503991386424E-5</v>
      </c>
      <c r="DI72" s="24">
        <f t="shared" si="69"/>
        <v>2.0289503991386424E-5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267.8457600000001</v>
      </c>
      <c r="DQ72" s="14">
        <f t="shared" si="97"/>
        <v>64.391872260181529</v>
      </c>
      <c r="DR72" s="22">
        <f t="shared" si="70"/>
        <v>578.64720951981633</v>
      </c>
      <c r="DS72" s="62">
        <f t="shared" si="71"/>
        <v>830.32771991858419</v>
      </c>
      <c r="DT72" s="62">
        <f ca="1">AVERAGE(OFFSET($DS$3,0,0,'Données projet'!$E$14+1,1))-AVERAGE(OFFSET($H$3,0,0,'Données projet'!$E$14+1,1))</f>
        <v>520.23742527061836</v>
      </c>
      <c r="DU72" s="62">
        <f t="shared" si="98"/>
        <v>321.35925479331274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4.5999999999999996</v>
      </c>
      <c r="EJ72" s="13">
        <f>IF('Données projet'!$A$192&gt;35,EJ71+EI72-ER71,IF(A72&lt;'Données projet'!$A$192,$EG$205^A72,IF(A72='Données projet'!$A$192,'Données projet'!$B$192,EJ71+EI72-ER71)))</f>
        <v>222.39999999999995</v>
      </c>
      <c r="EK72" s="18">
        <f>EJ72*VLOOKUP('Données projet'!$B$15,Paramètres!$A$1:$I$89,3,0)*VLOOKUP('Données projet'!$B$15,Paramètres!$A$1:$I$89,5,0)</f>
        <v>232.45247999999998</v>
      </c>
      <c r="EL72" s="14">
        <f t="shared" si="99"/>
        <v>56.812637259137787</v>
      </c>
      <c r="EM72" s="22">
        <f t="shared" si="73"/>
        <v>503.80341255966488</v>
      </c>
      <c r="EN72" s="62">
        <f t="shared" si="74"/>
        <v>755.48392295843269</v>
      </c>
      <c r="EO72" s="62">
        <f ca="1">AVERAGE(OFFSET($EN$3,0,0,'Données projet'!$E$15+1,1))-AVERAGE(OFFSET($H$3,0,0,'Données projet'!$E$15+1,1))</f>
        <v>435.44444011810265</v>
      </c>
      <c r="EP72" s="62">
        <f t="shared" si="100"/>
        <v>447.15868732689762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8.1999999999999993</v>
      </c>
      <c r="FE72" s="13">
        <f>IF('Données projet'!$A$218&gt;35,FE71+FD72-FM71,IF(A72&lt;'Données projet'!$A$218,$FB$205^A72,IF(A72='Données projet'!$A$218,'Données projet'!$B$218,FE71+FD72-FM71)))</f>
        <v>293.79999999999995</v>
      </c>
      <c r="FF72" s="18">
        <f>FE72*VLOOKUP('Données projet'!$B$16,Paramètres!$A$1:$I$89,3,0)*VLOOKUP('Données projet'!$B$16,Paramètres!$A$1:$I$89,5,0)</f>
        <v>297.91319999999996</v>
      </c>
      <c r="FG72" s="14">
        <f t="shared" si="101"/>
        <v>70.73881247427552</v>
      </c>
      <c r="FH72" s="22">
        <f t="shared" si="76"/>
        <v>642.06892172602977</v>
      </c>
      <c r="FI72" s="62">
        <f t="shared" si="77"/>
        <v>893.74943212479764</v>
      </c>
      <c r="FJ72" s="62">
        <f ca="1">AVERAGE(OFFSET($FI$3,0,0,'Données projet'!$E$16+1,1))-AVERAGE(OFFSET($H$3,0,0,'Données projet'!$E$16+1,1))</f>
        <v>547.89540791313675</v>
      </c>
      <c r="FK72" s="62">
        <f t="shared" si="102"/>
        <v>345.19555189302378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12.875</v>
      </c>
      <c r="FZ72" s="13">
        <f>IF('Données projet'!$A$244&gt;35,FZ71+FY72-GH71,IF(A72&lt;'Données projet'!$A$244,$FW$205^A72,IF(A72='Données projet'!$A$244,'Données projet'!$B$244,FZ71+FY72-GH71)))</f>
        <v>456.62500000000006</v>
      </c>
      <c r="GA72" s="18">
        <f>FZ72*VLOOKUP('Données projet'!$B$17,Paramètres!$A$1:$I$89,3,0)*VLOOKUP('Données projet'!$B$17,Paramètres!$A$1:$I$89,5,0)</f>
        <v>273.06175000000007</v>
      </c>
      <c r="GB72" s="14">
        <f t="shared" si="103"/>
        <v>65.49862286970442</v>
      </c>
      <c r="GC72" s="22">
        <f t="shared" si="79"/>
        <v>589.65931608140193</v>
      </c>
      <c r="GD72" s="62">
        <f t="shared" si="80"/>
        <v>841.33982648016979</v>
      </c>
      <c r="GE72" s="62">
        <f ca="1">AVERAGE(OFFSET($GD$3,0,0,'Données projet'!$E$17+1,1))-AVERAGE(OFFSET($H$3,0,0,'Données projet'!$E$17+1,1))</f>
        <v>409.68685886029164</v>
      </c>
      <c r="GF72" s="62">
        <f t="shared" si="104"/>
        <v>330.8416508650887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3.4705225748532803E-5</v>
      </c>
      <c r="GO72" s="23">
        <f t="shared" si="81"/>
        <v>3.4705225748532803E-5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73.098184695482075</v>
      </c>
      <c r="T73" s="62">
        <f t="shared" si="88"/>
        <v>334.38551711782793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24.798279851178549</v>
      </c>
      <c r="AA73" s="23">
        <f>EXP(-LN(2)/25)*AA72+(1-EXP(-LN(2)/25))/(LN(2)/25)*Calculateur!V73*Calculateur!X73*VLOOKUP('Données projet'!$B$9,Paramètres!$A$1:$I$89,3,0)*0.475*44/12</f>
        <v>4.5333539402028675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29.331633791381417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70.520400819593021</v>
      </c>
      <c r="AO73" s="62">
        <f t="shared" si="90"/>
        <v>321.48616153644309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23.657254704651933</v>
      </c>
      <c r="AV73" s="23">
        <f>EXP(-LN(2)/25)*AV72+(1-EXP(-LN(2)/25))/(LN(2)/25)*Calculateur!AQ73*Calculateur!AS73*VLOOKUP('Données projet'!$B$10,Paramètres!$A$1:$I$89,3,0)*0.475*44/12</f>
        <v>4.3247640349788075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27.982018739630739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16.142857142857142</v>
      </c>
      <c r="BD73" s="13">
        <f>IF('Données projet'!$A$88&gt;35,BD72+BC73-BL72,IF(A73&lt;'Données projet'!$A$88,$BA$205^A73,IF(A73='Données projet'!$A$88,'Données projet'!$B$88,BD72+BC73-BL72)))</f>
        <v>449.857142857143</v>
      </c>
      <c r="BE73" s="14">
        <f>BD73*VLOOKUP('Données projet'!$B$11,Paramètres!$A$1:$I$89,3,0)*VLOOKUP('Données projet'!$B$11,Paramètres!$A$1:$I$89,5,0)</f>
        <v>210.53314285714293</v>
      </c>
      <c r="BF73" s="14">
        <f t="shared" si="91"/>
        <v>52.052073628089957</v>
      </c>
      <c r="BG73" s="22">
        <f t="shared" si="61"/>
        <v>457.33591871178055</v>
      </c>
      <c r="BH73" s="62">
        <f t="shared" si="62"/>
        <v>709.73901246670164</v>
      </c>
      <c r="BI73" s="62">
        <f ca="1">AVERAGE(OFFSET($BH$3,0,0,'Données projet'!$E$11+1,1))-AVERAGE(OFFSET($H$3,0,0,'Données projet'!$E$11+1,1))</f>
        <v>374.62597460242665</v>
      </c>
      <c r="BJ73" s="62">
        <f t="shared" si="92"/>
        <v>277.50105097454616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7</v>
      </c>
      <c r="BY73" s="13">
        <f>IF('Données projet'!$A$114&gt;35,BY72+BX73-CG72,IF(A73&lt;'Données projet'!$A$114,$BV$205^A73,IF(A73='Données projet'!$A$114,'Données projet'!$B$114,BY72+BX73-CG72)))</f>
        <v>236.00000000000017</v>
      </c>
      <c r="BZ73" s="14">
        <f>BY73*VLOOKUP('Données projet'!$B$12,Paramètres!$A$1:$I$89,3,0)*VLOOKUP('Données projet'!$B$12,Paramètres!$A$1:$I$89,5,0)</f>
        <v>110.44800000000009</v>
      </c>
      <c r="CA73" s="14">
        <f t="shared" si="93"/>
        <v>29.43651188531959</v>
      </c>
      <c r="CB73" s="22">
        <f t="shared" si="64"/>
        <v>243.63219153359842</v>
      </c>
      <c r="CC73" s="62">
        <f t="shared" si="65"/>
        <v>496.0352852885195</v>
      </c>
      <c r="CD73" s="62">
        <f ca="1">AVERAGE(OFFSET($CC$3,0,0,'Données projet'!$E$12+1,1))-AVERAGE(OFFSET($H$3,0,0,'Données projet'!$E$12+1,1))</f>
        <v>329.79342219561465</v>
      </c>
      <c r="CE73" s="62">
        <f t="shared" si="94"/>
        <v>144.63206563329757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529</v>
      </c>
      <c r="CR73" s="13">
        <f>VLOOKUP(A73,'Données projet'!$A$139:$I$159,9,0)</f>
        <v>8.6</v>
      </c>
      <c r="CS73" s="13">
        <f t="array" ref="CS73">INDEX(CR:CR,MIN(IF(ISNUMBER(CR73:CR269),ROW(CR73:CR269),"")))</f>
        <v>8.6</v>
      </c>
      <c r="CT73" s="13">
        <f>IF('Données projet'!$A$140&gt;35,CT72+CS73-DB72,IF(A73&lt;'Données projet'!$A$140,$CQ$205^A73,IF(A73='Données projet'!$A$140,'Données projet'!$B$140,CT72+CS73-DB72)))</f>
        <v>529.00000000000011</v>
      </c>
      <c r="CU73" s="18">
        <f>CT73*VLOOKUP('Données projet'!$B$13,Paramètres!$A$1:$I$89,3,0)*VLOOKUP('Données projet'!$B$13,Paramètres!$A$1:$I$89,5,0)</f>
        <v>316.3420000000001</v>
      </c>
      <c r="CV73" s="14">
        <f t="shared" si="95"/>
        <v>74.591727084692678</v>
      </c>
      <c r="CW73" s="22">
        <f t="shared" si="67"/>
        <v>680.87624133917325</v>
      </c>
      <c r="CX73" s="62">
        <f t="shared" si="68"/>
        <v>933.27933509409434</v>
      </c>
      <c r="CY73" s="62">
        <f ca="1">AVERAGE(OFFSET($CX$3,0,0,'Données projet'!$E$13+1,1))-AVERAGE(OFFSET($H$3,0,0,'Données projet'!$E$13+1,1))</f>
        <v>530.27599556821826</v>
      </c>
      <c r="CZ73" s="62">
        <f t="shared" si="96"/>
        <v>370.62231794492129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39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1.4346845859220863E-5</v>
      </c>
      <c r="DI73" s="24">
        <f t="shared" si="69"/>
        <v>1.4346845859220863E-5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275.58960000000008</v>
      </c>
      <c r="DQ73" s="14">
        <f t="shared" si="97"/>
        <v>66.034105090666486</v>
      </c>
      <c r="DR73" s="22">
        <f t="shared" si="70"/>
        <v>594.99461969957758</v>
      </c>
      <c r="DS73" s="62">
        <f t="shared" si="71"/>
        <v>847.39771345449867</v>
      </c>
      <c r="DT73" s="62">
        <f ca="1">AVERAGE(OFFSET($DS$3,0,0,'Données projet'!$E$14+1,1))-AVERAGE(OFFSET($H$3,0,0,'Données projet'!$E$14+1,1))</f>
        <v>520.23742527061836</v>
      </c>
      <c r="DU73" s="62">
        <f t="shared" si="98"/>
        <v>321.35925479331274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227</v>
      </c>
      <c r="EH73" s="13">
        <f>VLOOKUP(A73,'Données projet'!$A$191:$I$211,9,0)</f>
        <v>4.5999999999999996</v>
      </c>
      <c r="EI73" s="13">
        <f t="array" ref="EI73">INDEX(EH:EH,MIN(IF(ISNUMBER(EH73:EH269),ROW(EH73:EH269),"")))</f>
        <v>4.5999999999999996</v>
      </c>
      <c r="EJ73" s="13">
        <f>IF('Données projet'!$A$192&gt;35,EJ72+EI73-ER72,IF(A73&lt;'Données projet'!$A$192,$EG$205^A73,IF(A73='Données projet'!$A$192,'Données projet'!$B$192,EJ72+EI73-ER72)))</f>
        <v>226.99999999999994</v>
      </c>
      <c r="EK73" s="18">
        <f>EJ73*VLOOKUP('Données projet'!$B$15,Paramètres!$A$1:$I$89,3,0)*VLOOKUP('Données projet'!$B$15,Paramètres!$A$1:$I$89,5,0)</f>
        <v>237.26039999999998</v>
      </c>
      <c r="EL73" s="14">
        <f t="shared" si="99"/>
        <v>57.849698927879167</v>
      </c>
      <c r="EM73" s="22">
        <f t="shared" si="73"/>
        <v>513.98342229938953</v>
      </c>
      <c r="EN73" s="62">
        <f t="shared" si="74"/>
        <v>766.38651605431062</v>
      </c>
      <c r="EO73" s="62">
        <f ca="1">AVERAGE(OFFSET($EN$3,0,0,'Données projet'!$E$15+1,1))-AVERAGE(OFFSET($H$3,0,0,'Données projet'!$E$15+1,1))</f>
        <v>435.44444011810265</v>
      </c>
      <c r="EP73" s="62">
        <f t="shared" si="100"/>
        <v>447.15868732689762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17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302</v>
      </c>
      <c r="FC73" s="13">
        <f>VLOOKUP(A73,'Données projet'!$A$217:$I$237,9,0)</f>
        <v>8.1999999999999993</v>
      </c>
      <c r="FD73" s="13">
        <f t="array" ref="FD73">INDEX(FC:FC,MIN(IF(ISNUMBER(FC73:FC269),ROW(FC73:FC269),"")))</f>
        <v>8.1999999999999993</v>
      </c>
      <c r="FE73" s="13">
        <f>IF('Données projet'!$A$218&gt;35,FE72+FD73-FM72,IF(A73&lt;'Données projet'!$A$218,$FB$205^A73,IF(A73='Données projet'!$A$218,'Données projet'!$B$218,FE72+FD73-FM72)))</f>
        <v>301.99999999999994</v>
      </c>
      <c r="FF73" s="18">
        <f>FE73*VLOOKUP('Données projet'!$B$16,Paramètres!$A$1:$I$89,3,0)*VLOOKUP('Données projet'!$B$16,Paramètres!$A$1:$I$89,5,0)</f>
        <v>306.22800000000001</v>
      </c>
      <c r="FG73" s="14">
        <f t="shared" si="101"/>
        <v>72.480526049067294</v>
      </c>
      <c r="FH73" s="22">
        <f t="shared" si="76"/>
        <v>659.58401620212555</v>
      </c>
      <c r="FI73" s="62">
        <f t="shared" si="77"/>
        <v>911.98710995704664</v>
      </c>
      <c r="FJ73" s="62">
        <f ca="1">AVERAGE(OFFSET($FI$3,0,0,'Données projet'!$E$16+1,1))-AVERAGE(OFFSET($H$3,0,0,'Données projet'!$E$16+1,1))</f>
        <v>547.89540791313675</v>
      </c>
      <c r="FK73" s="62">
        <f t="shared" si="102"/>
        <v>345.19555189302378</v>
      </c>
      <c r="FL73" s="16">
        <f>IF(ISNA(VLOOKUP(A73,'Données projet'!$A$217:$I$237,3,0)),0,VLOOKUP(A73,'Données projet'!$A$217:$I$237,3,0))</f>
        <v>11</v>
      </c>
      <c r="FM73" s="16">
        <f>IF(ISNA(VLOOKUP(A73,'Données projet'!$A$217:$I$237,4,0)),0,VLOOKUP(A73,'Données projet'!$A$217:$I$237,4,0))</f>
        <v>28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12.875</v>
      </c>
      <c r="FZ73" s="13">
        <f>IF('Données projet'!$A$244&gt;35,FZ72+FY73-GH72,IF(A73&lt;'Données projet'!$A$244,$FW$205^A73,IF(A73='Données projet'!$A$244,'Données projet'!$B$244,FZ72+FY73-GH72)))</f>
        <v>469.50000000000006</v>
      </c>
      <c r="GA73" s="18">
        <f>FZ73*VLOOKUP('Données projet'!$B$17,Paramètres!$A$1:$I$89,3,0)*VLOOKUP('Données projet'!$B$17,Paramètres!$A$1:$I$89,5,0)</f>
        <v>280.76100000000002</v>
      </c>
      <c r="GB73" s="14">
        <f t="shared" si="103"/>
        <v>67.12780464438184</v>
      </c>
      <c r="GC73" s="22">
        <f t="shared" si="79"/>
        <v>605.90633475563175</v>
      </c>
      <c r="GD73" s="62">
        <f t="shared" si="80"/>
        <v>858.30942851055283</v>
      </c>
      <c r="GE73" s="62">
        <f ca="1">AVERAGE(OFFSET($GD$3,0,0,'Données projet'!$E$17+1,1))-AVERAGE(OFFSET($H$3,0,0,'Données projet'!$E$17+1,1))</f>
        <v>409.68685886029164</v>
      </c>
      <c r="GF73" s="62">
        <f t="shared" si="104"/>
        <v>330.8416508650887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2.454030046939752E-5</v>
      </c>
      <c r="GO73" s="23">
        <f t="shared" si="81"/>
        <v>2.454030046939752E-5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73.098184695482075</v>
      </c>
      <c r="T74" s="62">
        <f t="shared" si="88"/>
        <v>334.38551711782793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24.31200070875413</v>
      </c>
      <c r="AA74" s="23">
        <f>EXP(-LN(2)/25)*AA73+(1-EXP(-LN(2)/25))/(LN(2)/25)*Calculateur!V74*Calculateur!X74*VLOOKUP('Données projet'!$B$9,Paramètres!$A$1:$I$89,3,0)*0.475*44/12</f>
        <v>4.4093891383092974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28.721389847063428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70.520400819593021</v>
      </c>
      <c r="AO74" s="62">
        <f t="shared" si="90"/>
        <v>321.48616153644309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23.193350369394285</v>
      </c>
      <c r="AV74" s="23">
        <f>EXP(-LN(2)/25)*AV73+(1-EXP(-LN(2)/25))/(LN(2)/25)*Calculateur!AQ74*Calculateur!AS74*VLOOKUP('Données projet'!$B$10,Paramètres!$A$1:$I$89,3,0)*0.475*44/12</f>
        <v>4.2065031350128557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27.39985350440714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466</v>
      </c>
      <c r="BB74" s="13">
        <f>VLOOKUP(A74,'Données projet'!$A$87:$I$107,9,0)</f>
        <v>16.142857142857142</v>
      </c>
      <c r="BC74" s="13">
        <f t="array" ref="BC74">INDEX(BB:BB,MIN(IF(ISNUMBER(BB74:BB270),ROW(BB74:BB270),"")))</f>
        <v>16.142857142857142</v>
      </c>
      <c r="BD74" s="13">
        <f>IF('Données projet'!$A$88&gt;35,BD73+BC74-BL73,IF(A74&lt;'Données projet'!$A$88,$BA$205^A74,IF(A74='Données projet'!$A$88,'Données projet'!$B$88,BD73+BC74-BL73)))</f>
        <v>466.00000000000017</v>
      </c>
      <c r="BE74" s="14">
        <f>BD74*VLOOKUP('Données projet'!$B$11,Paramètres!$A$1:$I$89,3,0)*VLOOKUP('Données projet'!$B$11,Paramètres!$A$1:$I$89,5,0)</f>
        <v>218.08800000000008</v>
      </c>
      <c r="BF74" s="14">
        <f t="shared" si="91"/>
        <v>53.699111087780629</v>
      </c>
      <c r="BG74" s="22">
        <f t="shared" si="61"/>
        <v>473.36255181121805</v>
      </c>
      <c r="BH74" s="62">
        <f t="shared" si="62"/>
        <v>726.47569371651753</v>
      </c>
      <c r="BI74" s="62">
        <f ca="1">AVERAGE(OFFSET($BH$3,0,0,'Données projet'!$E$11+1,1))-AVERAGE(OFFSET($H$3,0,0,'Données projet'!$E$11+1,1))</f>
        <v>374.62597460242665</v>
      </c>
      <c r="BJ74" s="62">
        <f t="shared" si="92"/>
        <v>277.50105097454616</v>
      </c>
      <c r="BK74" s="16">
        <f>IF(ISNA(VLOOKUP(A74,'Données projet'!$A$87:$I$107,3,0)),0,VLOOKUP(A74,'Données projet'!$A$87:$I$107,3,0))</f>
        <v>11</v>
      </c>
      <c r="BL74" s="16">
        <f>IF(ISNA(VLOOKUP(A74,'Données projet'!$A$87:$I$107,4,0)),0,VLOOKUP(A74,'Données projet'!$A$87:$I$107,4,0))</f>
        <v>91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>
        <f>VLOOKUP(A74,'Données projet'!$A$113:$I$133,2,0)</f>
        <v>243</v>
      </c>
      <c r="BW74" s="13">
        <f>VLOOKUP(A74,'Données projet'!$A$113:$I$133,9,0)</f>
        <v>7</v>
      </c>
      <c r="BX74" s="13">
        <f t="array" ref="BX74">INDEX(BW:BW,MIN(IF(ISNUMBER(BW74:BW270),ROW(BW74:BW270),"")))</f>
        <v>7</v>
      </c>
      <c r="BY74" s="13">
        <f>IF('Données projet'!$A$114&gt;35,BY73+BX74-CG73,IF(A74&lt;'Données projet'!$A$114,$BV$205^A74,IF(A74='Données projet'!$A$114,'Données projet'!$B$114,BY73+BX74-CG73)))</f>
        <v>243.00000000000017</v>
      </c>
      <c r="BZ74" s="14">
        <f>BY74*VLOOKUP('Données projet'!$B$12,Paramètres!$A$1:$I$89,3,0)*VLOOKUP('Données projet'!$B$12,Paramètres!$A$1:$I$89,5,0)</f>
        <v>113.72400000000009</v>
      </c>
      <c r="CA74" s="14">
        <f t="shared" si="93"/>
        <v>30.206680638130518</v>
      </c>
      <c r="CB74" s="22">
        <f t="shared" si="64"/>
        <v>250.67926877807747</v>
      </c>
      <c r="CC74" s="62">
        <f t="shared" si="65"/>
        <v>503.79241068337694</v>
      </c>
      <c r="CD74" s="62">
        <f ca="1">AVERAGE(OFFSET($CC$3,0,0,'Données projet'!$E$12+1,1))-AVERAGE(OFFSET($H$3,0,0,'Données projet'!$E$12+1,1))</f>
        <v>329.79342219561465</v>
      </c>
      <c r="CE74" s="62">
        <f t="shared" si="94"/>
        <v>144.63206563329757</v>
      </c>
      <c r="CF74" s="16">
        <f>IF(ISNA(VLOOKUP(A74,'Données projet'!$A$113:$I$133,3,0)),0,VLOOKUP(A74,'Données projet'!$A$113:$I$133,3,0))</f>
        <v>6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7.2</v>
      </c>
      <c r="CT74" s="13">
        <f>IF('Données projet'!$A$140&gt;35,CT73+CS74-DB73,IF(A74&lt;'Données projet'!$A$140,$CQ$205^A74,IF(A74='Données projet'!$A$140,'Données projet'!$B$140,CT73+CS74-DB73)))</f>
        <v>497.20000000000016</v>
      </c>
      <c r="CU74" s="18">
        <f>CT74*VLOOKUP('Données projet'!$B$13,Paramètres!$A$1:$I$89,3,0)*VLOOKUP('Données projet'!$B$13,Paramètres!$A$1:$I$89,5,0)</f>
        <v>297.32560000000012</v>
      </c>
      <c r="CV74" s="14">
        <f t="shared" si="95"/>
        <v>70.61551465359878</v>
      </c>
      <c r="CW74" s="22">
        <f t="shared" si="67"/>
        <v>640.83077468835143</v>
      </c>
      <c r="CX74" s="62">
        <f t="shared" si="68"/>
        <v>893.9439165936509</v>
      </c>
      <c r="CY74" s="62">
        <f ca="1">AVERAGE(OFFSET($CX$3,0,0,'Données projet'!$E$13+1,1))-AVERAGE(OFFSET($H$3,0,0,'Données projet'!$E$13+1,1))</f>
        <v>530.27599556821826</v>
      </c>
      <c r="CZ74" s="62">
        <f t="shared" si="96"/>
        <v>370.62231794492129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1.0144751995693212E-5</v>
      </c>
      <c r="DI74" s="24">
        <f t="shared" si="69"/>
        <v>1.0144751995693212E-5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258.96312000000012</v>
      </c>
      <c r="DQ74" s="14">
        <f t="shared" si="97"/>
        <v>62.501305665831744</v>
      </c>
      <c r="DR74" s="22">
        <f t="shared" si="70"/>
        <v>559.88387470132386</v>
      </c>
      <c r="DS74" s="62">
        <f t="shared" si="71"/>
        <v>812.99701660662333</v>
      </c>
      <c r="DT74" s="62">
        <f ca="1">AVERAGE(OFFSET($DS$3,0,0,'Données projet'!$E$14+1,1))-AVERAGE(OFFSET($H$3,0,0,'Données projet'!$E$14+1,1))</f>
        <v>520.23742527061836</v>
      </c>
      <c r="DU74" s="62">
        <f t="shared" si="98"/>
        <v>321.35925479331274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</v>
      </c>
      <c r="EJ74" s="13">
        <f>IF('Données projet'!$A$192&gt;35,EJ73+EI74-ER73,IF(A74&lt;'Données projet'!$A$192,$EG$205^A74,IF(A74='Données projet'!$A$192,'Données projet'!$B$192,EJ73+EI74-ER73)))</f>
        <v>213.99999999999994</v>
      </c>
      <c r="EK74" s="18">
        <f>EJ74*VLOOKUP('Données projet'!$B$15,Paramètres!$A$1:$I$89,3,0)*VLOOKUP('Données projet'!$B$15,Paramètres!$A$1:$I$89,5,0)</f>
        <v>223.67279999999997</v>
      </c>
      <c r="EL74" s="14">
        <f t="shared" si="99"/>
        <v>54.912379818238797</v>
      </c>
      <c r="EM74" s="22">
        <f t="shared" si="73"/>
        <v>485.2025215167659</v>
      </c>
      <c r="EN74" s="62">
        <f t="shared" si="74"/>
        <v>738.31566342206543</v>
      </c>
      <c r="EO74" s="62">
        <f ca="1">AVERAGE(OFFSET($EN$3,0,0,'Données projet'!$E$15+1,1))-AVERAGE(OFFSET($H$3,0,0,'Données projet'!$E$15+1,1))</f>
        <v>435.44444011810265</v>
      </c>
      <c r="EP74" s="62">
        <f t="shared" si="100"/>
        <v>447.15868732689762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7.6</v>
      </c>
      <c r="FE74" s="13">
        <f>IF('Données projet'!$A$218&gt;35,FE73+FD74-FM73,IF(A74&lt;'Données projet'!$A$218,$FB$205^A74,IF(A74='Données projet'!$A$218,'Données projet'!$B$218,FE73+FD74-FM73)))</f>
        <v>281.59999999999997</v>
      </c>
      <c r="FF74" s="18">
        <f>FE74*VLOOKUP('Données projet'!$B$16,Paramètres!$A$1:$I$89,3,0)*VLOOKUP('Données projet'!$B$16,Paramètres!$A$1:$I$89,5,0)</f>
        <v>285.54239999999999</v>
      </c>
      <c r="FG74" s="14">
        <f t="shared" si="101"/>
        <v>68.136937829389524</v>
      </c>
      <c r="FH74" s="22">
        <f t="shared" si="76"/>
        <v>615.99151338618674</v>
      </c>
      <c r="FI74" s="62">
        <f t="shared" si="77"/>
        <v>869.10465529148621</v>
      </c>
      <c r="FJ74" s="62">
        <f ca="1">AVERAGE(OFFSET($FI$3,0,0,'Données projet'!$E$16+1,1))-AVERAGE(OFFSET($H$3,0,0,'Données projet'!$E$16+1,1))</f>
        <v>547.89540791313675</v>
      </c>
      <c r="FK74" s="62">
        <f t="shared" si="102"/>
        <v>345.19555189302378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12.875</v>
      </c>
      <c r="FZ74" s="13">
        <f>IF('Données projet'!$A$244&gt;35,FZ73+FY74-GH73,IF(A74&lt;'Données projet'!$A$244,$FW$205^A74,IF(A74='Données projet'!$A$244,'Données projet'!$B$244,FZ73+FY74-GH73)))</f>
        <v>482.37500000000006</v>
      </c>
      <c r="GA74" s="18">
        <f>FZ74*VLOOKUP('Données projet'!$B$17,Paramètres!$A$1:$I$89,3,0)*VLOOKUP('Données projet'!$B$17,Paramètres!$A$1:$I$89,5,0)</f>
        <v>288.46025000000009</v>
      </c>
      <c r="GB74" s="14">
        <f t="shared" si="103"/>
        <v>68.75179365327233</v>
      </c>
      <c r="GC74" s="22">
        <f t="shared" si="79"/>
        <v>622.14430936278279</v>
      </c>
      <c r="GD74" s="62">
        <f t="shared" si="80"/>
        <v>875.25745126808226</v>
      </c>
      <c r="GE74" s="62">
        <f ca="1">AVERAGE(OFFSET($GD$3,0,0,'Données projet'!$E$17+1,1))-AVERAGE(OFFSET($H$3,0,0,'Données projet'!$E$17+1,1))</f>
        <v>409.68685886029164</v>
      </c>
      <c r="GF74" s="62">
        <f t="shared" si="104"/>
        <v>330.8416508650887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1.7352612874266402E-5</v>
      </c>
      <c r="GO74" s="23">
        <f t="shared" si="81"/>
        <v>1.7352612874266402E-5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73.098184695482075</v>
      </c>
      <c r="T75" s="62">
        <f t="shared" si="88"/>
        <v>334.38551711782793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23.835257203711667</v>
      </c>
      <c r="AA75" s="23">
        <f>EXP(-LN(2)/25)*AA74+(1-EXP(-LN(2)/25))/(LN(2)/25)*Calculateur!V75*Calculateur!X75*VLOOKUP('Données projet'!$B$9,Paramètres!$A$1:$I$89,3,0)*0.475*44/12</f>
        <v>4.2888141604425325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28.124071364154197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70.520400819593021</v>
      </c>
      <c r="AO75" s="62">
        <f t="shared" si="90"/>
        <v>321.48616153644309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22.738542915197332</v>
      </c>
      <c r="AV75" s="23">
        <f>EXP(-LN(2)/25)*AV74+(1-EXP(-LN(2)/25))/(LN(2)/25)*Calculateur!AQ75*Calculateur!AS75*VLOOKUP('Données projet'!$B$10,Paramètres!$A$1:$I$89,3,0)*0.475*44/12</f>
        <v>4.0914760855755432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26.830019000772875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390</v>
      </c>
      <c r="BB75" s="13">
        <f>VLOOKUP(A75,'Données projet'!$A$87:$I$107,9,0)</f>
        <v>15</v>
      </c>
      <c r="BC75" s="13">
        <f t="array" ref="BC75">INDEX(BB:BB,MIN(IF(ISNUMBER(BB75:BB271),ROW(BB75:BB271),"")))</f>
        <v>15</v>
      </c>
      <c r="BD75" s="13">
        <f>IF('Données projet'!$A$88&gt;35,BD74+BC75-BL74,IF(A75&lt;'Données projet'!$A$88,$BA$205^A75,IF(A75='Données projet'!$A$88,'Données projet'!$B$88,BD74+BC75-BL74)))</f>
        <v>390.00000000000017</v>
      </c>
      <c r="BE75" s="14">
        <f>BD75*VLOOKUP('Données projet'!$B$11,Paramètres!$A$1:$I$89,3,0)*VLOOKUP('Données projet'!$B$11,Paramètres!$A$1:$I$89,5,0)</f>
        <v>182.5200000000001</v>
      </c>
      <c r="BF75" s="14">
        <f t="shared" si="91"/>
        <v>45.882385280285632</v>
      </c>
      <c r="BG75" s="22">
        <f t="shared" si="61"/>
        <v>397.80082102983096</v>
      </c>
      <c r="BH75" s="62">
        <f t="shared" si="62"/>
        <v>651.61169333752969</v>
      </c>
      <c r="BI75" s="62">
        <f ca="1">AVERAGE(OFFSET($BH$3,0,0,'Données projet'!$E$11+1,1))-AVERAGE(OFFSET($H$3,0,0,'Données projet'!$E$11+1,1))</f>
        <v>374.62597460242665</v>
      </c>
      <c r="BJ75" s="62">
        <f t="shared" si="92"/>
        <v>277.50105097454616</v>
      </c>
      <c r="BK75" s="16">
        <f>IF(ISNA(VLOOKUP(A75,'Données projet'!$A$87:$I$107,3,0)),0,VLOOKUP(A75,'Données projet'!$A$87:$I$107,3,0))</f>
        <v>12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6.8181818181818183</v>
      </c>
      <c r="BY75" s="13">
        <f>IF('Données projet'!$A$114&gt;35,BY74+BX75-CG74,IF(A75&lt;'Données projet'!$A$114,$BV$205^A75,IF(A75='Données projet'!$A$114,'Données projet'!$B$114,BY74+BX75-CG74)))</f>
        <v>249.81818181818198</v>
      </c>
      <c r="BZ75" s="14">
        <f>BY75*VLOOKUP('Données projet'!$B$12,Paramètres!$A$1:$I$89,3,0)*VLOOKUP('Données projet'!$B$12,Paramètres!$A$1:$I$89,5,0)</f>
        <v>116.91490909090918</v>
      </c>
      <c r="CA75" s="14">
        <f t="shared" si="93"/>
        <v>30.954365424100718</v>
      </c>
      <c r="CB75" s="22">
        <f t="shared" si="64"/>
        <v>257.53898644697557</v>
      </c>
      <c r="CC75" s="62">
        <f t="shared" si="65"/>
        <v>511.34985875467424</v>
      </c>
      <c r="CD75" s="62">
        <f ca="1">AVERAGE(OFFSET($CC$3,0,0,'Données projet'!$E$12+1,1))-AVERAGE(OFFSET($H$3,0,0,'Données projet'!$E$12+1,1))</f>
        <v>329.79342219561465</v>
      </c>
      <c r="CE75" s="62">
        <f t="shared" si="94"/>
        <v>144.63206563329757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7.2</v>
      </c>
      <c r="CT75" s="13">
        <f>IF('Données projet'!$A$140&gt;35,CT74+CS75-DB74,IF(A75&lt;'Données projet'!$A$140,$CQ$205^A75,IF(A75='Données projet'!$A$140,'Données projet'!$B$140,CT74+CS75-DB74)))</f>
        <v>504.40000000000015</v>
      </c>
      <c r="CU75" s="18">
        <f>CT75*VLOOKUP('Données projet'!$B$13,Paramètres!$A$1:$I$89,3,0)*VLOOKUP('Données projet'!$B$13,Paramètres!$A$1:$I$89,5,0)</f>
        <v>301.63120000000015</v>
      </c>
      <c r="CV75" s="14">
        <f t="shared" si="95"/>
        <v>71.518317654219274</v>
      </c>
      <c r="CW75" s="22">
        <f t="shared" si="67"/>
        <v>649.90207658109887</v>
      </c>
      <c r="CX75" s="62">
        <f t="shared" si="68"/>
        <v>903.71294888879754</v>
      </c>
      <c r="CY75" s="62">
        <f ca="1">AVERAGE(OFFSET($CX$3,0,0,'Données projet'!$E$13+1,1))-AVERAGE(OFFSET($H$3,0,0,'Données projet'!$E$13+1,1))</f>
        <v>530.27599556821826</v>
      </c>
      <c r="CZ75" s="62">
        <f t="shared" si="96"/>
        <v>370.62231794492129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7.1734229296104315E-6</v>
      </c>
      <c r="DI75" s="24">
        <f t="shared" si="69"/>
        <v>7.1734229296104315E-6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266.25144000000012</v>
      </c>
      <c r="DQ75" s="14">
        <f t="shared" si="97"/>
        <v>64.053084089016153</v>
      </c>
      <c r="DR75" s="22">
        <f t="shared" si="70"/>
        <v>575.28037945503661</v>
      </c>
      <c r="DS75" s="62">
        <f t="shared" si="71"/>
        <v>829.09125176273528</v>
      </c>
      <c r="DT75" s="62">
        <f ca="1">AVERAGE(OFFSET($DS$3,0,0,'Données projet'!$E$14+1,1))-AVERAGE(OFFSET($H$3,0,0,'Données projet'!$E$14+1,1))</f>
        <v>520.23742527061836</v>
      </c>
      <c r="DU75" s="62">
        <f t="shared" si="98"/>
        <v>321.35925479331274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</v>
      </c>
      <c r="EJ75" s="13">
        <f>IF('Données projet'!$A$192&gt;35,EJ74+EI75-ER74,IF(A75&lt;'Données projet'!$A$192,$EG$205^A75,IF(A75='Données projet'!$A$192,'Données projet'!$B$192,EJ74+EI75-ER74)))</f>
        <v>217.99999999999994</v>
      </c>
      <c r="EK75" s="18">
        <f>EJ75*VLOOKUP('Données projet'!$B$15,Paramètres!$A$1:$I$89,3,0)*VLOOKUP('Données projet'!$B$15,Paramètres!$A$1:$I$89,5,0)</f>
        <v>227.85359999999997</v>
      </c>
      <c r="EL75" s="14">
        <f t="shared" si="99"/>
        <v>55.818326719749798</v>
      </c>
      <c r="EM75" s="22">
        <f t="shared" si="73"/>
        <v>494.06193903689751</v>
      </c>
      <c r="EN75" s="62">
        <f t="shared" si="74"/>
        <v>747.87281134459613</v>
      </c>
      <c r="EO75" s="62">
        <f ca="1">AVERAGE(OFFSET($EN$3,0,0,'Données projet'!$E$15+1,1))-AVERAGE(OFFSET($H$3,0,0,'Données projet'!$E$15+1,1))</f>
        <v>435.44444011810265</v>
      </c>
      <c r="EP75" s="62">
        <f t="shared" si="100"/>
        <v>447.15868732689762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7.6</v>
      </c>
      <c r="FE75" s="13">
        <f>IF('Données projet'!$A$218&gt;35,FE74+FD75-FM74,IF(A75&lt;'Données projet'!$A$218,$FB$205^A75,IF(A75='Données projet'!$A$218,'Données projet'!$B$218,FE74+FD75-FM74)))</f>
        <v>289.2</v>
      </c>
      <c r="FF75" s="18">
        <f>FE75*VLOOKUP('Données projet'!$B$16,Paramètres!$A$1:$I$89,3,0)*VLOOKUP('Données projet'!$B$16,Paramètres!$A$1:$I$89,5,0)</f>
        <v>293.24880000000002</v>
      </c>
      <c r="FG75" s="14">
        <f t="shared" si="101"/>
        <v>69.759283249126327</v>
      </c>
      <c r="FH75" s="22">
        <f t="shared" si="76"/>
        <v>632.23907832556176</v>
      </c>
      <c r="FI75" s="62">
        <f t="shared" si="77"/>
        <v>886.04995063326044</v>
      </c>
      <c r="FJ75" s="62">
        <f ca="1">AVERAGE(OFFSET($FI$3,0,0,'Données projet'!$E$16+1,1))-AVERAGE(OFFSET($H$3,0,0,'Données projet'!$E$16+1,1))</f>
        <v>547.89540791313675</v>
      </c>
      <c r="FK75" s="62">
        <f t="shared" si="102"/>
        <v>345.19555189302378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12.875</v>
      </c>
      <c r="FZ75" s="13">
        <f>IF('Données projet'!$A$244&gt;35,FZ74+FY75-GH74,IF(A75&lt;'Données projet'!$A$244,$FW$205^A75,IF(A75='Données projet'!$A$244,'Données projet'!$B$244,FZ74+FY75-GH74)))</f>
        <v>495.25000000000006</v>
      </c>
      <c r="GA75" s="18">
        <f>FZ75*VLOOKUP('Données projet'!$B$17,Paramètres!$A$1:$I$89,3,0)*VLOOKUP('Données projet'!$B$17,Paramètres!$A$1:$I$89,5,0)</f>
        <v>296.15950000000004</v>
      </c>
      <c r="GB75" s="14">
        <f t="shared" si="103"/>
        <v>70.370744425720076</v>
      </c>
      <c r="GC75" s="22">
        <f t="shared" si="79"/>
        <v>638.37350904146251</v>
      </c>
      <c r="GD75" s="62">
        <f t="shared" si="80"/>
        <v>892.18438134916119</v>
      </c>
      <c r="GE75" s="62">
        <f ca="1">AVERAGE(OFFSET($GD$3,0,0,'Données projet'!$E$17+1,1))-AVERAGE(OFFSET($H$3,0,0,'Données projet'!$E$17+1,1))</f>
        <v>409.68685886029164</v>
      </c>
      <c r="GF75" s="62">
        <f t="shared" si="104"/>
        <v>330.8416508650887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1.227015023469876E-5</v>
      </c>
      <c r="GO75" s="23">
        <f t="shared" si="81"/>
        <v>1.227015023469876E-5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73.098184695482075</v>
      </c>
      <c r="T76" s="62">
        <f t="shared" si="88"/>
        <v>334.38551711782793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23.36786234801826</v>
      </c>
      <c r="AA76" s="23">
        <f>EXP(-LN(2)/25)*AA75+(1-EXP(-LN(2)/25))/(LN(2)/25)*Calculateur!V76*Calculateur!X76*VLOOKUP('Données projet'!$B$9,Paramètres!$A$1:$I$89,3,0)*0.475*44/12</f>
        <v>4.1715363116862969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27.539398659704556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70.520400819593021</v>
      </c>
      <c r="AO76" s="62">
        <f t="shared" si="90"/>
        <v>321.48616153644309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22.292653957772025</v>
      </c>
      <c r="AV76" s="23">
        <f>EXP(-LN(2)/25)*AV75+(1-EXP(-LN(2)/25))/(LN(2)/25)*Calculateur!AQ76*Calculateur!AS76*VLOOKUP('Données projet'!$B$10,Paramètres!$A$1:$I$89,3,0)*0.475*44/12</f>
        <v>3.979594456854104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26.27224841462613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15.142857142857142</v>
      </c>
      <c r="BD76" s="13">
        <f>IF('Données projet'!$A$88&gt;35,BD75+BC76-BL75,IF(A76&lt;'Données projet'!$A$88,$BA$205^A76,IF(A76='Données projet'!$A$88,'Données projet'!$B$88,BD75+BC76-BL75)))</f>
        <v>405.14285714285734</v>
      </c>
      <c r="BE76" s="14">
        <f>BD76*VLOOKUP('Données projet'!$B$11,Paramètres!$A$1:$I$89,3,0)*VLOOKUP('Données projet'!$B$11,Paramètres!$A$1:$I$89,5,0)</f>
        <v>189.60685714285725</v>
      </c>
      <c r="BF76" s="14">
        <f t="shared" si="91"/>
        <v>47.453024072159629</v>
      </c>
      <c r="BG76" s="22">
        <f t="shared" si="61"/>
        <v>412.87929311615432</v>
      </c>
      <c r="BH76" s="62">
        <f t="shared" si="62"/>
        <v>667.37579176366194</v>
      </c>
      <c r="BI76" s="62">
        <f ca="1">AVERAGE(OFFSET($BH$3,0,0,'Données projet'!$E$11+1,1))-AVERAGE(OFFSET($H$3,0,0,'Données projet'!$E$11+1,1))</f>
        <v>374.62597460242665</v>
      </c>
      <c r="BJ76" s="62">
        <f t="shared" si="92"/>
        <v>277.50105097454616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6.8181818181818183</v>
      </c>
      <c r="BY76" s="13">
        <f>IF('Données projet'!$A$114&gt;35,BY75+BX76-CG75,IF(A76&lt;'Données projet'!$A$114,$BV$205^A76,IF(A76='Données projet'!$A$114,'Données projet'!$B$114,BY75+BX76-CG75)))</f>
        <v>256.6363636363638</v>
      </c>
      <c r="BZ76" s="14">
        <f>BY76*VLOOKUP('Données projet'!$B$12,Paramètres!$A$1:$I$89,3,0)*VLOOKUP('Données projet'!$B$12,Paramètres!$A$1:$I$89,5,0)</f>
        <v>120.10581818181826</v>
      </c>
      <c r="CA76" s="14">
        <f t="shared" si="93"/>
        <v>31.699678381075188</v>
      </c>
      <c r="CB76" s="22">
        <f t="shared" si="64"/>
        <v>264.39457318037267</v>
      </c>
      <c r="CC76" s="62">
        <f t="shared" si="65"/>
        <v>518.8910718278803</v>
      </c>
      <c r="CD76" s="62">
        <f ca="1">AVERAGE(OFFSET($CC$3,0,0,'Données projet'!$E$12+1,1))-AVERAGE(OFFSET($H$3,0,0,'Données projet'!$E$12+1,1))</f>
        <v>329.79342219561465</v>
      </c>
      <c r="CE76" s="62">
        <f t="shared" si="94"/>
        <v>144.63206563329757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7.2</v>
      </c>
      <c r="CT76" s="13">
        <f>IF('Données projet'!$A$140&gt;35,CT75+CS76-DB75,IF(A76&lt;'Données projet'!$A$140,$CQ$205^A76,IF(A76='Données projet'!$A$140,'Données projet'!$B$140,CT75+CS76-DB75)))</f>
        <v>511.60000000000014</v>
      </c>
      <c r="CU76" s="18">
        <f>CT76*VLOOKUP('Données projet'!$B$13,Paramètres!$A$1:$I$89,3,0)*VLOOKUP('Données projet'!$B$13,Paramètres!$A$1:$I$89,5,0)</f>
        <v>305.93680000000012</v>
      </c>
      <c r="CV76" s="14">
        <f t="shared" si="95"/>
        <v>72.419621804609037</v>
      </c>
      <c r="CW76" s="22">
        <f t="shared" si="67"/>
        <v>658.970767976361</v>
      </c>
      <c r="CX76" s="62">
        <f t="shared" si="68"/>
        <v>913.46726662386868</v>
      </c>
      <c r="CY76" s="62">
        <f ca="1">AVERAGE(OFFSET($CX$3,0,0,'Données projet'!$E$13+1,1))-AVERAGE(OFFSET($H$3,0,0,'Données projet'!$E$13+1,1))</f>
        <v>530.27599556821826</v>
      </c>
      <c r="CZ76" s="62">
        <f t="shared" si="96"/>
        <v>370.62231794492129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5.072375997846606E-6</v>
      </c>
      <c r="DI76" s="24">
        <f t="shared" si="69"/>
        <v>5.072375997846606E-6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273.53976000000011</v>
      </c>
      <c r="DQ76" s="14">
        <f t="shared" si="97"/>
        <v>65.599925277661526</v>
      </c>
      <c r="DR76" s="22">
        <f t="shared" si="70"/>
        <v>590.66828519192734</v>
      </c>
      <c r="DS76" s="62">
        <f t="shared" si="71"/>
        <v>845.16478383943502</v>
      </c>
      <c r="DT76" s="62">
        <f ca="1">AVERAGE(OFFSET($DS$3,0,0,'Données projet'!$E$14+1,1))-AVERAGE(OFFSET($H$3,0,0,'Données projet'!$E$14+1,1))</f>
        <v>520.23742527061836</v>
      </c>
      <c r="DU76" s="62">
        <f t="shared" si="98"/>
        <v>321.35925479331274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</v>
      </c>
      <c r="EJ76" s="13">
        <f>IF('Données projet'!$A$192&gt;35,EJ75+EI76-ER75,IF(A76&lt;'Données projet'!$A$192,$EG$205^A76,IF(A76='Données projet'!$A$192,'Données projet'!$B$192,EJ75+EI76-ER75)))</f>
        <v>221.99999999999994</v>
      </c>
      <c r="EK76" s="18">
        <f>EJ76*VLOOKUP('Données projet'!$B$15,Paramètres!$A$1:$I$89,3,0)*VLOOKUP('Données projet'!$B$15,Paramètres!$A$1:$I$89,5,0)</f>
        <v>232.03439999999998</v>
      </c>
      <c r="EL76" s="14">
        <f t="shared" si="99"/>
        <v>56.722340668285831</v>
      </c>
      <c r="EM76" s="22">
        <f t="shared" si="73"/>
        <v>502.91798999726444</v>
      </c>
      <c r="EN76" s="62">
        <f t="shared" si="74"/>
        <v>757.41448864477206</v>
      </c>
      <c r="EO76" s="62">
        <f ca="1">AVERAGE(OFFSET($EN$3,0,0,'Données projet'!$E$15+1,1))-AVERAGE(OFFSET($H$3,0,0,'Données projet'!$E$15+1,1))</f>
        <v>435.44444011810265</v>
      </c>
      <c r="EP76" s="62">
        <f t="shared" si="100"/>
        <v>447.15868732689762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7.6</v>
      </c>
      <c r="FE76" s="13">
        <f>IF('Données projet'!$A$218&gt;35,FE75+FD76-FM75,IF(A76&lt;'Données projet'!$A$218,$FB$205^A76,IF(A76='Données projet'!$A$218,'Données projet'!$B$218,FE75+FD76-FM75)))</f>
        <v>296.8</v>
      </c>
      <c r="FF76" s="18">
        <f>FE76*VLOOKUP('Données projet'!$B$16,Paramètres!$A$1:$I$89,3,0)*VLOOKUP('Données projet'!$B$16,Paramètres!$A$1:$I$89,5,0)</f>
        <v>300.95520000000005</v>
      </c>
      <c r="FG76" s="14">
        <f t="shared" si="101"/>
        <v>71.376673021759785</v>
      </c>
      <c r="FH76" s="22">
        <f t="shared" si="76"/>
        <v>648.4780121795651</v>
      </c>
      <c r="FI76" s="62">
        <f t="shared" si="77"/>
        <v>902.97451082707278</v>
      </c>
      <c r="FJ76" s="62">
        <f ca="1">AVERAGE(OFFSET($FI$3,0,0,'Données projet'!$E$16+1,1))-AVERAGE(OFFSET($H$3,0,0,'Données projet'!$E$16+1,1))</f>
        <v>547.89540791313675</v>
      </c>
      <c r="FK76" s="62">
        <f t="shared" si="102"/>
        <v>345.19555189302378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12.875</v>
      </c>
      <c r="FZ76" s="13">
        <f>IF('Données projet'!$A$244&gt;35,FZ75+FY76-GH75,IF(A76&lt;'Données projet'!$A$244,$FW$205^A76,IF(A76='Données projet'!$A$244,'Données projet'!$B$244,FZ75+FY76-GH75)))</f>
        <v>508.12500000000006</v>
      </c>
      <c r="GA76" s="18">
        <f>FZ76*VLOOKUP('Données projet'!$B$17,Paramètres!$A$1:$I$89,3,0)*VLOOKUP('Données projet'!$B$17,Paramètres!$A$1:$I$89,5,0)</f>
        <v>303.85875000000004</v>
      </c>
      <c r="GB76" s="14">
        <f t="shared" si="103"/>
        <v>71.984802998830631</v>
      </c>
      <c r="GC76" s="22">
        <f t="shared" si="79"/>
        <v>654.59418813963009</v>
      </c>
      <c r="GD76" s="62">
        <f t="shared" si="80"/>
        <v>909.09068678713777</v>
      </c>
      <c r="GE76" s="62">
        <f ca="1">AVERAGE(OFFSET($GD$3,0,0,'Données projet'!$E$17+1,1))-AVERAGE(OFFSET($H$3,0,0,'Données projet'!$E$17+1,1))</f>
        <v>409.68685886029164</v>
      </c>
      <c r="GF76" s="62">
        <f t="shared" si="104"/>
        <v>330.8416508650887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8.6763064371332008E-6</v>
      </c>
      <c r="GO76" s="23">
        <f t="shared" si="81"/>
        <v>8.6763064371332008E-6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73.098184695482075</v>
      </c>
      <c r="T77" s="62">
        <f t="shared" si="88"/>
        <v>334.38551711782793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22.90963282036229</v>
      </c>
      <c r="AA77" s="23">
        <f>EXP(-LN(2)/25)*AA76+(1-EXP(-LN(2)/25))/(LN(2)/25)*Calculateur!V77*Calculateur!X77*VLOOKUP('Données projet'!$B$9,Paramètres!$A$1:$I$89,3,0)*0.475*44/12</f>
        <v>4.057465431871675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26.967098252233967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70.520400819593021</v>
      </c>
      <c r="AO77" s="62">
        <f t="shared" si="90"/>
        <v>321.48616153644309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21.85550861083642</v>
      </c>
      <c r="AV77" s="23">
        <f>EXP(-LN(2)/25)*AV76+(1-EXP(-LN(2)/25))/(LN(2)/25)*Calculateur!AQ77*Calculateur!AS77*VLOOKUP('Données projet'!$B$10,Paramètres!$A$1:$I$89,3,0)*0.475*44/12</f>
        <v>3.8707722371536515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25.726280847990072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15.142857142857142</v>
      </c>
      <c r="BD77" s="13">
        <f>IF('Données projet'!$A$88&gt;35,BD76+BC77-BL76,IF(A77&lt;'Données projet'!$A$88,$BA$205^A77,IF(A77='Données projet'!$A$88,'Données projet'!$B$88,BD76+BC77-BL76)))</f>
        <v>420.2857142857145</v>
      </c>
      <c r="BE77" s="14">
        <f>BD77*VLOOKUP('Données projet'!$B$11,Paramètres!$A$1:$I$89,3,0)*VLOOKUP('Données projet'!$B$11,Paramètres!$A$1:$I$89,5,0)</f>
        <v>196.69371428571441</v>
      </c>
      <c r="BF77" s="14">
        <f t="shared" si="91"/>
        <v>49.016842754125221</v>
      </c>
      <c r="BG77" s="22">
        <f t="shared" si="61"/>
        <v>427.9458868443873</v>
      </c>
      <c r="BH77" s="62">
        <f t="shared" si="62"/>
        <v>683.11611774753919</v>
      </c>
      <c r="BI77" s="62">
        <f ca="1">AVERAGE(OFFSET($BH$3,0,0,'Données projet'!$E$11+1,1))-AVERAGE(OFFSET($H$3,0,0,'Données projet'!$E$11+1,1))</f>
        <v>374.62597460242665</v>
      </c>
      <c r="BJ77" s="62">
        <f t="shared" si="92"/>
        <v>277.50105097454616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6.8181818181818183</v>
      </c>
      <c r="BY77" s="13">
        <f>IF('Données projet'!$A$114&gt;35,BY76+BX77-CG76,IF(A77&lt;'Données projet'!$A$114,$BV$205^A77,IF(A77='Données projet'!$A$114,'Données projet'!$B$114,BY76+BX77-CG76)))</f>
        <v>263.45454545454561</v>
      </c>
      <c r="BZ77" s="14">
        <f>BY77*VLOOKUP('Données projet'!$B$12,Paramètres!$A$1:$I$89,3,0)*VLOOKUP('Données projet'!$B$12,Paramètres!$A$1:$I$89,5,0)</f>
        <v>123.29672727272735</v>
      </c>
      <c r="CA77" s="14">
        <f t="shared" si="93"/>
        <v>32.442689765420752</v>
      </c>
      <c r="CB77" s="22">
        <f t="shared" si="64"/>
        <v>271.2461513414413</v>
      </c>
      <c r="CC77" s="62">
        <f t="shared" si="65"/>
        <v>526.41638224459325</v>
      </c>
      <c r="CD77" s="62">
        <f ca="1">AVERAGE(OFFSET($CC$3,0,0,'Données projet'!$E$12+1,1))-AVERAGE(OFFSET($H$3,0,0,'Données projet'!$E$12+1,1))</f>
        <v>329.79342219561465</v>
      </c>
      <c r="CE77" s="62">
        <f t="shared" si="94"/>
        <v>144.63206563329757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7.2</v>
      </c>
      <c r="CT77" s="13">
        <f>IF('Données projet'!$A$140&gt;35,CT76+CS77-DB76,IF(A77&lt;'Données projet'!$A$140,$CQ$205^A77,IF(A77='Données projet'!$A$140,'Données projet'!$B$140,CT76+CS77-DB76)))</f>
        <v>518.80000000000018</v>
      </c>
      <c r="CU77" s="18">
        <f>CT77*VLOOKUP('Données projet'!$B$13,Paramètres!$A$1:$I$89,3,0)*VLOOKUP('Données projet'!$B$13,Paramètres!$A$1:$I$89,5,0)</f>
        <v>310.24240000000009</v>
      </c>
      <c r="CV77" s="14">
        <f t="shared" si="95"/>
        <v>73.319450636463003</v>
      </c>
      <c r="CW77" s="22">
        <f t="shared" si="67"/>
        <v>668.03688985850647</v>
      </c>
      <c r="CX77" s="62">
        <f t="shared" si="68"/>
        <v>923.20712076165842</v>
      </c>
      <c r="CY77" s="62">
        <f ca="1">AVERAGE(OFFSET($CX$3,0,0,'Données projet'!$E$13+1,1))-AVERAGE(OFFSET($H$3,0,0,'Données projet'!$E$13+1,1))</f>
        <v>530.27599556821826</v>
      </c>
      <c r="CZ77" s="62">
        <f t="shared" si="96"/>
        <v>370.62231794492129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3.5867114648052158E-6</v>
      </c>
      <c r="DI77" s="24">
        <f t="shared" si="69"/>
        <v>3.5867114648052158E-6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280.82808000000017</v>
      </c>
      <c r="DQ77" s="14">
        <f t="shared" si="97"/>
        <v>67.141975901776362</v>
      </c>
      <c r="DR77" s="22">
        <f t="shared" si="70"/>
        <v>606.04784736226065</v>
      </c>
      <c r="DS77" s="62">
        <f t="shared" si="71"/>
        <v>861.2180782654126</v>
      </c>
      <c r="DT77" s="62">
        <f ca="1">AVERAGE(OFFSET($DS$3,0,0,'Données projet'!$E$14+1,1))-AVERAGE(OFFSET($H$3,0,0,'Données projet'!$E$14+1,1))</f>
        <v>520.23742527061836</v>
      </c>
      <c r="DU77" s="62">
        <f t="shared" si="98"/>
        <v>321.35925479331274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</v>
      </c>
      <c r="EJ77" s="13">
        <f>IF('Données projet'!$A$192&gt;35,EJ76+EI77-ER76,IF(A77&lt;'Données projet'!$A$192,$EG$205^A77,IF(A77='Données projet'!$A$192,'Données projet'!$B$192,EJ76+EI77-ER76)))</f>
        <v>225.99999999999994</v>
      </c>
      <c r="EK77" s="18">
        <f>EJ77*VLOOKUP('Données projet'!$B$15,Paramètres!$A$1:$I$89,3,0)*VLOOKUP('Données projet'!$B$15,Paramètres!$A$1:$I$89,5,0)</f>
        <v>236.21519999999995</v>
      </c>
      <c r="EL77" s="14">
        <f t="shared" si="99"/>
        <v>57.624460509298522</v>
      </c>
      <c r="EM77" s="22">
        <f t="shared" si="73"/>
        <v>511.77074205369485</v>
      </c>
      <c r="EN77" s="62">
        <f t="shared" si="74"/>
        <v>766.94097295684674</v>
      </c>
      <c r="EO77" s="62">
        <f ca="1">AVERAGE(OFFSET($EN$3,0,0,'Données projet'!$E$15+1,1))-AVERAGE(OFFSET($H$3,0,0,'Données projet'!$E$15+1,1))</f>
        <v>435.44444011810265</v>
      </c>
      <c r="EP77" s="62">
        <f t="shared" si="100"/>
        <v>447.15868732689762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7.6</v>
      </c>
      <c r="FE77" s="13">
        <f>IF('Données projet'!$A$218&gt;35,FE76+FD77-FM76,IF(A77&lt;'Données projet'!$A$218,$FB$205^A77,IF(A77='Données projet'!$A$218,'Données projet'!$B$218,FE76+FD77-FM76)))</f>
        <v>304.40000000000003</v>
      </c>
      <c r="FF77" s="18">
        <f>FE77*VLOOKUP('Données projet'!$B$16,Paramètres!$A$1:$I$89,3,0)*VLOOKUP('Données projet'!$B$16,Paramètres!$A$1:$I$89,5,0)</f>
        <v>308.66160000000008</v>
      </c>
      <c r="FG77" s="14">
        <f t="shared" si="101"/>
        <v>72.98924863505313</v>
      </c>
      <c r="FH77" s="22">
        <f t="shared" si="76"/>
        <v>664.70856137271755</v>
      </c>
      <c r="FI77" s="62">
        <f t="shared" si="77"/>
        <v>919.8787922758695</v>
      </c>
      <c r="FJ77" s="62">
        <f ca="1">AVERAGE(OFFSET($FI$3,0,0,'Données projet'!$E$16+1,1))-AVERAGE(OFFSET($H$3,0,0,'Données projet'!$E$16+1,1))</f>
        <v>547.89540791313675</v>
      </c>
      <c r="FK77" s="62">
        <f t="shared" si="102"/>
        <v>345.19555189302378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>
        <f>VLOOKUP(A77,'Données projet'!$A$243:$I$263,2,0)</f>
        <v>521</v>
      </c>
      <c r="FX77" s="13">
        <f>VLOOKUP(A77,'Données projet'!$A$243:$I$263,9,0)</f>
        <v>12.875</v>
      </c>
      <c r="FY77" s="13">
        <f t="array" ref="FY77">INDEX(FX:FX,MIN(IF(ISNUMBER(FX77:FX273),ROW(FX77:FX273),"")))</f>
        <v>12.875</v>
      </c>
      <c r="FZ77" s="13">
        <f>IF('Données projet'!$A$244&gt;35,FZ76+FY77-GH76,IF(A77&lt;'Données projet'!$A$244,$FW$205^A77,IF(A77='Données projet'!$A$244,'Données projet'!$B$244,FZ76+FY77-GH76)))</f>
        <v>521</v>
      </c>
      <c r="GA77" s="18">
        <f>FZ77*VLOOKUP('Données projet'!$B$17,Paramètres!$A$1:$I$89,3,0)*VLOOKUP('Données projet'!$B$17,Paramètres!$A$1:$I$89,5,0)</f>
        <v>311.55799999999999</v>
      </c>
      <c r="GB77" s="14">
        <f t="shared" si="103"/>
        <v>73.594107587354372</v>
      </c>
      <c r="GC77" s="22">
        <f t="shared" si="79"/>
        <v>670.80658738130876</v>
      </c>
      <c r="GD77" s="62">
        <f t="shared" si="80"/>
        <v>925.97681828446071</v>
      </c>
      <c r="GE77" s="62">
        <f ca="1">AVERAGE(OFFSET($GD$3,0,0,'Données projet'!$E$17+1,1))-AVERAGE(OFFSET($H$3,0,0,'Données projet'!$E$17+1,1))</f>
        <v>409.68685886029164</v>
      </c>
      <c r="GF77" s="62">
        <f t="shared" si="104"/>
        <v>330.8416508650887</v>
      </c>
      <c r="GG77" s="16">
        <f>IF(ISNA(VLOOKUP(A77,'Données projet'!$A$243:$I$263,3,0)),0,VLOOKUP(A77,'Données projet'!$A$243:$I$263,3,0))</f>
        <v>10</v>
      </c>
      <c r="GH77" s="16">
        <f>IF(ISNA(VLOOKUP(A77,'Données projet'!$A$243:$I$263,4,0)),0,VLOOKUP(A77,'Données projet'!$A$243:$I$263,4,0))</f>
        <v>37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6.1350751173493801E-6</v>
      </c>
      <c r="GO77" s="23">
        <f t="shared" si="81"/>
        <v>6.1350751173493801E-6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73.098184695482075</v>
      </c>
      <c r="T78" s="62">
        <f t="shared" si="88"/>
        <v>334.38551711782793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22.460388894251238</v>
      </c>
      <c r="AA78" s="23">
        <f>EXP(-LN(2)/25)*AA77+(1-EXP(-LN(2)/25))/(LN(2)/25)*Calculateur!V78*Calculateur!X78*VLOOKUP('Données projet'!$B$9,Paramètres!$A$1:$I$89,3,0)*0.475*44/12</f>
        <v>3.9465138262643102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26.40690272051555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70.520400819593021</v>
      </c>
      <c r="AO78" s="62">
        <f t="shared" si="90"/>
        <v>321.48616153644309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21.426935417521889</v>
      </c>
      <c r="AV78" s="23">
        <f>EXP(-LN(2)/25)*AV77+(1-EXP(-LN(2)/25))/(LN(2)/25)*Calculateur!AQ78*Calculateur!AS78*VLOOKUP('Données projet'!$B$10,Paramètres!$A$1:$I$89,3,0)*0.475*44/12</f>
        <v>3.7649257667736196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25.191861184295508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15.142857142857142</v>
      </c>
      <c r="BD78" s="13">
        <f>IF('Données projet'!$A$88&gt;35,BD77+BC78-BL77,IF(A78&lt;'Données projet'!$A$88,$BA$205^A78,IF(A78='Données projet'!$A$88,'Données projet'!$B$88,BD77+BC78-BL77)))</f>
        <v>435.42857142857167</v>
      </c>
      <c r="BE78" s="14">
        <f>BD78*VLOOKUP('Données projet'!$B$11,Paramètres!$A$1:$I$89,3,0)*VLOOKUP('Données projet'!$B$11,Paramètres!$A$1:$I$89,5,0)</f>
        <v>203.78057142857153</v>
      </c>
      <c r="BF78" s="14">
        <f t="shared" si="91"/>
        <v>50.574115202939069</v>
      </c>
      <c r="BG78" s="22">
        <f t="shared" si="61"/>
        <v>443.00107921654762</v>
      </c>
      <c r="BH78" s="62">
        <f t="shared" si="62"/>
        <v>698.83335462694799</v>
      </c>
      <c r="BI78" s="62">
        <f ca="1">AVERAGE(OFFSET($BH$3,0,0,'Données projet'!$E$11+1,1))-AVERAGE(OFFSET($H$3,0,0,'Données projet'!$E$11+1,1))</f>
        <v>374.62597460242665</v>
      </c>
      <c r="BJ78" s="62">
        <f t="shared" si="92"/>
        <v>277.50105097454616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6.8181818181818183</v>
      </c>
      <c r="BY78" s="13">
        <f>IF('Données projet'!$A$114&gt;35,BY77+BX78-CG77,IF(A78&lt;'Données projet'!$A$114,$BV$205^A78,IF(A78='Données projet'!$A$114,'Données projet'!$B$114,BY77+BX78-CG77)))</f>
        <v>270.27272727272742</v>
      </c>
      <c r="BZ78" s="14">
        <f>BY78*VLOOKUP('Données projet'!$B$12,Paramètres!$A$1:$I$89,3,0)*VLOOKUP('Données projet'!$B$12,Paramètres!$A$1:$I$89,5,0)</f>
        <v>126.48763636363644</v>
      </c>
      <c r="CA78" s="14">
        <f t="shared" si="93"/>
        <v>33.183465989900021</v>
      </c>
      <c r="CB78" s="22">
        <f t="shared" si="64"/>
        <v>278.09383659907598</v>
      </c>
      <c r="CC78" s="62">
        <f t="shared" si="65"/>
        <v>533.92611200947636</v>
      </c>
      <c r="CD78" s="62">
        <f ca="1">AVERAGE(OFFSET($CC$3,0,0,'Données projet'!$E$12+1,1))-AVERAGE(OFFSET($H$3,0,0,'Données projet'!$E$12+1,1))</f>
        <v>329.79342219561465</v>
      </c>
      <c r="CE78" s="62">
        <f t="shared" si="94"/>
        <v>144.63206563329757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7.2</v>
      </c>
      <c r="CT78" s="13">
        <f>IF('Données projet'!$A$140&gt;35,CT77+CS78-DB77,IF(A78&lt;'Données projet'!$A$140,$CQ$205^A78,IF(A78='Données projet'!$A$140,'Données projet'!$B$140,CT77+CS78-DB77)))</f>
        <v>526.00000000000023</v>
      </c>
      <c r="CU78" s="18">
        <f>CT78*VLOOKUP('Données projet'!$B$13,Paramètres!$A$1:$I$89,3,0)*VLOOKUP('Données projet'!$B$13,Paramètres!$A$1:$I$89,5,0)</f>
        <v>314.54800000000017</v>
      </c>
      <c r="CV78" s="14">
        <f t="shared" si="95"/>
        <v>74.217826990800262</v>
      </c>
      <c r="CW78" s="22">
        <f t="shared" si="67"/>
        <v>677.10048200897734</v>
      </c>
      <c r="CX78" s="62">
        <f t="shared" si="68"/>
        <v>932.93275741937771</v>
      </c>
      <c r="CY78" s="62">
        <f ca="1">AVERAGE(OFFSET($CX$3,0,0,'Données projet'!$E$13+1,1))-AVERAGE(OFFSET($H$3,0,0,'Données projet'!$E$13+1,1))</f>
        <v>530.27599556821826</v>
      </c>
      <c r="CZ78" s="62">
        <f t="shared" si="96"/>
        <v>370.62231794492129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2.536187998923303E-6</v>
      </c>
      <c r="DI78" s="24">
        <f t="shared" si="69"/>
        <v>2.536187998923303E-6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288.11640000000011</v>
      </c>
      <c r="DQ78" s="14">
        <f t="shared" si="97"/>
        <v>68.679374584678442</v>
      </c>
      <c r="DR78" s="22">
        <f t="shared" si="70"/>
        <v>621.41930740164844</v>
      </c>
      <c r="DS78" s="62">
        <f t="shared" si="71"/>
        <v>877.25158281204881</v>
      </c>
      <c r="DT78" s="62">
        <f ca="1">AVERAGE(OFFSET($DS$3,0,0,'Données projet'!$E$14+1,1))-AVERAGE(OFFSET($H$3,0,0,'Données projet'!$E$14+1,1))</f>
        <v>520.23742527061836</v>
      </c>
      <c r="DU78" s="62">
        <f t="shared" si="98"/>
        <v>321.35925479331274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230</v>
      </c>
      <c r="EH78" s="13">
        <f>VLOOKUP(A78,'Données projet'!$A$191:$I$211,9,0)</f>
        <v>4</v>
      </c>
      <c r="EI78" s="13">
        <f t="array" ref="EI78">INDEX(EH:EH,MIN(IF(ISNUMBER(EH78:EH274),ROW(EH78:EH274),"")))</f>
        <v>4</v>
      </c>
      <c r="EJ78" s="13">
        <f>IF('Données projet'!$A$192&gt;35,EJ77+EI78-ER77,IF(A78&lt;'Données projet'!$A$192,$EG$205^A78,IF(A78='Données projet'!$A$192,'Données projet'!$B$192,EJ77+EI78-ER77)))</f>
        <v>229.99999999999994</v>
      </c>
      <c r="EK78" s="18">
        <f>EJ78*VLOOKUP('Données projet'!$B$15,Paramètres!$A$1:$I$89,3,0)*VLOOKUP('Données projet'!$B$15,Paramètres!$A$1:$I$89,5,0)</f>
        <v>240.39599999999996</v>
      </c>
      <c r="EL78" s="14">
        <f t="shared" si="99"/>
        <v>58.524723634421605</v>
      </c>
      <c r="EM78" s="22">
        <f t="shared" si="73"/>
        <v>520.62026032995084</v>
      </c>
      <c r="EN78" s="62">
        <f t="shared" si="74"/>
        <v>776.45253574035121</v>
      </c>
      <c r="EO78" s="62">
        <f ca="1">AVERAGE(OFFSET($EN$3,0,0,'Données projet'!$E$15+1,1))-AVERAGE(OFFSET($H$3,0,0,'Données projet'!$E$15+1,1))</f>
        <v>435.44444011810265</v>
      </c>
      <c r="EP78" s="62">
        <f t="shared" si="100"/>
        <v>447.15868732689762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15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312</v>
      </c>
      <c r="FC78" s="13">
        <f>VLOOKUP(A78,'Données projet'!$A$217:$I$237,9,0)</f>
        <v>7.6</v>
      </c>
      <c r="FD78" s="13">
        <f t="array" ref="FD78">INDEX(FC:FC,MIN(IF(ISNUMBER(FC78:FC274),ROW(FC78:FC274),"")))</f>
        <v>7.6</v>
      </c>
      <c r="FE78" s="13">
        <f>IF('Données projet'!$A$218&gt;35,FE77+FD78-FM77,IF(A78&lt;'Données projet'!$A$218,$FB$205^A78,IF(A78='Données projet'!$A$218,'Données projet'!$B$218,FE77+FD78-FM77)))</f>
        <v>312.00000000000006</v>
      </c>
      <c r="FF78" s="18">
        <f>FE78*VLOOKUP('Données projet'!$B$16,Paramètres!$A$1:$I$89,3,0)*VLOOKUP('Données projet'!$B$16,Paramètres!$A$1:$I$89,5,0)</f>
        <v>316.36800000000005</v>
      </c>
      <c r="FG78" s="14">
        <f t="shared" si="101"/>
        <v>74.597144109003438</v>
      </c>
      <c r="FH78" s="22">
        <f t="shared" si="76"/>
        <v>680.93095932318113</v>
      </c>
      <c r="FI78" s="62">
        <f t="shared" si="77"/>
        <v>936.7632347335815</v>
      </c>
      <c r="FJ78" s="62">
        <f ca="1">AVERAGE(OFFSET($FI$3,0,0,'Données projet'!$E$16+1,1))-AVERAGE(OFFSET($H$3,0,0,'Données projet'!$E$16+1,1))</f>
        <v>547.89540791313675</v>
      </c>
      <c r="FK78" s="62">
        <f t="shared" si="102"/>
        <v>345.19555189302378</v>
      </c>
      <c r="FL78" s="16">
        <f>IF(ISNA(VLOOKUP(A78,'Données projet'!$A$217:$I$237,3,0)),0,VLOOKUP(A78,'Données projet'!$A$217:$I$237,3,0))</f>
        <v>12</v>
      </c>
      <c r="FM78" s="16">
        <f>IF(ISNA(VLOOKUP(A78,'Données projet'!$A$217:$I$237,4,0)),0,VLOOKUP(A78,'Données projet'!$A$217:$I$237,4,0))</f>
        <v>28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8.875</v>
      </c>
      <c r="FZ78" s="13">
        <f>IF('Données projet'!$A$244&gt;35,FZ77+FY78-GH77,IF(A78&lt;'Données projet'!$A$244,$FW$205^A78,IF(A78='Données projet'!$A$244,'Données projet'!$B$244,FZ77+FY78-GH77)))</f>
        <v>492.875</v>
      </c>
      <c r="GA78" s="18">
        <f>FZ78*VLOOKUP('Données projet'!$B$17,Paramètres!$A$1:$I$89,3,0)*VLOOKUP('Données projet'!$B$17,Paramètres!$A$1:$I$89,5,0)</f>
        <v>294.73925000000003</v>
      </c>
      <c r="GB78" s="14">
        <f t="shared" si="103"/>
        <v>70.072475236035828</v>
      </c>
      <c r="GC78" s="22">
        <f t="shared" si="79"/>
        <v>635.38042145276233</v>
      </c>
      <c r="GD78" s="62">
        <f t="shared" si="80"/>
        <v>891.21269686316271</v>
      </c>
      <c r="GE78" s="62">
        <f ca="1">AVERAGE(OFFSET($GD$3,0,0,'Données projet'!$E$17+1,1))-AVERAGE(OFFSET($H$3,0,0,'Données projet'!$E$17+1,1))</f>
        <v>409.68685886029164</v>
      </c>
      <c r="GF78" s="62">
        <f t="shared" si="104"/>
        <v>330.8416508650887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4.3381532185666004E-6</v>
      </c>
      <c r="GO78" s="23">
        <f t="shared" si="81"/>
        <v>4.3381532185666004E-6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73.098184695482075</v>
      </c>
      <c r="T79" s="62">
        <f t="shared" si="88"/>
        <v>334.38551711782793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22.019954367519485</v>
      </c>
      <c r="AA79" s="23">
        <f>EXP(-LN(2)/25)*AA78+(1-EXP(-LN(2)/25))/(LN(2)/25)*Calculateur!V79*Calculateur!X79*VLOOKUP('Données projet'!$B$9,Paramètres!$A$1:$I$89,3,0)*0.475*44/12</f>
        <v>3.8385961981469703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25.858550565666455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70.520400819593021</v>
      </c>
      <c r="AO79" s="62">
        <f t="shared" si="90"/>
        <v>321.48616153644309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21.006766283124421</v>
      </c>
      <c r="AV79" s="23">
        <f>EXP(-LN(2)/25)*AV78+(1-EXP(-LN(2)/25))/(LN(2)/25)*Calculateur!AQ79*Calculateur!AS79*VLOOKUP('Données projet'!$B$10,Paramètres!$A$1:$I$89,3,0)*0.475*44/12</f>
        <v>3.6619736736923536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24.668739956816776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15.142857142857142</v>
      </c>
      <c r="BD79" s="13">
        <f>IF('Données projet'!$A$88&gt;35,BD78+BC79-BL78,IF(A79&lt;'Données projet'!$A$88,$BA$205^A79,IF(A79='Données projet'!$A$88,'Données projet'!$B$88,BD78+BC79-BL78)))</f>
        <v>450.57142857142884</v>
      </c>
      <c r="BE79" s="14">
        <f>BD79*VLOOKUP('Données projet'!$B$11,Paramètres!$A$1:$I$89,3,0)*VLOOKUP('Données projet'!$B$11,Paramètres!$A$1:$I$89,5,0)</f>
        <v>210.86742857142869</v>
      </c>
      <c r="BF79" s="14">
        <f t="shared" si="91"/>
        <v>52.125095165913116</v>
      </c>
      <c r="BG79" s="22">
        <f t="shared" si="61"/>
        <v>458.04531217587032</v>
      </c>
      <c r="BH79" s="62">
        <f t="shared" si="62"/>
        <v>714.5281471014282</v>
      </c>
      <c r="BI79" s="62">
        <f ca="1">AVERAGE(OFFSET($BH$3,0,0,'Données projet'!$E$11+1,1))-AVERAGE(OFFSET($H$3,0,0,'Données projet'!$E$11+1,1))</f>
        <v>374.62597460242665</v>
      </c>
      <c r="BJ79" s="62">
        <f t="shared" si="92"/>
        <v>277.50105097454616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6.8181818181818183</v>
      </c>
      <c r="BY79" s="13">
        <f>IF('Données projet'!$A$114&gt;35,BY78+BX79-CG78,IF(A79&lt;'Données projet'!$A$114,$BV$205^A79,IF(A79='Données projet'!$A$114,'Données projet'!$B$114,BY78+BX79-CG78)))</f>
        <v>277.09090909090924</v>
      </c>
      <c r="BZ79" s="14">
        <f>BY79*VLOOKUP('Données projet'!$B$12,Paramètres!$A$1:$I$89,3,0)*VLOOKUP('Données projet'!$B$12,Paramètres!$A$1:$I$89,5,0)</f>
        <v>129.67854545454554</v>
      </c>
      <c r="CA79" s="14">
        <f t="shared" si="93"/>
        <v>33.922069925532284</v>
      </c>
      <c r="CB79" s="22">
        <f t="shared" si="64"/>
        <v>284.93773845363552</v>
      </c>
      <c r="CC79" s="62">
        <f t="shared" si="65"/>
        <v>541.42057337919346</v>
      </c>
      <c r="CD79" s="62">
        <f ca="1">AVERAGE(OFFSET($CC$3,0,0,'Données projet'!$E$12+1,1))-AVERAGE(OFFSET($H$3,0,0,'Données projet'!$E$12+1,1))</f>
        <v>329.79342219561465</v>
      </c>
      <c r="CE79" s="62">
        <f t="shared" si="94"/>
        <v>144.63206563329757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533.20000000000027</v>
      </c>
      <c r="CU79" s="18">
        <f>CT79*VLOOKUP('Données projet'!$B$13,Paramètres!$A$1:$I$89,3,0)*VLOOKUP('Données projet'!$B$13,Paramètres!$A$1:$I$89,5,0)</f>
        <v>318.8536000000002</v>
      </c>
      <c r="CV79" s="14">
        <f t="shared" si="95"/>
        <v>75.114773047407027</v>
      </c>
      <c r="CW79" s="22">
        <f t="shared" si="67"/>
        <v>686.16158305756755</v>
      </c>
      <c r="CX79" s="62">
        <f t="shared" si="68"/>
        <v>942.64441798312544</v>
      </c>
      <c r="CY79" s="62">
        <f ca="1">AVERAGE(OFFSET($CX$3,0,0,'Données projet'!$E$13+1,1))-AVERAGE(OFFSET($H$3,0,0,'Données projet'!$E$13+1,1))</f>
        <v>530.27599556821826</v>
      </c>
      <c r="CZ79" s="62">
        <f t="shared" si="96"/>
        <v>370.62231794492129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1.7933557324026079E-6</v>
      </c>
      <c r="DI79" s="24">
        <f t="shared" si="69"/>
        <v>1.7933557324026079E-6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271.03440000000012</v>
      </c>
      <c r="DQ79" s="14">
        <f t="shared" si="97"/>
        <v>65.068746196174914</v>
      </c>
      <c r="DR79" s="22">
        <f t="shared" si="70"/>
        <v>585.37964629167152</v>
      </c>
      <c r="DS79" s="62">
        <f t="shared" si="71"/>
        <v>841.8624812172294</v>
      </c>
      <c r="DT79" s="62">
        <f ca="1">AVERAGE(OFFSET($DS$3,0,0,'Données projet'!$E$14+1,1))-AVERAGE(OFFSET($H$3,0,0,'Données projet'!$E$14+1,1))</f>
        <v>520.23742527061836</v>
      </c>
      <c r="DU79" s="62">
        <f t="shared" si="98"/>
        <v>321.35925479331274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3.6</v>
      </c>
      <c r="EJ79" s="13">
        <f>IF('Données projet'!$A$192&gt;35,EJ78+EI79-ER78,IF(A79&lt;'Données projet'!$A$192,$EG$205^A79,IF(A79='Données projet'!$A$192,'Données projet'!$B$192,EJ78+EI79-ER78)))</f>
        <v>218.59999999999994</v>
      </c>
      <c r="EK79" s="18">
        <f>EJ79*VLOOKUP('Données projet'!$B$15,Paramètres!$A$1:$I$89,3,0)*VLOOKUP('Données projet'!$B$15,Paramètres!$A$1:$I$89,5,0)</f>
        <v>228.48071999999993</v>
      </c>
      <c r="EL79" s="14">
        <f t="shared" si="99"/>
        <v>55.954051071533556</v>
      </c>
      <c r="EM79" s="22">
        <f t="shared" si="73"/>
        <v>495.39055961625405</v>
      </c>
      <c r="EN79" s="62">
        <f t="shared" si="74"/>
        <v>751.87339454181188</v>
      </c>
      <c r="EO79" s="62">
        <f ca="1">AVERAGE(OFFSET($EN$3,0,0,'Données projet'!$E$15+1,1))-AVERAGE(OFFSET($H$3,0,0,'Données projet'!$E$15+1,1))</f>
        <v>435.44444011810265</v>
      </c>
      <c r="EP79" s="62">
        <f t="shared" si="100"/>
        <v>447.15868732689762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7.2</v>
      </c>
      <c r="FE79" s="13">
        <f>IF('Données projet'!$A$218&gt;35,FE78+FD79-FM78,IF(A79&lt;'Données projet'!$A$218,$FB$205^A79,IF(A79='Données projet'!$A$218,'Données projet'!$B$218,FE78+FD79-FM78)))</f>
        <v>291.20000000000005</v>
      </c>
      <c r="FF79" s="18">
        <f>FE79*VLOOKUP('Données projet'!$B$16,Paramètres!$A$1:$I$89,3,0)*VLOOKUP('Données projet'!$B$16,Paramètres!$A$1:$I$89,5,0)</f>
        <v>295.27680000000004</v>
      </c>
      <c r="FG79" s="14">
        <f t="shared" si="101"/>
        <v>70.185386686980493</v>
      </c>
      <c r="FH79" s="22">
        <f t="shared" si="76"/>
        <v>636.51330847982445</v>
      </c>
      <c r="FI79" s="62">
        <f t="shared" si="77"/>
        <v>892.99614340538233</v>
      </c>
      <c r="FJ79" s="62">
        <f ca="1">AVERAGE(OFFSET($FI$3,0,0,'Données projet'!$E$16+1,1))-AVERAGE(OFFSET($H$3,0,0,'Données projet'!$E$16+1,1))</f>
        <v>547.89540791313675</v>
      </c>
      <c r="FK79" s="62">
        <f t="shared" si="102"/>
        <v>345.19555189302378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8.875</v>
      </c>
      <c r="FZ79" s="13">
        <f>IF('Données projet'!$A$244&gt;35,FZ78+FY79-GH78,IF(A79&lt;'Données projet'!$A$244,$FW$205^A79,IF(A79='Données projet'!$A$244,'Données projet'!$B$244,FZ78+FY79-GH78)))</f>
        <v>501.75</v>
      </c>
      <c r="GA79" s="18">
        <f>FZ79*VLOOKUP('Données projet'!$B$17,Paramètres!$A$1:$I$89,3,0)*VLOOKUP('Données projet'!$B$17,Paramètres!$A$1:$I$89,5,0)</f>
        <v>300.04650000000004</v>
      </c>
      <c r="GB79" s="14">
        <f t="shared" si="103"/>
        <v>71.186211573839699</v>
      </c>
      <c r="GC79" s="22">
        <f t="shared" si="79"/>
        <v>646.56363932443753</v>
      </c>
      <c r="GD79" s="62">
        <f t="shared" si="80"/>
        <v>903.04647424999541</v>
      </c>
      <c r="GE79" s="62">
        <f ca="1">AVERAGE(OFFSET($GD$3,0,0,'Données projet'!$E$17+1,1))-AVERAGE(OFFSET($H$3,0,0,'Données projet'!$E$17+1,1))</f>
        <v>409.68685886029164</v>
      </c>
      <c r="GF79" s="62">
        <f t="shared" si="104"/>
        <v>330.8416508650887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3.0675375586746901E-6</v>
      </c>
      <c r="GO79" s="23">
        <f t="shared" si="81"/>
        <v>3.0675375586746901E-6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73.098184695482075</v>
      </c>
      <c r="T80" s="62">
        <f t="shared" si="88"/>
        <v>334.38551711782793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21.588156493218406</v>
      </c>
      <c r="AA80" s="23">
        <f>EXP(-LN(2)/25)*AA79+(1-EXP(-LN(2)/25))/(LN(2)/25)*Calculateur!V80*Calculateur!X80*VLOOKUP('Données projet'!$B$9,Paramètres!$A$1:$I$89,3,0)*0.475*44/12</f>
        <v>3.7336295832456408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25.321786076464047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70.520400819593021</v>
      </c>
      <c r="AO80" s="62">
        <f t="shared" si="90"/>
        <v>321.48616153644309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20.594836409174619</v>
      </c>
      <c r="AV80" s="23">
        <f>EXP(-LN(2)/25)*AV79+(1-EXP(-LN(2)/25))/(LN(2)/25)*Calculateur!AQ80*Calculateur!AS80*VLOOKUP('Données projet'!$B$10,Paramètres!$A$1:$I$89,3,0)*0.475*44/12</f>
        <v>3.5618368110104104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24.156673220185027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15.142857142857142</v>
      </c>
      <c r="BD80" s="13">
        <f>IF('Données projet'!$A$88&gt;35,BD79+BC80-BL79,IF(A80&lt;'Données projet'!$A$88,$BA$205^A80,IF(A80='Données projet'!$A$88,'Données projet'!$B$88,BD79+BC80-BL79)))</f>
        <v>465.71428571428601</v>
      </c>
      <c r="BE80" s="14">
        <f>BD80*VLOOKUP('Données projet'!$B$11,Paramètres!$A$1:$I$89,3,0)*VLOOKUP('Données projet'!$B$11,Paramètres!$A$1:$I$89,5,0)</f>
        <v>217.95428571428585</v>
      </c>
      <c r="BF80" s="14">
        <f t="shared" si="91"/>
        <v>53.670018366701875</v>
      </c>
      <c r="BG80" s="22">
        <f t="shared" si="61"/>
        <v>473.07899627438695</v>
      </c>
      <c r="BH80" s="62">
        <f t="shared" si="62"/>
        <v>730.20110496194752</v>
      </c>
      <c r="BI80" s="62">
        <f ca="1">AVERAGE(OFFSET($BH$3,0,0,'Données projet'!$E$11+1,1))-AVERAGE(OFFSET($H$3,0,0,'Données projet'!$E$11+1,1))</f>
        <v>374.62597460242665</v>
      </c>
      <c r="BJ80" s="62">
        <f t="shared" si="92"/>
        <v>277.50105097454616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6.8181818181818183</v>
      </c>
      <c r="BY80" s="13">
        <f>IF('Données projet'!$A$114&gt;35,BY79+BX80-CG79,IF(A80&lt;'Données projet'!$A$114,$BV$205^A80,IF(A80='Données projet'!$A$114,'Données projet'!$B$114,BY79+BX80-CG79)))</f>
        <v>283.90909090909105</v>
      </c>
      <c r="BZ80" s="14">
        <f>BY80*VLOOKUP('Données projet'!$B$12,Paramètres!$A$1:$I$89,3,0)*VLOOKUP('Données projet'!$B$12,Paramètres!$A$1:$I$89,5,0)</f>
        <v>132.86945454545463</v>
      </c>
      <c r="CA80" s="14">
        <f t="shared" si="93"/>
        <v>34.658561172906801</v>
      </c>
      <c r="CB80" s="22">
        <f t="shared" si="64"/>
        <v>291.77796070947949</v>
      </c>
      <c r="CC80" s="62">
        <f t="shared" si="65"/>
        <v>548.90006939704006</v>
      </c>
      <c r="CD80" s="62">
        <f ca="1">AVERAGE(OFFSET($CC$3,0,0,'Données projet'!$E$12+1,1))-AVERAGE(OFFSET($H$3,0,0,'Données projet'!$E$12+1,1))</f>
        <v>329.79342219561465</v>
      </c>
      <c r="CE80" s="62">
        <f t="shared" si="94"/>
        <v>144.63206563329757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540.40000000000032</v>
      </c>
      <c r="CU80" s="18">
        <f>CT80*VLOOKUP('Données projet'!$B$13,Paramètres!$A$1:$I$89,3,0)*VLOOKUP('Données projet'!$B$13,Paramètres!$A$1:$I$89,5,0)</f>
        <v>323.15920000000023</v>
      </c>
      <c r="CV80" s="14">
        <f t="shared" si="95"/>
        <v>76.010310352644041</v>
      </c>
      <c r="CW80" s="22">
        <f t="shared" si="67"/>
        <v>695.22023053085525</v>
      </c>
      <c r="CX80" s="62">
        <f t="shared" si="68"/>
        <v>952.34233921841587</v>
      </c>
      <c r="CY80" s="62">
        <f ca="1">AVERAGE(OFFSET($CX$3,0,0,'Données projet'!$E$13+1,1))-AVERAGE(OFFSET($H$3,0,0,'Données projet'!$E$13+1,1))</f>
        <v>530.27599556821826</v>
      </c>
      <c r="CZ80" s="62">
        <f t="shared" si="96"/>
        <v>370.62231794492129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1.2680939994616515E-6</v>
      </c>
      <c r="DI80" s="24">
        <f t="shared" si="69"/>
        <v>1.2680939994616515E-6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277.86720000000014</v>
      </c>
      <c r="DQ80" s="14">
        <f t="shared" si="97"/>
        <v>66.516086548657384</v>
      </c>
      <c r="DR80" s="22">
        <f t="shared" si="70"/>
        <v>599.80089073891179</v>
      </c>
      <c r="DS80" s="62">
        <f t="shared" si="71"/>
        <v>856.92299942647242</v>
      </c>
      <c r="DT80" s="62">
        <f ca="1">AVERAGE(OFFSET($DS$3,0,0,'Données projet'!$E$14+1,1))-AVERAGE(OFFSET($H$3,0,0,'Données projet'!$E$14+1,1))</f>
        <v>520.23742527061836</v>
      </c>
      <c r="DU80" s="62">
        <f t="shared" si="98"/>
        <v>321.35925479331274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3.6</v>
      </c>
      <c r="EJ80" s="13">
        <f>IF('Données projet'!$A$192&gt;35,EJ79+EI80-ER79,IF(A80&lt;'Données projet'!$A$192,$EG$205^A80,IF(A80='Données projet'!$A$192,'Données projet'!$B$192,EJ79+EI80-ER79)))</f>
        <v>222.19999999999993</v>
      </c>
      <c r="EK80" s="18">
        <f>EJ80*VLOOKUP('Données projet'!$B$15,Paramètres!$A$1:$I$89,3,0)*VLOOKUP('Données projet'!$B$15,Paramètres!$A$1:$I$89,5,0)</f>
        <v>232.24343999999996</v>
      </c>
      <c r="EL80" s="14">
        <f t="shared" si="99"/>
        <v>56.767491328816384</v>
      </c>
      <c r="EM80" s="22">
        <f t="shared" si="73"/>
        <v>503.36070539768843</v>
      </c>
      <c r="EN80" s="62">
        <f t="shared" si="74"/>
        <v>760.48281408524895</v>
      </c>
      <c r="EO80" s="62">
        <f ca="1">AVERAGE(OFFSET($EN$3,0,0,'Données projet'!$E$15+1,1))-AVERAGE(OFFSET($H$3,0,0,'Données projet'!$E$15+1,1))</f>
        <v>435.44444011810265</v>
      </c>
      <c r="EP80" s="62">
        <f t="shared" si="100"/>
        <v>447.15868732689762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7.2</v>
      </c>
      <c r="FE80" s="13">
        <f>IF('Données projet'!$A$218&gt;35,FE79+FD80-FM79,IF(A80&lt;'Données projet'!$A$218,$FB$205^A80,IF(A80='Données projet'!$A$218,'Données projet'!$B$218,FE79+FD80-FM79)))</f>
        <v>298.40000000000003</v>
      </c>
      <c r="FF80" s="18">
        <f>FE80*VLOOKUP('Données projet'!$B$16,Paramètres!$A$1:$I$89,3,0)*VLOOKUP('Données projet'!$B$16,Paramètres!$A$1:$I$89,5,0)</f>
        <v>302.57760000000007</v>
      </c>
      <c r="FG80" s="14">
        <f t="shared" si="101"/>
        <v>71.716558091076294</v>
      </c>
      <c r="FH80" s="22">
        <f t="shared" si="76"/>
        <v>651.89565867529132</v>
      </c>
      <c r="FI80" s="62">
        <f t="shared" si="77"/>
        <v>909.01776736285183</v>
      </c>
      <c r="FJ80" s="62">
        <f ca="1">AVERAGE(OFFSET($FI$3,0,0,'Données projet'!$E$16+1,1))-AVERAGE(OFFSET($H$3,0,0,'Données projet'!$E$16+1,1))</f>
        <v>547.89540791313675</v>
      </c>
      <c r="FK80" s="62">
        <f t="shared" si="102"/>
        <v>345.19555189302378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8.875</v>
      </c>
      <c r="FZ80" s="13">
        <f>IF('Données projet'!$A$244&gt;35,FZ79+FY80-GH79,IF(A80&lt;'Données projet'!$A$244,$FW$205^A80,IF(A80='Données projet'!$A$244,'Données projet'!$B$244,FZ79+FY80-GH79)))</f>
        <v>510.625</v>
      </c>
      <c r="GA80" s="18">
        <f>FZ80*VLOOKUP('Données projet'!$B$17,Paramètres!$A$1:$I$89,3,0)*VLOOKUP('Données projet'!$B$17,Paramètres!$A$1:$I$89,5,0)</f>
        <v>305.35375000000005</v>
      </c>
      <c r="GB80" s="14">
        <f t="shared" si="103"/>
        <v>72.297657079406008</v>
      </c>
      <c r="GC80" s="22">
        <f t="shared" si="79"/>
        <v>657.74286732996552</v>
      </c>
      <c r="GD80" s="62">
        <f t="shared" si="80"/>
        <v>914.86497601752603</v>
      </c>
      <c r="GE80" s="62">
        <f ca="1">AVERAGE(OFFSET($GD$3,0,0,'Données projet'!$E$17+1,1))-AVERAGE(OFFSET($H$3,0,0,'Données projet'!$E$17+1,1))</f>
        <v>409.68685886029164</v>
      </c>
      <c r="GF80" s="62">
        <f t="shared" si="104"/>
        <v>330.8416508650887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2.1690766092833002E-6</v>
      </c>
      <c r="GO80" s="23">
        <f t="shared" si="81"/>
        <v>2.1690766092833002E-6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73.098184695482075</v>
      </c>
      <c r="T81" s="62">
        <f t="shared" si="88"/>
        <v>334.38551711782793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21.164825911861673</v>
      </c>
      <c r="AA81" s="23">
        <f>EXP(-LN(2)/25)*AA80+(1-EXP(-LN(2)/25))/(LN(2)/25)*Calculateur!V81*Calculateur!X81*VLOOKUP('Données projet'!$B$9,Paramètres!$A$1:$I$89,3,0)*0.475*44/12</f>
        <v>3.6315332859487421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24.796359197810414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70.520400819593021</v>
      </c>
      <c r="AO81" s="62">
        <f t="shared" si="90"/>
        <v>321.48616153644309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20.190984228800559</v>
      </c>
      <c r="AV81" s="23">
        <f>EXP(-LN(2)/25)*AV80+(1-EXP(-LN(2)/25))/(LN(2)/25)*Calculateur!AQ81*Calculateur!AS81*VLOOKUP('Données projet'!$B$10,Paramètres!$A$1:$I$89,3,0)*0.475*44/12</f>
        <v>3.4644381961044735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23.655422424905034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15.142857142857142</v>
      </c>
      <c r="BD81" s="13">
        <f>IF('Données projet'!$A$88&gt;35,BD80+BC81-BL80,IF(A81&lt;'Données projet'!$A$88,$BA$205^A81,IF(A81='Données projet'!$A$88,'Données projet'!$B$88,BD80+BC81-BL80)))</f>
        <v>480.85714285714317</v>
      </c>
      <c r="BE81" s="14">
        <f>BD81*VLOOKUP('Données projet'!$B$11,Paramètres!$A$1:$I$89,3,0)*VLOOKUP('Données projet'!$B$11,Paramètres!$A$1:$I$89,5,0)</f>
        <v>225.041142857143</v>
      </c>
      <c r="BF81" s="14">
        <f t="shared" si="91"/>
        <v>55.209104329514197</v>
      </c>
      <c r="BG81" s="22">
        <f t="shared" si="61"/>
        <v>488.10251385009468</v>
      </c>
      <c r="BH81" s="62">
        <f t="shared" si="62"/>
        <v>745.85280632908916</v>
      </c>
      <c r="BI81" s="62">
        <f ca="1">AVERAGE(OFFSET($BH$3,0,0,'Données projet'!$E$11+1,1))-AVERAGE(OFFSET($H$3,0,0,'Données projet'!$E$11+1,1))</f>
        <v>374.62597460242665</v>
      </c>
      <c r="BJ81" s="62">
        <f t="shared" si="92"/>
        <v>277.50105097454616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6.8181818181818183</v>
      </c>
      <c r="BY81" s="13">
        <f>IF('Données projet'!$A$114&gt;35,BY80+BX81-CG80,IF(A81&lt;'Données projet'!$A$114,$BV$205^A81,IF(A81='Données projet'!$A$114,'Données projet'!$B$114,BY80+BX81-CG80)))</f>
        <v>290.72727272727286</v>
      </c>
      <c r="BZ81" s="14">
        <f>BY81*VLOOKUP('Données projet'!$B$12,Paramètres!$A$1:$I$89,3,0)*VLOOKUP('Données projet'!$B$12,Paramètres!$A$1:$I$89,5,0)</f>
        <v>136.06036363636369</v>
      </c>
      <c r="CA81" s="14">
        <f t="shared" si="93"/>
        <v>35.392996306699786</v>
      </c>
      <c r="CB81" s="22">
        <f t="shared" si="64"/>
        <v>298.61460190083551</v>
      </c>
      <c r="CC81" s="62">
        <f t="shared" si="65"/>
        <v>556.36489437983005</v>
      </c>
      <c r="CD81" s="62">
        <f ca="1">AVERAGE(OFFSET($CC$3,0,0,'Données projet'!$E$12+1,1))-AVERAGE(OFFSET($H$3,0,0,'Données projet'!$E$12+1,1))</f>
        <v>329.79342219561465</v>
      </c>
      <c r="CE81" s="62">
        <f t="shared" si="94"/>
        <v>144.63206563329757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547.60000000000036</v>
      </c>
      <c r="CU81" s="18">
        <f>CT81*VLOOKUP('Données projet'!$B$13,Paramètres!$A$1:$I$89,3,0)*VLOOKUP('Données projet'!$B$13,Paramètres!$A$1:$I$89,5,0)</f>
        <v>327.46480000000025</v>
      </c>
      <c r="CV81" s="14">
        <f t="shared" si="95"/>
        <v>76.904459845729548</v>
      </c>
      <c r="CW81" s="22">
        <f t="shared" si="67"/>
        <v>704.27646089797929</v>
      </c>
      <c r="CX81" s="62">
        <f t="shared" si="68"/>
        <v>962.02675337697383</v>
      </c>
      <c r="CY81" s="62">
        <f ca="1">AVERAGE(OFFSET($CX$3,0,0,'Données projet'!$E$13+1,1))-AVERAGE(OFFSET($H$3,0,0,'Données projet'!$E$13+1,1))</f>
        <v>530.27599556821826</v>
      </c>
      <c r="CZ81" s="62">
        <f t="shared" si="96"/>
        <v>370.62231794492129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8.9667786620130394E-7</v>
      </c>
      <c r="DI81" s="24">
        <f t="shared" si="69"/>
        <v>8.9667786620130394E-7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284.70000000000016</v>
      </c>
      <c r="DQ81" s="14">
        <f t="shared" si="97"/>
        <v>67.95928966850353</v>
      </c>
      <c r="DR81" s="22">
        <f t="shared" si="70"/>
        <v>614.21492950597724</v>
      </c>
      <c r="DS81" s="62">
        <f t="shared" si="71"/>
        <v>871.96522198497178</v>
      </c>
      <c r="DT81" s="62">
        <f ca="1">AVERAGE(OFFSET($DS$3,0,0,'Données projet'!$E$14+1,1))-AVERAGE(OFFSET($H$3,0,0,'Données projet'!$E$14+1,1))</f>
        <v>520.23742527061836</v>
      </c>
      <c r="DU81" s="62">
        <f t="shared" si="98"/>
        <v>321.35925479331274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3.6</v>
      </c>
      <c r="EJ81" s="13">
        <f>IF('Données projet'!$A$192&gt;35,EJ80+EI81-ER80,IF(A81&lt;'Données projet'!$A$192,$EG$205^A81,IF(A81='Données projet'!$A$192,'Données projet'!$B$192,EJ80+EI81-ER80)))</f>
        <v>225.79999999999993</v>
      </c>
      <c r="EK81" s="18">
        <f>EJ81*VLOOKUP('Données projet'!$B$15,Paramètres!$A$1:$I$89,3,0)*VLOOKUP('Données projet'!$B$15,Paramètres!$A$1:$I$89,5,0)</f>
        <v>236.00615999999997</v>
      </c>
      <c r="EL81" s="14">
        <f t="shared" si="99"/>
        <v>57.579398919369801</v>
      </c>
      <c r="EM81" s="22">
        <f t="shared" si="73"/>
        <v>511.32818178456893</v>
      </c>
      <c r="EN81" s="62">
        <f t="shared" si="74"/>
        <v>769.07847426356341</v>
      </c>
      <c r="EO81" s="62">
        <f ca="1">AVERAGE(OFFSET($EN$3,0,0,'Données projet'!$E$15+1,1))-AVERAGE(OFFSET($H$3,0,0,'Données projet'!$E$15+1,1))</f>
        <v>435.44444011810265</v>
      </c>
      <c r="EP81" s="62">
        <f t="shared" si="100"/>
        <v>447.15868732689762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7.2</v>
      </c>
      <c r="FE81" s="13">
        <f>IF('Données projet'!$A$218&gt;35,FE80+FD81-FM80,IF(A81&lt;'Données projet'!$A$218,$FB$205^A81,IF(A81='Données projet'!$A$218,'Données projet'!$B$218,FE80+FD81-FM80)))</f>
        <v>305.60000000000002</v>
      </c>
      <c r="FF81" s="18">
        <f>FE81*VLOOKUP('Données projet'!$B$16,Paramètres!$A$1:$I$89,3,0)*VLOOKUP('Données projet'!$B$16,Paramètres!$A$1:$I$89,5,0)</f>
        <v>309.87840000000006</v>
      </c>
      <c r="FG81" s="14">
        <f t="shared" si="101"/>
        <v>73.243434672131556</v>
      </c>
      <c r="FH81" s="22">
        <f t="shared" si="76"/>
        <v>667.27052872062916</v>
      </c>
      <c r="FI81" s="62">
        <f t="shared" si="77"/>
        <v>925.0208211996237</v>
      </c>
      <c r="FJ81" s="62">
        <f ca="1">AVERAGE(OFFSET($FI$3,0,0,'Données projet'!$E$16+1,1))-AVERAGE(OFFSET($H$3,0,0,'Données projet'!$E$16+1,1))</f>
        <v>547.89540791313675</v>
      </c>
      <c r="FK81" s="62">
        <f t="shared" si="102"/>
        <v>345.19555189302378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8.875</v>
      </c>
      <c r="FZ81" s="13">
        <f>IF('Données projet'!$A$244&gt;35,FZ80+FY81-GH80,IF(A81&lt;'Données projet'!$A$244,$FW$205^A81,IF(A81='Données projet'!$A$244,'Données projet'!$B$244,FZ80+FY81-GH80)))</f>
        <v>519.5</v>
      </c>
      <c r="GA81" s="18">
        <f>FZ81*VLOOKUP('Données projet'!$B$17,Paramètres!$A$1:$I$89,3,0)*VLOOKUP('Données projet'!$B$17,Paramètres!$A$1:$I$89,5,0)</f>
        <v>310.661</v>
      </c>
      <c r="GB81" s="14">
        <f t="shared" si="103"/>
        <v>73.406856163089444</v>
      </c>
      <c r="GC81" s="22">
        <f t="shared" si="79"/>
        <v>668.91818281738085</v>
      </c>
      <c r="GD81" s="62">
        <f t="shared" si="80"/>
        <v>926.66847529637539</v>
      </c>
      <c r="GE81" s="62">
        <f ca="1">AVERAGE(OFFSET($GD$3,0,0,'Données projet'!$E$17+1,1))-AVERAGE(OFFSET($H$3,0,0,'Données projet'!$E$17+1,1))</f>
        <v>409.68685886029164</v>
      </c>
      <c r="GF81" s="62">
        <f t="shared" si="104"/>
        <v>330.8416508650887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1.533768779337345E-6</v>
      </c>
      <c r="GO81" s="23">
        <f t="shared" si="81"/>
        <v>1.533768779337345E-6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73.098184695482075</v>
      </c>
      <c r="T82" s="62">
        <f t="shared" si="88"/>
        <v>334.38551711782793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20.749796584999189</v>
      </c>
      <c r="AA82" s="23">
        <f>EXP(-LN(2)/25)*AA81+(1-EXP(-LN(2)/25))/(LN(2)/25)*Calculateur!V82*Calculateur!X82*VLOOKUP('Données projet'!$B$9,Paramètres!$A$1:$I$89,3,0)*0.475*44/12</f>
        <v>3.5322288172704384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24.282025402269628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70.520400819593021</v>
      </c>
      <c r="AO82" s="62">
        <f t="shared" si="90"/>
        <v>321.48616153644309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19.795051343358125</v>
      </c>
      <c r="AV82" s="23">
        <f>EXP(-LN(2)/25)*AV81+(1-EXP(-LN(2)/25))/(LN(2)/25)*Calculateur!AQ82*Calculateur!AS82*VLOOKUP('Données projet'!$B$10,Paramètres!$A$1:$I$89,3,0)*0.475*44/12</f>
        <v>3.36970295144511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23.164754294803235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496</v>
      </c>
      <c r="BB82" s="13">
        <f>VLOOKUP(A82,'Données projet'!$A$87:$I$107,9,0)</f>
        <v>15.142857142857142</v>
      </c>
      <c r="BC82" s="13">
        <f t="array" ref="BC82">INDEX(BB:BB,MIN(IF(ISNUMBER(BB82:BB278),ROW(BB82:BB278),"")))</f>
        <v>15.142857142857142</v>
      </c>
      <c r="BD82" s="13">
        <f>IF('Données projet'!$A$88&gt;35,BD81+BC82-BL81,IF(A82&lt;'Données projet'!$A$88,$BA$205^A82,IF(A82='Données projet'!$A$88,'Données projet'!$B$88,BD81+BC82-BL81)))</f>
        <v>496.00000000000034</v>
      </c>
      <c r="BE82" s="14">
        <f>BD82*VLOOKUP('Données projet'!$B$11,Paramètres!$A$1:$I$89,3,0)*VLOOKUP('Données projet'!$B$11,Paramètres!$A$1:$I$89,5,0)</f>
        <v>232.12800000000016</v>
      </c>
      <c r="BF82" s="14">
        <f t="shared" si="91"/>
        <v>56.742557967082448</v>
      </c>
      <c r="BG82" s="22">
        <f t="shared" si="61"/>
        <v>503.11622179266891</v>
      </c>
      <c r="BH82" s="62">
        <f t="shared" si="62"/>
        <v>761.48380047872456</v>
      </c>
      <c r="BI82" s="62">
        <f ca="1">AVERAGE(OFFSET($BH$3,0,0,'Données projet'!$E$11+1,1))-AVERAGE(OFFSET($H$3,0,0,'Données projet'!$E$11+1,1))</f>
        <v>374.62597460242665</v>
      </c>
      <c r="BJ82" s="62">
        <f t="shared" si="92"/>
        <v>277.50105097454616</v>
      </c>
      <c r="BK82" s="16">
        <f>IF(ISNA(VLOOKUP(A82,'Données projet'!$A$87:$I$107,3,0)),0,VLOOKUP(A82,'Données projet'!$A$87:$I$107,3,0))</f>
        <v>13</v>
      </c>
      <c r="BL82" s="16">
        <f>IF(ISNA(VLOOKUP(A82,'Données projet'!$A$87:$I$107,4,0)),0,VLOOKUP(A82,'Données projet'!$A$87:$I$107,4,0))</f>
        <v>88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6.8181818181818183</v>
      </c>
      <c r="BY82" s="13">
        <f>IF('Données projet'!$A$114&gt;35,BY81+BX82-CG81,IF(A82&lt;'Données projet'!$A$114,$BV$205^A82,IF(A82='Données projet'!$A$114,'Données projet'!$B$114,BY81+BX82-CG81)))</f>
        <v>297.54545454545467</v>
      </c>
      <c r="BZ82" s="14">
        <f>BY82*VLOOKUP('Données projet'!$B$12,Paramètres!$A$1:$I$89,3,0)*VLOOKUP('Données projet'!$B$12,Paramètres!$A$1:$I$89,5,0)</f>
        <v>139.25127272727278</v>
      </c>
      <c r="CA82" s="14">
        <f t="shared" si="93"/>
        <v>36.125429096606993</v>
      </c>
      <c r="CB82" s="22">
        <f t="shared" si="64"/>
        <v>305.44775567659059</v>
      </c>
      <c r="CC82" s="62">
        <f t="shared" si="65"/>
        <v>563.81533436264624</v>
      </c>
      <c r="CD82" s="62">
        <f ca="1">AVERAGE(OFFSET($CC$3,0,0,'Données projet'!$E$12+1,1))-AVERAGE(OFFSET($H$3,0,0,'Données projet'!$E$12+1,1))</f>
        <v>329.79342219561465</v>
      </c>
      <c r="CE82" s="62">
        <f t="shared" si="94"/>
        <v>144.63206563329757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554.80000000000041</v>
      </c>
      <c r="CU82" s="18">
        <f>CT82*VLOOKUP('Données projet'!$B$13,Paramètres!$A$1:$I$89,3,0)*VLOOKUP('Données projet'!$B$13,Paramètres!$A$1:$I$89,5,0)</f>
        <v>331.77040000000028</v>
      </c>
      <c r="CV82" s="14">
        <f t="shared" si="95"/>
        <v>77.797241883601799</v>
      </c>
      <c r="CW82" s="22">
        <f t="shared" si="67"/>
        <v>713.33030961394024</v>
      </c>
      <c r="CX82" s="62">
        <f t="shared" si="68"/>
        <v>971.69788829999584</v>
      </c>
      <c r="CY82" s="62">
        <f ca="1">AVERAGE(OFFSET($CX$3,0,0,'Données projet'!$E$13+1,1))-AVERAGE(OFFSET($H$3,0,0,'Données projet'!$E$13+1,1))</f>
        <v>530.27599556821826</v>
      </c>
      <c r="CZ82" s="62">
        <f t="shared" si="96"/>
        <v>370.62231794492129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6.3404699973082575E-7</v>
      </c>
      <c r="DI82" s="24">
        <f t="shared" si="69"/>
        <v>6.3404699973082575E-7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291.53280000000012</v>
      </c>
      <c r="DQ82" s="14">
        <f t="shared" si="97"/>
        <v>69.398466273869005</v>
      </c>
      <c r="DR82" s="22">
        <f t="shared" si="70"/>
        <v>628.62195542698873</v>
      </c>
      <c r="DS82" s="62">
        <f t="shared" si="71"/>
        <v>886.98953411304433</v>
      </c>
      <c r="DT82" s="62">
        <f ca="1">AVERAGE(OFFSET($DS$3,0,0,'Données projet'!$E$14+1,1))-AVERAGE(OFFSET($H$3,0,0,'Données projet'!$E$14+1,1))</f>
        <v>520.23742527061836</v>
      </c>
      <c r="DU82" s="62">
        <f t="shared" si="98"/>
        <v>321.35925479331274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3.6</v>
      </c>
      <c r="EJ82" s="13">
        <f>IF('Données projet'!$A$192&gt;35,EJ81+EI82-ER81,IF(A82&lt;'Données projet'!$A$192,$EG$205^A82,IF(A82='Données projet'!$A$192,'Données projet'!$B$192,EJ81+EI82-ER81)))</f>
        <v>229.39999999999992</v>
      </c>
      <c r="EK82" s="18">
        <f>EJ82*VLOOKUP('Données projet'!$B$15,Paramètres!$A$1:$I$89,3,0)*VLOOKUP('Données projet'!$B$15,Paramètres!$A$1:$I$89,5,0)</f>
        <v>239.76887999999994</v>
      </c>
      <c r="EL82" s="14">
        <f t="shared" si="99"/>
        <v>58.389801100332612</v>
      </c>
      <c r="EM82" s="22">
        <f t="shared" si="73"/>
        <v>519.2930362497458</v>
      </c>
      <c r="EN82" s="62">
        <f t="shared" si="74"/>
        <v>777.6606149358015</v>
      </c>
      <c r="EO82" s="62">
        <f ca="1">AVERAGE(OFFSET($EN$3,0,0,'Données projet'!$E$15+1,1))-AVERAGE(OFFSET($H$3,0,0,'Données projet'!$E$15+1,1))</f>
        <v>435.44444011810265</v>
      </c>
      <c r="EP82" s="62">
        <f t="shared" si="100"/>
        <v>447.15868732689762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7.2</v>
      </c>
      <c r="FE82" s="13">
        <f>IF('Données projet'!$A$218&gt;35,FE81+FD82-FM81,IF(A82&lt;'Données projet'!$A$218,$FB$205^A82,IF(A82='Données projet'!$A$218,'Données projet'!$B$218,FE81+FD82-FM81)))</f>
        <v>312.8</v>
      </c>
      <c r="FF82" s="18">
        <f>FE82*VLOOKUP('Données projet'!$B$16,Paramètres!$A$1:$I$89,3,0)*VLOOKUP('Données projet'!$B$16,Paramètres!$A$1:$I$89,5,0)</f>
        <v>317.17920000000004</v>
      </c>
      <c r="FG82" s="14">
        <f t="shared" si="101"/>
        <v>74.766129261581426</v>
      </c>
      <c r="FH82" s="22">
        <f t="shared" si="76"/>
        <v>682.63811513058772</v>
      </c>
      <c r="FI82" s="62">
        <f t="shared" si="77"/>
        <v>941.00569381664332</v>
      </c>
      <c r="FJ82" s="62">
        <f ca="1">AVERAGE(OFFSET($FI$3,0,0,'Données projet'!$E$16+1,1))-AVERAGE(OFFSET($H$3,0,0,'Données projet'!$E$16+1,1))</f>
        <v>547.89540791313675</v>
      </c>
      <c r="FK82" s="62">
        <f t="shared" si="102"/>
        <v>345.19555189302378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8.875</v>
      </c>
      <c r="FZ82" s="13">
        <f>IF('Données projet'!$A$244&gt;35,FZ81+FY82-GH81,IF(A82&lt;'Données projet'!$A$244,$FW$205^A82,IF(A82='Données projet'!$A$244,'Données projet'!$B$244,FZ81+FY82-GH81)))</f>
        <v>528.375</v>
      </c>
      <c r="GA82" s="18">
        <f>FZ82*VLOOKUP('Données projet'!$B$17,Paramètres!$A$1:$I$89,3,0)*VLOOKUP('Données projet'!$B$17,Paramètres!$A$1:$I$89,5,0)</f>
        <v>315.96825000000001</v>
      </c>
      <c r="GB82" s="14">
        <f t="shared" si="103"/>
        <v>74.513851630905478</v>
      </c>
      <c r="GC82" s="22">
        <f t="shared" si="79"/>
        <v>680.08966034049365</v>
      </c>
      <c r="GD82" s="62">
        <f t="shared" si="80"/>
        <v>938.45723902654936</v>
      </c>
      <c r="GE82" s="62">
        <f ca="1">AVERAGE(OFFSET($GD$3,0,0,'Données projet'!$E$17+1,1))-AVERAGE(OFFSET($H$3,0,0,'Données projet'!$E$17+1,1))</f>
        <v>409.68685886029164</v>
      </c>
      <c r="GF82" s="62">
        <f t="shared" si="104"/>
        <v>330.8416508650887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1.0845383046416501E-6</v>
      </c>
      <c r="GO82" s="23">
        <f t="shared" si="81"/>
        <v>1.0845383046416501E-6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73.098184695482075</v>
      </c>
      <c r="T83" s="62">
        <f t="shared" si="88"/>
        <v>334.38551711782793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20.342905730093584</v>
      </c>
      <c r="AA83" s="23">
        <f>EXP(-LN(2)/25)*AA82+(1-EXP(-LN(2)/25))/(LN(2)/25)*Calculateur!V83*Calculateur!X83*VLOOKUP('Données projet'!$B$9,Paramètres!$A$1:$I$89,3,0)*0.475*44/12</f>
        <v>3.4356398345103378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23.77854556460392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70.520400819593021</v>
      </c>
      <c r="AO83" s="62">
        <f t="shared" si="90"/>
        <v>321.48616153644309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19.406882460304004</v>
      </c>
      <c r="AV83" s="23">
        <f>EXP(-LN(2)/25)*AV82+(1-EXP(-LN(2)/25))/(LN(2)/25)*Calculateur!AQ83*Calculateur!AS83*VLOOKUP('Données projet'!$B$10,Paramètres!$A$1:$I$89,3,0)*0.475*44/12</f>
        <v>3.277558247032867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22.684440707336872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423</v>
      </c>
      <c r="BB83" s="13">
        <f>VLOOKUP(A83,'Données projet'!$A$87:$I$107,9,0)</f>
        <v>15</v>
      </c>
      <c r="BC83" s="13">
        <f t="array" ref="BC83">INDEX(BB:BB,MIN(IF(ISNUMBER(BB83:BB279),ROW(BB83:BB279),"")))</f>
        <v>15</v>
      </c>
      <c r="BD83" s="13">
        <f>IF('Données projet'!$A$88&gt;35,BD82+BC83-BL82,IF(A83&lt;'Données projet'!$A$88,$BA$205^A83,IF(A83='Données projet'!$A$88,'Données projet'!$B$88,BD82+BC83-BL82)))</f>
        <v>423.00000000000034</v>
      </c>
      <c r="BE83" s="14">
        <f>BD83*VLOOKUP('Données projet'!$B$11,Paramètres!$A$1:$I$89,3,0)*VLOOKUP('Données projet'!$B$11,Paramètres!$A$1:$I$89,5,0)</f>
        <v>197.96400000000017</v>
      </c>
      <c r="BF83" s="14">
        <f t="shared" si="91"/>
        <v>49.296450435147804</v>
      </c>
      <c r="BG83" s="22">
        <f t="shared" si="61"/>
        <v>430.64528450788265</v>
      </c>
      <c r="BH83" s="62">
        <f t="shared" si="62"/>
        <v>689.6194408653522</v>
      </c>
      <c r="BI83" s="62">
        <f ca="1">AVERAGE(OFFSET($BH$3,0,0,'Données projet'!$E$11+1,1))-AVERAGE(OFFSET($H$3,0,0,'Données projet'!$E$11+1,1))</f>
        <v>374.62597460242665</v>
      </c>
      <c r="BJ83" s="62">
        <f t="shared" si="92"/>
        <v>277.50105097454616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6.8181818181818183</v>
      </c>
      <c r="BY83" s="13">
        <f>IF('Données projet'!$A$114&gt;35,BY82+BX83-CG82,IF(A83&lt;'Données projet'!$A$114,$BV$205^A83,IF(A83='Données projet'!$A$114,'Données projet'!$B$114,BY82+BX83-CG82)))</f>
        <v>304.36363636363649</v>
      </c>
      <c r="BZ83" s="14">
        <f>BY83*VLOOKUP('Données projet'!$B$12,Paramètres!$A$1:$I$89,3,0)*VLOOKUP('Données projet'!$B$12,Paramètres!$A$1:$I$89,5,0)</f>
        <v>142.44218181818187</v>
      </c>
      <c r="CA83" s="14">
        <f t="shared" si="93"/>
        <v>36.855910707455195</v>
      </c>
      <c r="CB83" s="22">
        <f t="shared" si="64"/>
        <v>312.27751114881789</v>
      </c>
      <c r="CC83" s="62">
        <f t="shared" si="65"/>
        <v>571.2516675062875</v>
      </c>
      <c r="CD83" s="62">
        <f ca="1">AVERAGE(OFFSET($CC$3,0,0,'Données projet'!$E$12+1,1))-AVERAGE(OFFSET($H$3,0,0,'Données projet'!$E$12+1,1))</f>
        <v>329.79342219561465</v>
      </c>
      <c r="CE83" s="62">
        <f t="shared" si="94"/>
        <v>144.63206563329757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562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562.00000000000045</v>
      </c>
      <c r="CU83" s="18">
        <f>CT83*VLOOKUP('Données projet'!$B$13,Paramètres!$A$1:$I$89,3,0)*VLOOKUP('Données projet'!$B$13,Paramètres!$A$1:$I$89,5,0)</f>
        <v>336.07600000000031</v>
      </c>
      <c r="CV83" s="14">
        <f t="shared" si="95"/>
        <v>78.688676264452312</v>
      </c>
      <c r="CW83" s="22">
        <f t="shared" si="67"/>
        <v>722.38181116058831</v>
      </c>
      <c r="CX83" s="62">
        <f t="shared" si="68"/>
        <v>981.35596751805792</v>
      </c>
      <c r="CY83" s="62">
        <f ca="1">AVERAGE(OFFSET($CX$3,0,0,'Données projet'!$E$13+1,1))-AVERAGE(OFFSET($H$3,0,0,'Données projet'!$E$13+1,1))</f>
        <v>530.27599556821826</v>
      </c>
      <c r="CZ83" s="62">
        <f t="shared" si="96"/>
        <v>370.62231794492129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36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4.4833893310065197E-7</v>
      </c>
      <c r="DI83" s="24">
        <f t="shared" si="69"/>
        <v>4.4833893310065197E-7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298.36560000000014</v>
      </c>
      <c r="DQ83" s="14">
        <f t="shared" si="97"/>
        <v>70.833721596915623</v>
      </c>
      <c r="DR83" s="22">
        <f t="shared" si="70"/>
        <v>643.02215178129484</v>
      </c>
      <c r="DS83" s="62">
        <f t="shared" si="71"/>
        <v>901.99630813876433</v>
      </c>
      <c r="DT83" s="62">
        <f ca="1">AVERAGE(OFFSET($DS$3,0,0,'Données projet'!$E$14+1,1))-AVERAGE(OFFSET($H$3,0,0,'Données projet'!$E$14+1,1))</f>
        <v>520.23742527061836</v>
      </c>
      <c r="DU83" s="62">
        <f t="shared" si="98"/>
        <v>321.35925479331274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233</v>
      </c>
      <c r="EH83" s="13">
        <f>VLOOKUP(A83,'Données projet'!$A$191:$I$211,9,0)</f>
        <v>3.6</v>
      </c>
      <c r="EI83" s="13">
        <f t="array" ref="EI83">INDEX(EH:EH,MIN(IF(ISNUMBER(EH83:EH279),ROW(EH83:EH279),"")))</f>
        <v>3.6</v>
      </c>
      <c r="EJ83" s="13">
        <f>IF('Données projet'!$A$192&gt;35,EJ82+EI83-ER82,IF(A83&lt;'Données projet'!$A$192,$EG$205^A83,IF(A83='Données projet'!$A$192,'Données projet'!$B$192,EJ82+EI83-ER82)))</f>
        <v>232.99999999999991</v>
      </c>
      <c r="EK83" s="18">
        <f>EJ83*VLOOKUP('Données projet'!$B$15,Paramètres!$A$1:$I$89,3,0)*VLOOKUP('Données projet'!$B$15,Paramètres!$A$1:$I$89,5,0)</f>
        <v>243.53159999999994</v>
      </c>
      <c r="EL83" s="14">
        <f t="shared" si="99"/>
        <v>59.198724224270357</v>
      </c>
      <c r="EM83" s="22">
        <f t="shared" si="73"/>
        <v>527.25531469060411</v>
      </c>
      <c r="EN83" s="62">
        <f t="shared" si="74"/>
        <v>786.22947104807372</v>
      </c>
      <c r="EO83" s="62">
        <f ca="1">AVERAGE(OFFSET($EN$3,0,0,'Données projet'!$E$15+1,1))-AVERAGE(OFFSET($H$3,0,0,'Données projet'!$E$15+1,1))</f>
        <v>435.44444011810265</v>
      </c>
      <c r="EP83" s="62">
        <f t="shared" si="100"/>
        <v>447.15868732689762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13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320</v>
      </c>
      <c r="FC83" s="13">
        <f>VLOOKUP(A83,'Données projet'!$A$217:$I$237,9,0)</f>
        <v>7.2</v>
      </c>
      <c r="FD83" s="13">
        <f t="array" ref="FD83">INDEX(FC:FC,MIN(IF(ISNUMBER(FC83:FC279),ROW(FC83:FC279),"")))</f>
        <v>7.2</v>
      </c>
      <c r="FE83" s="13">
        <f>IF('Données projet'!$A$218&gt;35,FE82+FD83-FM82,IF(A83&lt;'Données projet'!$A$218,$FB$205^A83,IF(A83='Données projet'!$A$218,'Données projet'!$B$218,FE82+FD83-FM82)))</f>
        <v>320</v>
      </c>
      <c r="FF83" s="18">
        <f>FE83*VLOOKUP('Données projet'!$B$16,Paramètres!$A$1:$I$89,3,0)*VLOOKUP('Données projet'!$B$16,Paramètres!$A$1:$I$89,5,0)</f>
        <v>324.48</v>
      </c>
      <c r="FG83" s="14">
        <f t="shared" si="101"/>
        <v>76.284749200165578</v>
      </c>
      <c r="FH83" s="22">
        <f t="shared" si="76"/>
        <v>697.99860485695501</v>
      </c>
      <c r="FI83" s="62">
        <f t="shared" si="77"/>
        <v>956.97276121442451</v>
      </c>
      <c r="FJ83" s="62">
        <f ca="1">AVERAGE(OFFSET($FI$3,0,0,'Données projet'!$E$16+1,1))-AVERAGE(OFFSET($H$3,0,0,'Données projet'!$E$16+1,1))</f>
        <v>547.89540791313675</v>
      </c>
      <c r="FK83" s="62">
        <f t="shared" si="102"/>
        <v>345.19555189302378</v>
      </c>
      <c r="FL83" s="16">
        <f>IF(ISNA(VLOOKUP(A83,'Données projet'!$A$217:$I$237,3,0)),0,VLOOKUP(A83,'Données projet'!$A$217:$I$237,3,0))</f>
        <v>13</v>
      </c>
      <c r="FM83" s="16">
        <f>IF(ISNA(VLOOKUP(A83,'Données projet'!$A$217:$I$237,4,0)),0,VLOOKUP(A83,'Données projet'!$A$217:$I$237,4,0))</f>
        <v>28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8.875</v>
      </c>
      <c r="FZ83" s="13">
        <f>IF('Données projet'!$A$244&gt;35,FZ82+FY83-GH82,IF(A83&lt;'Données projet'!$A$244,$FW$205^A83,IF(A83='Données projet'!$A$244,'Données projet'!$B$244,FZ82+FY83-GH82)))</f>
        <v>537.25</v>
      </c>
      <c r="GA83" s="18">
        <f>FZ83*VLOOKUP('Données projet'!$B$17,Paramètres!$A$1:$I$89,3,0)*VLOOKUP('Données projet'!$B$17,Paramètres!$A$1:$I$89,5,0)</f>
        <v>321.27550000000002</v>
      </c>
      <c r="GB83" s="14">
        <f t="shared" si="103"/>
        <v>75.618684768443416</v>
      </c>
      <c r="GC83" s="22">
        <f t="shared" si="79"/>
        <v>691.25737180503893</v>
      </c>
      <c r="GD83" s="62">
        <f t="shared" si="80"/>
        <v>950.23152816250854</v>
      </c>
      <c r="GE83" s="62">
        <f ca="1">AVERAGE(OFFSET($GD$3,0,0,'Données projet'!$E$17+1,1))-AVERAGE(OFFSET($H$3,0,0,'Données projet'!$E$17+1,1))</f>
        <v>409.68685886029164</v>
      </c>
      <c r="GF83" s="62">
        <f t="shared" si="104"/>
        <v>330.8416508650887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7.6688438966867251E-7</v>
      </c>
      <c r="GO83" s="23">
        <f t="shared" si="81"/>
        <v>7.6688438966867251E-7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73.098184695482075</v>
      </c>
      <c r="T84" s="62">
        <f t="shared" si="88"/>
        <v>334.38551711782793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19.943993756673763</v>
      </c>
      <c r="AA84" s="23">
        <f>EXP(-LN(2)/25)*AA83+(1-EXP(-LN(2)/25))/(LN(2)/25)*Calculateur!V84*Calculateur!X84*VLOOKUP('Données projet'!$B$9,Paramètres!$A$1:$I$89,3,0)*0.475*44/12</f>
        <v>3.3416920825632062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23.285685839236969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70.520400819593021</v>
      </c>
      <c r="AO84" s="62">
        <f t="shared" si="90"/>
        <v>321.48616153644309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19.026325332286934</v>
      </c>
      <c r="AV84" s="23">
        <f>EXP(-LN(2)/25)*AV83+(1-EXP(-LN(2)/25))/(LN(2)/25)*Calculateur!AQ84*Calculateur!AS84*VLOOKUP('Données projet'!$B$10,Paramètres!$A$1:$I$89,3,0)*0.475*44/12</f>
        <v>3.1879332444084558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22.214258576695389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14.142857142857142</v>
      </c>
      <c r="BD84" s="13">
        <f>IF('Données projet'!$A$88&gt;35,BD83+BC84-BL83,IF(A84&lt;'Données projet'!$A$88,$BA$205^A84,IF(A84='Données projet'!$A$88,'Données projet'!$B$88,BD83+BC84-BL83)))</f>
        <v>437.14285714285751</v>
      </c>
      <c r="BE84" s="14">
        <f>BD84*VLOOKUP('Données projet'!$B$11,Paramètres!$A$1:$I$89,3,0)*VLOOKUP('Données projet'!$B$11,Paramètres!$A$1:$I$89,5,0)</f>
        <v>204.58285714285734</v>
      </c>
      <c r="BF84" s="14">
        <f t="shared" si="91"/>
        <v>50.750009154879976</v>
      </c>
      <c r="BG84" s="22">
        <f t="shared" si="61"/>
        <v>444.70474213522584</v>
      </c>
      <c r="BH84" s="62">
        <f t="shared" si="62"/>
        <v>704.27495339761458</v>
      </c>
      <c r="BI84" s="62">
        <f ca="1">AVERAGE(OFFSET($BH$3,0,0,'Données projet'!$E$11+1,1))-AVERAGE(OFFSET($H$3,0,0,'Données projet'!$E$11+1,1))</f>
        <v>374.62597460242665</v>
      </c>
      <c r="BJ84" s="62">
        <f t="shared" si="92"/>
        <v>277.50105097454616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6.8181818181818183</v>
      </c>
      <c r="BY84" s="13">
        <f>IF('Données projet'!$A$114&gt;35,BY83+BX84-CG83,IF(A84&lt;'Données projet'!$A$114,$BV$205^A84,IF(A84='Données projet'!$A$114,'Données projet'!$B$114,BY83+BX84-CG83)))</f>
        <v>311.1818181818183</v>
      </c>
      <c r="BZ84" s="14">
        <f>BY84*VLOOKUP('Données projet'!$B$12,Paramètres!$A$1:$I$89,3,0)*VLOOKUP('Données projet'!$B$12,Paramètres!$A$1:$I$89,5,0)</f>
        <v>145.63309090909095</v>
      </c>
      <c r="CA84" s="14">
        <f t="shared" si="93"/>
        <v>37.584489880877008</v>
      </c>
      <c r="CB84" s="22">
        <f t="shared" si="64"/>
        <v>319.10395320919417</v>
      </c>
      <c r="CC84" s="62">
        <f t="shared" si="65"/>
        <v>578.67416447158303</v>
      </c>
      <c r="CD84" s="62">
        <f ca="1">AVERAGE(OFFSET($CC$3,0,0,'Données projet'!$E$12+1,1))-AVERAGE(OFFSET($H$3,0,0,'Données projet'!$E$12+1,1))</f>
        <v>329.79342219561465</v>
      </c>
      <c r="CE84" s="62">
        <f t="shared" si="94"/>
        <v>144.63206563329757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6.6</v>
      </c>
      <c r="CT84" s="13">
        <f>IF('Données projet'!$A$140&gt;35,CT83+CS84-DB83,IF(A84&lt;'Données projet'!$A$140,$CQ$205^A84,IF(A84='Données projet'!$A$140,'Données projet'!$B$140,CT83+CS84-DB83)))</f>
        <v>532.60000000000048</v>
      </c>
      <c r="CU84" s="18">
        <f>CT84*VLOOKUP('Données projet'!$B$13,Paramètres!$A$1:$I$89,3,0)*VLOOKUP('Données projet'!$B$13,Paramètres!$A$1:$I$89,5,0)</f>
        <v>318.49480000000034</v>
      </c>
      <c r="CV84" s="14">
        <f t="shared" si="95"/>
        <v>75.040081642259693</v>
      </c>
      <c r="CW84" s="22">
        <f t="shared" si="67"/>
        <v>685.40658552693606</v>
      </c>
      <c r="CX84" s="62">
        <f t="shared" si="68"/>
        <v>944.97679678932491</v>
      </c>
      <c r="CY84" s="62">
        <f ca="1">AVERAGE(OFFSET($CX$3,0,0,'Données projet'!$E$13+1,1))-AVERAGE(OFFSET($H$3,0,0,'Données projet'!$E$13+1,1))</f>
        <v>530.27599556821826</v>
      </c>
      <c r="CZ84" s="62">
        <f t="shared" si="96"/>
        <v>370.62231794492129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3.1702349986541288E-7</v>
      </c>
      <c r="DI84" s="24">
        <f t="shared" si="69"/>
        <v>3.1702349986541288E-7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280.82808000000017</v>
      </c>
      <c r="DQ84" s="14">
        <f t="shared" si="97"/>
        <v>67.141975901776362</v>
      </c>
      <c r="DR84" s="22">
        <f t="shared" si="70"/>
        <v>606.04784736226065</v>
      </c>
      <c r="DS84" s="62">
        <f t="shared" si="71"/>
        <v>865.61805862464939</v>
      </c>
      <c r="DT84" s="62">
        <f ca="1">AVERAGE(OFFSET($DS$3,0,0,'Données projet'!$E$14+1,1))-AVERAGE(OFFSET($H$3,0,0,'Données projet'!$E$14+1,1))</f>
        <v>520.23742527061836</v>
      </c>
      <c r="DU84" s="62">
        <f t="shared" si="98"/>
        <v>321.35925479331274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</v>
      </c>
      <c r="EJ84" s="13">
        <f>IF('Données projet'!$A$192&gt;35,EJ83+EI84-ER83,IF(A84&lt;'Données projet'!$A$192,$EG$205^A84,IF(A84='Données projet'!$A$192,'Données projet'!$B$192,EJ83+EI84-ER83)))</f>
        <v>222.99999999999991</v>
      </c>
      <c r="EK84" s="18">
        <f>EJ84*VLOOKUP('Données projet'!$B$15,Paramètres!$A$1:$I$89,3,0)*VLOOKUP('Données projet'!$B$15,Paramètres!$A$1:$I$89,5,0)</f>
        <v>233.07959999999991</v>
      </c>
      <c r="EL84" s="14">
        <f t="shared" si="99"/>
        <v>56.948046716289042</v>
      </c>
      <c r="EM84" s="22">
        <f t="shared" si="73"/>
        <v>505.13148469753651</v>
      </c>
      <c r="EN84" s="62">
        <f t="shared" si="74"/>
        <v>764.70169595992525</v>
      </c>
      <c r="EO84" s="62">
        <f ca="1">AVERAGE(OFFSET($EN$3,0,0,'Données projet'!$E$15+1,1))-AVERAGE(OFFSET($H$3,0,0,'Données projet'!$E$15+1,1))</f>
        <v>435.44444011810265</v>
      </c>
      <c r="EP84" s="62">
        <f t="shared" si="100"/>
        <v>447.15868732689762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6.8</v>
      </c>
      <c r="FE84" s="13">
        <f>IF('Données projet'!$A$218&gt;35,FE83+FD84-FM83,IF(A84&lt;'Données projet'!$A$218,$FB$205^A84,IF(A84='Données projet'!$A$218,'Données projet'!$B$218,FE83+FD84-FM83)))</f>
        <v>298.8</v>
      </c>
      <c r="FF84" s="18">
        <f>FE84*VLOOKUP('Données projet'!$B$16,Paramètres!$A$1:$I$89,3,0)*VLOOKUP('Données projet'!$B$16,Paramètres!$A$1:$I$89,5,0)</f>
        <v>302.98320000000007</v>
      </c>
      <c r="FG84" s="14">
        <f t="shared" si="101"/>
        <v>71.801496173397709</v>
      </c>
      <c r="FH84" s="22">
        <f t="shared" si="76"/>
        <v>652.75001250200114</v>
      </c>
      <c r="FI84" s="62">
        <f t="shared" si="77"/>
        <v>912.32022376438999</v>
      </c>
      <c r="FJ84" s="62">
        <f ca="1">AVERAGE(OFFSET($FI$3,0,0,'Données projet'!$E$16+1,1))-AVERAGE(OFFSET($H$3,0,0,'Données projet'!$E$16+1,1))</f>
        <v>547.89540791313675</v>
      </c>
      <c r="FK84" s="62">
        <f t="shared" si="102"/>
        <v>345.19555189302378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8.875</v>
      </c>
      <c r="FZ84" s="13">
        <f>IF('Données projet'!$A$244&gt;35,FZ83+FY84-GH83,IF(A84&lt;'Données projet'!$A$244,$FW$205^A84,IF(A84='Données projet'!$A$244,'Données projet'!$B$244,FZ83+FY84-GH83)))</f>
        <v>546.125</v>
      </c>
      <c r="GA84" s="18">
        <f>FZ84*VLOOKUP('Données projet'!$B$17,Paramètres!$A$1:$I$89,3,0)*VLOOKUP('Données projet'!$B$17,Paramètres!$A$1:$I$89,5,0)</f>
        <v>326.58275000000003</v>
      </c>
      <c r="GB84" s="14">
        <f t="shared" si="103"/>
        <v>76.72139541907876</v>
      </c>
      <c r="GC84" s="22">
        <f t="shared" si="79"/>
        <v>702.42138660489547</v>
      </c>
      <c r="GD84" s="62">
        <f t="shared" si="80"/>
        <v>961.99159786728433</v>
      </c>
      <c r="GE84" s="62">
        <f ca="1">AVERAGE(OFFSET($GD$3,0,0,'Données projet'!$E$17+1,1))-AVERAGE(OFFSET($H$3,0,0,'Données projet'!$E$17+1,1))</f>
        <v>409.68685886029164</v>
      </c>
      <c r="GF84" s="62">
        <f t="shared" si="104"/>
        <v>330.8416508650887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5.4226915232082505E-7</v>
      </c>
      <c r="GO84" s="23">
        <f t="shared" si="81"/>
        <v>5.4226915232082505E-7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73.098184695482075</v>
      </c>
      <c r="T85" s="62">
        <f t="shared" si="88"/>
        <v>334.38551711782793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19.552904203740425</v>
      </c>
      <c r="AA85" s="23">
        <f>EXP(-LN(2)/25)*AA84+(1-EXP(-LN(2)/25))/(LN(2)/25)*Calculateur!V85*Calculateur!X85*VLOOKUP('Données projet'!$B$9,Paramètres!$A$1:$I$89,3,0)*0.475*44/12</f>
        <v>3.2503133368335662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22.803217540573993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70.520400819593021</v>
      </c>
      <c r="AO85" s="62">
        <f t="shared" si="90"/>
        <v>321.48616153644309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18.653230697433351</v>
      </c>
      <c r="AV85" s="23">
        <f>EXP(-LN(2)/25)*AV84+(1-EXP(-LN(2)/25))/(LN(2)/25)*Calculateur!AQ85*Calculateur!AS85*VLOOKUP('Données projet'!$B$10,Paramètres!$A$1:$I$89,3,0)*0.475*44/12</f>
        <v>3.1007590421939835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21.753989739627336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14.142857142857142</v>
      </c>
      <c r="BD85" s="13">
        <f>IF('Données projet'!$A$88&gt;35,BD84+BC85-BL84,IF(A85&lt;'Données projet'!$A$88,$BA$205^A85,IF(A85='Données projet'!$A$88,'Données projet'!$B$88,BD84+BC85-BL84)))</f>
        <v>451.28571428571468</v>
      </c>
      <c r="BE85" s="14">
        <f>BD85*VLOOKUP('Données projet'!$B$11,Paramètres!$A$1:$I$89,3,0)*VLOOKUP('Données projet'!$B$11,Paramètres!$A$1:$I$89,5,0)</f>
        <v>211.20171428571447</v>
      </c>
      <c r="BF85" s="14">
        <f t="shared" si="91"/>
        <v>52.198103230485451</v>
      </c>
      <c r="BG85" s="22">
        <f t="shared" si="61"/>
        <v>458.75468217404813</v>
      </c>
      <c r="BH85" s="62">
        <f t="shared" si="62"/>
        <v>718.91060812133514</v>
      </c>
      <c r="BI85" s="62">
        <f ca="1">AVERAGE(OFFSET($BH$3,0,0,'Données projet'!$E$11+1,1))-AVERAGE(OFFSET($H$3,0,0,'Données projet'!$E$11+1,1))</f>
        <v>374.62597460242665</v>
      </c>
      <c r="BJ85" s="62">
        <f t="shared" si="92"/>
        <v>277.50105097454616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>
        <f>VLOOKUP(A85,'Données projet'!$A$113:$I$133,2,0)</f>
        <v>318</v>
      </c>
      <c r="BW85" s="13">
        <f>VLOOKUP(A85,'Données projet'!$A$113:$I$133,9,0)</f>
        <v>6.8181818181818183</v>
      </c>
      <c r="BX85" s="13">
        <f t="array" ref="BX85">INDEX(BW:BW,MIN(IF(ISNUMBER(BW85:BW281),ROW(BW85:BW281),"")))</f>
        <v>6.8181818181818183</v>
      </c>
      <c r="BY85" s="13">
        <f>IF('Données projet'!$A$114&gt;35,BY84+BX85-CG84,IF(A85&lt;'Données projet'!$A$114,$BV$205^A85,IF(A85='Données projet'!$A$114,'Données projet'!$B$114,BY84+BX85-CG84)))</f>
        <v>318.00000000000011</v>
      </c>
      <c r="BZ85" s="14">
        <f>BY85*VLOOKUP('Données projet'!$B$12,Paramètres!$A$1:$I$89,3,0)*VLOOKUP('Données projet'!$B$12,Paramètres!$A$1:$I$89,5,0)</f>
        <v>148.82400000000004</v>
      </c>
      <c r="CA85" s="14">
        <f t="shared" si="93"/>
        <v>38.311213100614353</v>
      </c>
      <c r="CB85" s="22">
        <f t="shared" si="64"/>
        <v>325.92716281690338</v>
      </c>
      <c r="CC85" s="62">
        <f t="shared" si="65"/>
        <v>586.08308876419028</v>
      </c>
      <c r="CD85" s="62">
        <f ca="1">AVERAGE(OFFSET($CC$3,0,0,'Données projet'!$E$12+1,1))-AVERAGE(OFFSET($H$3,0,0,'Données projet'!$E$12+1,1))</f>
        <v>329.79342219561465</v>
      </c>
      <c r="CE85" s="62">
        <f t="shared" si="94"/>
        <v>144.63206563329757</v>
      </c>
      <c r="CF85" s="16">
        <f>IF(ISNA(VLOOKUP(A85,'Données projet'!$A$113:$I$133,3,0)),0,VLOOKUP(A85,'Données projet'!$A$113:$I$133,3,0))</f>
        <v>7</v>
      </c>
      <c r="CG85" s="16">
        <f>IF(ISNA(VLOOKUP(A85,'Données projet'!$A$113:$I$133,4,0)),0,VLOOKUP(A85,'Données projet'!$A$113:$I$133,4,0))</f>
        <v>92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6.6</v>
      </c>
      <c r="CT85" s="13">
        <f>IF('Données projet'!$A$140&gt;35,CT84+CS85-DB84,IF(A85&lt;'Données projet'!$A$140,$CQ$205^A85,IF(A85='Données projet'!$A$140,'Données projet'!$B$140,CT84+CS85-DB84)))</f>
        <v>539.2000000000005</v>
      </c>
      <c r="CU85" s="18">
        <f>CT85*VLOOKUP('Données projet'!$B$13,Paramètres!$A$1:$I$89,3,0)*VLOOKUP('Données projet'!$B$13,Paramètres!$A$1:$I$89,5,0)</f>
        <v>322.44160000000034</v>
      </c>
      <c r="CV85" s="14">
        <f t="shared" si="95"/>
        <v>75.861151069099279</v>
      </c>
      <c r="CW85" s="22">
        <f t="shared" si="67"/>
        <v>693.71062477868179</v>
      </c>
      <c r="CX85" s="62">
        <f t="shared" si="68"/>
        <v>953.86655072596875</v>
      </c>
      <c r="CY85" s="62">
        <f ca="1">AVERAGE(OFFSET($CX$3,0,0,'Données projet'!$E$13+1,1))-AVERAGE(OFFSET($H$3,0,0,'Données projet'!$E$13+1,1))</f>
        <v>530.27599556821826</v>
      </c>
      <c r="CZ85" s="62">
        <f t="shared" si="96"/>
        <v>370.62231794492129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2.2416946655032598E-7</v>
      </c>
      <c r="DI85" s="24">
        <f t="shared" si="69"/>
        <v>2.2416946655032598E-7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287.20536000000016</v>
      </c>
      <c r="DQ85" s="14">
        <f t="shared" si="97"/>
        <v>68.487449599625734</v>
      </c>
      <c r="DR85" s="22">
        <f t="shared" si="70"/>
        <v>619.49831005268175</v>
      </c>
      <c r="DS85" s="62">
        <f t="shared" si="71"/>
        <v>879.65423599996871</v>
      </c>
      <c r="DT85" s="62">
        <f ca="1">AVERAGE(OFFSET($DS$3,0,0,'Données projet'!$E$14+1,1))-AVERAGE(OFFSET($H$3,0,0,'Données projet'!$E$14+1,1))</f>
        <v>520.23742527061836</v>
      </c>
      <c r="DU85" s="62">
        <f t="shared" si="98"/>
        <v>321.35925479331274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</v>
      </c>
      <c r="EJ85" s="13">
        <f>IF('Données projet'!$A$192&gt;35,EJ84+EI85-ER84,IF(A85&lt;'Données projet'!$A$192,$EG$205^A85,IF(A85='Données projet'!$A$192,'Données projet'!$B$192,EJ84+EI85-ER84)))</f>
        <v>225.99999999999991</v>
      </c>
      <c r="EK85" s="18">
        <f>EJ85*VLOOKUP('Données projet'!$B$15,Paramètres!$A$1:$I$89,3,0)*VLOOKUP('Données projet'!$B$15,Paramètres!$A$1:$I$89,5,0)</f>
        <v>236.21519999999995</v>
      </c>
      <c r="EL85" s="14">
        <f t="shared" si="99"/>
        <v>57.624460509298522</v>
      </c>
      <c r="EM85" s="22">
        <f t="shared" si="73"/>
        <v>511.77074205369485</v>
      </c>
      <c r="EN85" s="62">
        <f t="shared" si="74"/>
        <v>771.92666800098186</v>
      </c>
      <c r="EO85" s="62">
        <f ca="1">AVERAGE(OFFSET($EN$3,0,0,'Données projet'!$E$15+1,1))-AVERAGE(OFFSET($H$3,0,0,'Données projet'!$E$15+1,1))</f>
        <v>435.44444011810265</v>
      </c>
      <c r="EP85" s="62">
        <f t="shared" si="100"/>
        <v>447.15868732689762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6.8</v>
      </c>
      <c r="FE85" s="13">
        <f>IF('Données projet'!$A$218&gt;35,FE84+FD85-FM84,IF(A85&lt;'Données projet'!$A$218,$FB$205^A85,IF(A85='Données projet'!$A$218,'Données projet'!$B$218,FE84+FD85-FM84)))</f>
        <v>305.60000000000002</v>
      </c>
      <c r="FF85" s="18">
        <f>FE85*VLOOKUP('Données projet'!$B$16,Paramètres!$A$1:$I$89,3,0)*VLOOKUP('Données projet'!$B$16,Paramètres!$A$1:$I$89,5,0)</f>
        <v>309.87840000000006</v>
      </c>
      <c r="FG85" s="14">
        <f t="shared" si="101"/>
        <v>73.243434672131556</v>
      </c>
      <c r="FH85" s="22">
        <f t="shared" si="76"/>
        <v>667.27052872062916</v>
      </c>
      <c r="FI85" s="62">
        <f t="shared" si="77"/>
        <v>927.42645466791612</v>
      </c>
      <c r="FJ85" s="62">
        <f ca="1">AVERAGE(OFFSET($FI$3,0,0,'Données projet'!$E$16+1,1))-AVERAGE(OFFSET($H$3,0,0,'Données projet'!$E$16+1,1))</f>
        <v>547.89540791313675</v>
      </c>
      <c r="FK85" s="62">
        <f t="shared" si="102"/>
        <v>345.19555189302378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>
        <f>VLOOKUP(A85,'Données projet'!$A$243:$I$263,2,0)</f>
        <v>555</v>
      </c>
      <c r="FX85" s="13">
        <f>VLOOKUP(A85,'Données projet'!$A$243:$I$263,9,0)</f>
        <v>8.875</v>
      </c>
      <c r="FY85" s="13">
        <f t="array" ref="FY85">INDEX(FX:FX,MIN(IF(ISNUMBER(FX85:FX281),ROW(FX85:FX281),"")))</f>
        <v>8.875</v>
      </c>
      <c r="FZ85" s="13">
        <f>IF('Données projet'!$A$244&gt;35,FZ84+FY85-GH84,IF(A85&lt;'Données projet'!$A$244,$FW$205^A85,IF(A85='Données projet'!$A$244,'Données projet'!$B$244,FZ84+FY85-GH84)))</f>
        <v>555</v>
      </c>
      <c r="GA85" s="18">
        <f>FZ85*VLOOKUP('Données projet'!$B$17,Paramètres!$A$1:$I$89,3,0)*VLOOKUP('Données projet'!$B$17,Paramètres!$A$1:$I$89,5,0)</f>
        <v>331.89000000000004</v>
      </c>
      <c r="GB85" s="14">
        <f t="shared" si="103"/>
        <v>77.822022056956186</v>
      </c>
      <c r="GC85" s="22">
        <f t="shared" si="79"/>
        <v>713.58177174919865</v>
      </c>
      <c r="GD85" s="62">
        <f t="shared" si="80"/>
        <v>973.73769769648561</v>
      </c>
      <c r="GE85" s="62">
        <f ca="1">AVERAGE(OFFSET($GD$3,0,0,'Données projet'!$E$17+1,1))-AVERAGE(OFFSET($H$3,0,0,'Données projet'!$E$17+1,1))</f>
        <v>409.68685886029164</v>
      </c>
      <c r="GF85" s="62">
        <f t="shared" si="104"/>
        <v>330.8416508650887</v>
      </c>
      <c r="GG85" s="16">
        <f>IF(ISNA(VLOOKUP(A85,'Données projet'!$A$243:$I$263,3,0)),0,VLOOKUP(A85,'Données projet'!$A$243:$I$263,3,0))</f>
        <v>11</v>
      </c>
      <c r="GH85" s="16">
        <f>IF(ISNA(VLOOKUP(A85,'Données projet'!$A$243:$I$263,4,0)),0,VLOOKUP(A85,'Données projet'!$A$243:$I$263,4,0))</f>
        <v>555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3.8344219483433626E-7</v>
      </c>
      <c r="GO85" s="23">
        <f t="shared" si="81"/>
        <v>3.8344219483433626E-7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73.098184695482075</v>
      </c>
      <c r="T86" s="62">
        <f t="shared" si="88"/>
        <v>334.38551711782793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19.169483678399036</v>
      </c>
      <c r="AA86" s="23">
        <f>EXP(-LN(2)/25)*AA85+(1-EXP(-LN(2)/25))/(LN(2)/25)*Calculateur!V86*Calculateur!X86*VLOOKUP('Données projet'!$B$9,Paramètres!$A$1:$I$89,3,0)*0.475*44/12</f>
        <v>3.1614333477113026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22.330917026110338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70.520400819593021</v>
      </c>
      <c r="AO86" s="62">
        <f t="shared" si="90"/>
        <v>321.48616153644309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18.287452220803988</v>
      </c>
      <c r="AV86" s="23">
        <f>EXP(-LN(2)/25)*AV85+(1-EXP(-LN(2)/25))/(LN(2)/25)*Calculateur!AQ86*Calculateur!AS86*VLOOKUP('Données projet'!$B$10,Paramètres!$A$1:$I$89,3,0)*0.475*44/12</f>
        <v>3.0159686231233578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21.303420843927345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14.142857142857142</v>
      </c>
      <c r="BD86" s="13">
        <f>IF('Données projet'!$A$88&gt;35,BD85+BC86-BL85,IF(A86&lt;'Données projet'!$A$88,$BA$205^A86,IF(A86='Données projet'!$A$88,'Données projet'!$B$88,BD85+BC86-BL85)))</f>
        <v>465.42857142857184</v>
      </c>
      <c r="BE86" s="14">
        <f>BD86*VLOOKUP('Données projet'!$B$11,Paramètres!$A$1:$I$89,3,0)*VLOOKUP('Données projet'!$B$11,Paramètres!$A$1:$I$89,5,0)</f>
        <v>217.82057142857164</v>
      </c>
      <c r="BF86" s="14">
        <f t="shared" si="91"/>
        <v>53.640923568007189</v>
      </c>
      <c r="BG86" s="22">
        <f t="shared" si="61"/>
        <v>472.79543711904148</v>
      </c>
      <c r="BH86" s="62">
        <f t="shared" si="62"/>
        <v>733.52691691090536</v>
      </c>
      <c r="BI86" s="62">
        <f ca="1">AVERAGE(OFFSET($BH$3,0,0,'Données projet'!$E$11+1,1))-AVERAGE(OFFSET($H$3,0,0,'Données projet'!$E$11+1,1))</f>
        <v>374.62597460242665</v>
      </c>
      <c r="BJ86" s="62">
        <f t="shared" si="92"/>
        <v>277.50105097454616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</v>
      </c>
      <c r="BY86" s="13">
        <f>IF('Données projet'!$A$114&gt;35,BY85+BX86-CG85,IF(A86&lt;'Données projet'!$A$114,$BV$205^A86,IF(A86='Données projet'!$A$114,'Données projet'!$B$114,BY85+BX86-CG85)))</f>
        <v>232.00000000000011</v>
      </c>
      <c r="BZ86" s="14">
        <f>BY86*VLOOKUP('Données projet'!$B$12,Paramètres!$A$1:$I$89,3,0)*VLOOKUP('Données projet'!$B$12,Paramètres!$A$1:$I$89,5,0)</f>
        <v>108.57600000000005</v>
      </c>
      <c r="CA86" s="14">
        <f t="shared" si="93"/>
        <v>28.995225061228027</v>
      </c>
      <c r="CB86" s="22">
        <f t="shared" si="64"/>
        <v>239.60321698163887</v>
      </c>
      <c r="CC86" s="62">
        <f t="shared" si="65"/>
        <v>500.3346967735028</v>
      </c>
      <c r="CD86" s="62">
        <f ca="1">AVERAGE(OFFSET($CC$3,0,0,'Données projet'!$E$12+1,1))-AVERAGE(OFFSET($H$3,0,0,'Données projet'!$E$12+1,1))</f>
        <v>329.79342219561465</v>
      </c>
      <c r="CE86" s="62">
        <f t="shared" si="94"/>
        <v>144.63206563329757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6.6</v>
      </c>
      <c r="CT86" s="13">
        <f>IF('Données projet'!$A$140&gt;35,CT85+CS86-DB85,IF(A86&lt;'Données projet'!$A$140,$CQ$205^A86,IF(A86='Données projet'!$A$140,'Données projet'!$B$140,CT85+CS86-DB85)))</f>
        <v>545.80000000000052</v>
      </c>
      <c r="CU86" s="18">
        <f>CT86*VLOOKUP('Données projet'!$B$13,Paramètres!$A$1:$I$89,3,0)*VLOOKUP('Données projet'!$B$13,Paramètres!$A$1:$I$89,5,0)</f>
        <v>326.38840000000033</v>
      </c>
      <c r="CV86" s="14">
        <f t="shared" si="95"/>
        <v>76.681051456851932</v>
      </c>
      <c r="CW86" s="22">
        <f t="shared" si="67"/>
        <v>702.01262795401772</v>
      </c>
      <c r="CX86" s="62">
        <f t="shared" si="68"/>
        <v>962.74410774588159</v>
      </c>
      <c r="CY86" s="62">
        <f ca="1">AVERAGE(OFFSET($CX$3,0,0,'Données projet'!$E$13+1,1))-AVERAGE(OFFSET($H$3,0,0,'Données projet'!$E$13+1,1))</f>
        <v>530.27599556821826</v>
      </c>
      <c r="CZ86" s="62">
        <f t="shared" si="96"/>
        <v>370.62231794492129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1.5851174993270644E-7</v>
      </c>
      <c r="DI86" s="24">
        <f t="shared" si="69"/>
        <v>1.5851174993270644E-7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293.58264000000014</v>
      </c>
      <c r="DQ86" s="14">
        <f t="shared" si="97"/>
        <v>69.829449953952192</v>
      </c>
      <c r="DR86" s="22">
        <f t="shared" si="70"/>
        <v>632.94272333646688</v>
      </c>
      <c r="DS86" s="62">
        <f t="shared" si="71"/>
        <v>893.67420312833087</v>
      </c>
      <c r="DT86" s="62">
        <f ca="1">AVERAGE(OFFSET($DS$3,0,0,'Données projet'!$E$14+1,1))-AVERAGE(OFFSET($H$3,0,0,'Données projet'!$E$14+1,1))</f>
        <v>520.23742527061836</v>
      </c>
      <c r="DU86" s="62">
        <f t="shared" si="98"/>
        <v>321.35925479331274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</v>
      </c>
      <c r="EJ86" s="13">
        <f>IF('Données projet'!$A$192&gt;35,EJ85+EI86-ER85,IF(A86&lt;'Données projet'!$A$192,$EG$205^A86,IF(A86='Données projet'!$A$192,'Données projet'!$B$192,EJ85+EI86-ER85)))</f>
        <v>228.99999999999991</v>
      </c>
      <c r="EK86" s="18">
        <f>EJ86*VLOOKUP('Données projet'!$B$15,Paramètres!$A$1:$I$89,3,0)*VLOOKUP('Données projet'!$B$15,Paramètres!$A$1:$I$89,5,0)</f>
        <v>239.35079999999994</v>
      </c>
      <c r="EL86" s="14">
        <f t="shared" si="99"/>
        <v>58.299829927807131</v>
      </c>
      <c r="EM86" s="22">
        <f t="shared" si="73"/>
        <v>518.40818045759727</v>
      </c>
      <c r="EN86" s="62">
        <f t="shared" si="74"/>
        <v>779.13966024946126</v>
      </c>
      <c r="EO86" s="62">
        <f ca="1">AVERAGE(OFFSET($EN$3,0,0,'Données projet'!$E$15+1,1))-AVERAGE(OFFSET($H$3,0,0,'Données projet'!$E$15+1,1))</f>
        <v>435.44444011810265</v>
      </c>
      <c r="EP86" s="62">
        <f t="shared" si="100"/>
        <v>447.15868732689762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6.8</v>
      </c>
      <c r="FE86" s="13">
        <f>IF('Données projet'!$A$218&gt;35,FE85+FD86-FM85,IF(A86&lt;'Données projet'!$A$218,$FB$205^A86,IF(A86='Données projet'!$A$218,'Données projet'!$B$218,FE85+FD86-FM85)))</f>
        <v>312.40000000000003</v>
      </c>
      <c r="FF86" s="18">
        <f>FE86*VLOOKUP('Données projet'!$B$16,Paramètres!$A$1:$I$89,3,0)*VLOOKUP('Données projet'!$B$16,Paramètres!$A$1:$I$89,5,0)</f>
        <v>316.77360000000004</v>
      </c>
      <c r="FG86" s="14">
        <f t="shared" si="101"/>
        <v>74.681642981668006</v>
      </c>
      <c r="FH86" s="22">
        <f t="shared" si="76"/>
        <v>681.78454819307183</v>
      </c>
      <c r="FI86" s="62">
        <f t="shared" si="77"/>
        <v>942.51602798493582</v>
      </c>
      <c r="FJ86" s="62">
        <f ca="1">AVERAGE(OFFSET($FI$3,0,0,'Données projet'!$E$16+1,1))-AVERAGE(OFFSET($H$3,0,0,'Données projet'!$E$16+1,1))</f>
        <v>547.89540791313675</v>
      </c>
      <c r="FK86" s="62">
        <f t="shared" si="102"/>
        <v>345.19555189302378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>
        <f>FZ86*VLOOKUP('Données projet'!$B$17,Paramètres!$A$1:$I$89,3,0)*VLOOKUP('Données projet'!$B$17,Paramètres!$A$1:$I$89,5,0)</f>
        <v>0</v>
      </c>
      <c r="GB86" s="14" t="e">
        <f t="shared" si="103"/>
        <v>#NUM!</v>
      </c>
      <c r="GC86" s="22" t="e">
        <f t="shared" si="79"/>
        <v>#NUM!</v>
      </c>
      <c r="GD86" s="62" t="e">
        <f t="shared" si="80"/>
        <v>#NUM!</v>
      </c>
      <c r="GE86" s="62">
        <f ca="1">AVERAGE(OFFSET($GD$3,0,0,'Données projet'!$E$17+1,1))-AVERAGE(OFFSET($H$3,0,0,'Données projet'!$E$17+1,1))</f>
        <v>409.68685886029164</v>
      </c>
      <c r="GF86" s="62">
        <f t="shared" si="104"/>
        <v>330.8416508650887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2.7113457616041253E-7</v>
      </c>
      <c r="GO86" s="23">
        <f t="shared" si="81"/>
        <v>2.7113457616041253E-7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73.098184695482075</v>
      </c>
      <c r="T87" s="62">
        <f t="shared" si="88"/>
        <v>334.38551711782793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18.793581795696163</v>
      </c>
      <c r="AA87" s="23">
        <f>EXP(-LN(2)/25)*AA86+(1-EXP(-LN(2)/25))/(LN(2)/25)*Calculateur!V87*Calculateur!X87*VLOOKUP('Données projet'!$B$9,Paramètres!$A$1:$I$89,3,0)*0.475*44/12</f>
        <v>3.0749837865655829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21.868565582261745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70.520400819593021</v>
      </c>
      <c r="AO87" s="62">
        <f t="shared" si="90"/>
        <v>321.48616153644309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17.928846436998487</v>
      </c>
      <c r="AV87" s="23">
        <f>EXP(-LN(2)/25)*AV86+(1-EXP(-LN(2)/25))/(LN(2)/25)*Calculateur!AQ87*Calculateur!AS87*VLOOKUP('Données projet'!$B$10,Paramètres!$A$1:$I$89,3,0)*0.475*44/12</f>
        <v>2.933496802521153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20.862343239519639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14.142857142857142</v>
      </c>
      <c r="BD87" s="13">
        <f>IF('Données projet'!$A$88&gt;35,BD86+BC87-BL86,IF(A87&lt;'Données projet'!$A$88,$BA$205^A87,IF(A87='Données projet'!$A$88,'Données projet'!$B$88,BD86+BC87-BL86)))</f>
        <v>479.57142857142901</v>
      </c>
      <c r="BE87" s="14">
        <f>BD87*VLOOKUP('Données projet'!$B$11,Paramètres!$A$1:$I$89,3,0)*VLOOKUP('Données projet'!$B$11,Paramètres!$A$1:$I$89,5,0)</f>
        <v>224.43942857142878</v>
      </c>
      <c r="BF87" s="14">
        <f t="shared" si="91"/>
        <v>55.078648812192505</v>
      </c>
      <c r="BG87" s="22">
        <f t="shared" si="61"/>
        <v>486.82731810980704</v>
      </c>
      <c r="BH87" s="62">
        <f t="shared" si="62"/>
        <v>748.12436717379023</v>
      </c>
      <c r="BI87" s="62">
        <f ca="1">AVERAGE(OFFSET($BH$3,0,0,'Données projet'!$E$11+1,1))-AVERAGE(OFFSET($H$3,0,0,'Données projet'!$E$11+1,1))</f>
        <v>374.62597460242665</v>
      </c>
      <c r="BJ87" s="62">
        <f t="shared" si="92"/>
        <v>277.50105097454616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</v>
      </c>
      <c r="BY87" s="13">
        <f>IF('Données projet'!$A$114&gt;35,BY86+BX87-CG86,IF(A87&lt;'Données projet'!$A$114,$BV$205^A87,IF(A87='Données projet'!$A$114,'Données projet'!$B$114,BY86+BX87-CG86)))</f>
        <v>238.00000000000011</v>
      </c>
      <c r="BZ87" s="14">
        <f>BY87*VLOOKUP('Données projet'!$B$12,Paramètres!$A$1:$I$89,3,0)*VLOOKUP('Données projet'!$B$12,Paramètres!$A$1:$I$89,5,0)</f>
        <v>111.38400000000004</v>
      </c>
      <c r="CA87" s="14">
        <f t="shared" si="93"/>
        <v>29.656828101147433</v>
      </c>
      <c r="CB87" s="22">
        <f t="shared" si="64"/>
        <v>245.64610894283183</v>
      </c>
      <c r="CC87" s="62">
        <f t="shared" si="65"/>
        <v>506.943158006815</v>
      </c>
      <c r="CD87" s="62">
        <f ca="1">AVERAGE(OFFSET($CC$3,0,0,'Données projet'!$E$12+1,1))-AVERAGE(OFFSET($H$3,0,0,'Données projet'!$E$12+1,1))</f>
        <v>329.79342219561465</v>
      </c>
      <c r="CE87" s="62">
        <f t="shared" si="94"/>
        <v>144.63206563329757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6.6</v>
      </c>
      <c r="CT87" s="13">
        <f>IF('Données projet'!$A$140&gt;35,CT86+CS87-DB86,IF(A87&lt;'Données projet'!$A$140,$CQ$205^A87,IF(A87='Données projet'!$A$140,'Données projet'!$B$140,CT86+CS87-DB86)))</f>
        <v>552.40000000000055</v>
      </c>
      <c r="CU87" s="18">
        <f>CT87*VLOOKUP('Données projet'!$B$13,Paramètres!$A$1:$I$89,3,0)*VLOOKUP('Données projet'!$B$13,Paramètres!$A$1:$I$89,5,0)</f>
        <v>330.33520000000038</v>
      </c>
      <c r="CV87" s="14">
        <f t="shared" si="95"/>
        <v>77.499798577088214</v>
      </c>
      <c r="CW87" s="22">
        <f t="shared" si="67"/>
        <v>710.31262252176259</v>
      </c>
      <c r="CX87" s="62">
        <f t="shared" si="68"/>
        <v>971.60967158574567</v>
      </c>
      <c r="CY87" s="62">
        <f ca="1">AVERAGE(OFFSET($CX$3,0,0,'Données projet'!$E$13+1,1))-AVERAGE(OFFSET($H$3,0,0,'Données projet'!$E$13+1,1))</f>
        <v>530.27599556821826</v>
      </c>
      <c r="CZ87" s="62">
        <f t="shared" si="96"/>
        <v>370.62231794492129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1.1208473327516299E-7</v>
      </c>
      <c r="DI87" s="24">
        <f t="shared" si="69"/>
        <v>1.1208473327516299E-7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299.95992000000018</v>
      </c>
      <c r="DQ87" s="14">
        <f t="shared" si="97"/>
        <v>71.168061102862964</v>
      </c>
      <c r="DR87" s="22">
        <f t="shared" si="70"/>
        <v>646.3812337541533</v>
      </c>
      <c r="DS87" s="62">
        <f t="shared" si="71"/>
        <v>907.67828281813649</v>
      </c>
      <c r="DT87" s="62">
        <f ca="1">AVERAGE(OFFSET($DS$3,0,0,'Données projet'!$E$14+1,1))-AVERAGE(OFFSET($H$3,0,0,'Données projet'!$E$14+1,1))</f>
        <v>520.23742527061836</v>
      </c>
      <c r="DU87" s="62">
        <f t="shared" si="98"/>
        <v>321.35925479331274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</v>
      </c>
      <c r="EJ87" s="13">
        <f>IF('Données projet'!$A$192&gt;35,EJ86+EI87-ER86,IF(A87&lt;'Données projet'!$A$192,$EG$205^A87,IF(A87='Données projet'!$A$192,'Données projet'!$B$192,EJ86+EI87-ER86)))</f>
        <v>231.99999999999991</v>
      </c>
      <c r="EK87" s="18">
        <f>EJ87*VLOOKUP('Données projet'!$B$15,Paramètres!$A$1:$I$89,3,0)*VLOOKUP('Données projet'!$B$15,Paramètres!$A$1:$I$89,5,0)</f>
        <v>242.48639999999992</v>
      </c>
      <c r="EL87" s="14">
        <f t="shared" si="99"/>
        <v>58.974170235372419</v>
      </c>
      <c r="EM87" s="22">
        <f t="shared" si="73"/>
        <v>525.04382649327351</v>
      </c>
      <c r="EN87" s="62">
        <f t="shared" si="74"/>
        <v>786.3408755572566</v>
      </c>
      <c r="EO87" s="62">
        <f ca="1">AVERAGE(OFFSET($EN$3,0,0,'Données projet'!$E$15+1,1))-AVERAGE(OFFSET($H$3,0,0,'Données projet'!$E$15+1,1))</f>
        <v>435.44444011810265</v>
      </c>
      <c r="EP87" s="62">
        <f t="shared" si="100"/>
        <v>447.15868732689762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6.8</v>
      </c>
      <c r="FE87" s="13">
        <f>IF('Données projet'!$A$218&gt;35,FE86+FD87-FM86,IF(A87&lt;'Données projet'!$A$218,$FB$205^A87,IF(A87='Données projet'!$A$218,'Données projet'!$B$218,FE86+FD87-FM86)))</f>
        <v>319.20000000000005</v>
      </c>
      <c r="FF87" s="18">
        <f>FE87*VLOOKUP('Données projet'!$B$16,Paramètres!$A$1:$I$89,3,0)*VLOOKUP('Données projet'!$B$16,Paramètres!$A$1:$I$89,5,0)</f>
        <v>323.66880000000009</v>
      </c>
      <c r="FG87" s="14">
        <f t="shared" si="101"/>
        <v>76.11621164769852</v>
      </c>
      <c r="FH87" s="22">
        <f t="shared" si="76"/>
        <v>696.29222861974176</v>
      </c>
      <c r="FI87" s="62">
        <f t="shared" si="77"/>
        <v>957.58927768372496</v>
      </c>
      <c r="FJ87" s="62">
        <f ca="1">AVERAGE(OFFSET($FI$3,0,0,'Données projet'!$E$16+1,1))-AVERAGE(OFFSET($H$3,0,0,'Données projet'!$E$16+1,1))</f>
        <v>547.89540791313675</v>
      </c>
      <c r="FK87" s="62">
        <f t="shared" si="102"/>
        <v>345.19555189302378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>
        <f>FZ87*VLOOKUP('Données projet'!$B$17,Paramètres!$A$1:$I$89,3,0)*VLOOKUP('Données projet'!$B$17,Paramètres!$A$1:$I$89,5,0)</f>
        <v>0</v>
      </c>
      <c r="GB87" s="14" t="e">
        <f t="shared" si="103"/>
        <v>#NUM!</v>
      </c>
      <c r="GC87" s="22" t="e">
        <f t="shared" si="79"/>
        <v>#NUM!</v>
      </c>
      <c r="GD87" s="62" t="e">
        <f t="shared" si="80"/>
        <v>#NUM!</v>
      </c>
      <c r="GE87" s="62">
        <f ca="1">AVERAGE(OFFSET($GD$3,0,0,'Données projet'!$E$17+1,1))-AVERAGE(OFFSET($H$3,0,0,'Données projet'!$E$17+1,1))</f>
        <v>409.68685886029164</v>
      </c>
      <c r="GF87" s="62">
        <f t="shared" si="104"/>
        <v>330.8416508650887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1.9172109741716813E-7</v>
      </c>
      <c r="GO87" s="23">
        <f t="shared" si="81"/>
        <v>1.9172109741716813E-7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73.098184695482075</v>
      </c>
      <c r="T88" s="62">
        <f t="shared" si="88"/>
        <v>334.38551711782793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18.425051119635583</v>
      </c>
      <c r="AA88" s="23">
        <f>EXP(-LN(2)/25)*AA87+(1-EXP(-LN(2)/25))/(LN(2)/25)*Calculateur!V88*Calculateur!X88*VLOOKUP('Données projet'!$B$9,Paramètres!$A$1:$I$89,3,0)*0.475*44/12</f>
        <v>2.9908981932155778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21.415949312851161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70.520400819593021</v>
      </c>
      <c r="AO88" s="62">
        <f t="shared" si="90"/>
        <v>321.48616153644309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17.57727269388548</v>
      </c>
      <c r="AV88" s="23">
        <f>EXP(-LN(2)/25)*AV87+(1-EXP(-LN(2)/25))/(LN(2)/25)*Calculateur!AQ88*Calculateur!AS88*VLOOKUP('Données projet'!$B$10,Paramètres!$A$1:$I$89,3,0)*0.475*44/12</f>
        <v>2.8532801781903196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20.430552872075801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14.142857142857142</v>
      </c>
      <c r="BD88" s="13">
        <f>IF('Données projet'!$A$88&gt;35,BD87+BC88-BL87,IF(A88&lt;'Données projet'!$A$88,$BA$205^A88,IF(A88='Données projet'!$A$88,'Données projet'!$B$88,BD87+BC88-BL87)))</f>
        <v>493.71428571428618</v>
      </c>
      <c r="BE88" s="14">
        <f>BD88*VLOOKUP('Données projet'!$B$11,Paramètres!$A$1:$I$89,3,0)*VLOOKUP('Données projet'!$B$11,Paramètres!$A$1:$I$89,5,0)</f>
        <v>231.05828571428594</v>
      </c>
      <c r="BF88" s="14">
        <f t="shared" si="91"/>
        <v>56.511446472092771</v>
      </c>
      <c r="BG88" s="22">
        <f t="shared" si="61"/>
        <v>500.85061689127627</v>
      </c>
      <c r="BH88" s="62">
        <f t="shared" si="62"/>
        <v>762.70342386493087</v>
      </c>
      <c r="BI88" s="62">
        <f ca="1">AVERAGE(OFFSET($BH$3,0,0,'Données projet'!$E$11+1,1))-AVERAGE(OFFSET($H$3,0,0,'Données projet'!$E$11+1,1))</f>
        <v>374.62597460242665</v>
      </c>
      <c r="BJ88" s="62">
        <f t="shared" si="92"/>
        <v>277.50105097454616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</v>
      </c>
      <c r="BY88" s="13">
        <f>IF('Données projet'!$A$114&gt;35,BY87+BX88-CG87,IF(A88&lt;'Données projet'!$A$114,$BV$205^A88,IF(A88='Données projet'!$A$114,'Données projet'!$B$114,BY87+BX88-CG87)))</f>
        <v>244.00000000000011</v>
      </c>
      <c r="BZ88" s="14">
        <f>BY88*VLOOKUP('Données projet'!$B$12,Paramètres!$A$1:$I$89,3,0)*VLOOKUP('Données projet'!$B$12,Paramètres!$A$1:$I$89,5,0)</f>
        <v>114.19200000000005</v>
      </c>
      <c r="CA88" s="14">
        <f t="shared" si="93"/>
        <v>30.316492326242827</v>
      </c>
      <c r="CB88" s="22">
        <f t="shared" si="64"/>
        <v>251.685624134873</v>
      </c>
      <c r="CC88" s="62">
        <f t="shared" si="65"/>
        <v>513.53843110852756</v>
      </c>
      <c r="CD88" s="62">
        <f ca="1">AVERAGE(OFFSET($CC$3,0,0,'Données projet'!$E$12+1,1))-AVERAGE(OFFSET($H$3,0,0,'Données projet'!$E$12+1,1))</f>
        <v>329.79342219561465</v>
      </c>
      <c r="CE88" s="62">
        <f t="shared" si="94"/>
        <v>144.63206563329757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6.6</v>
      </c>
      <c r="CT88" s="13">
        <f>IF('Données projet'!$A$140&gt;35,CT87+CS88-DB87,IF(A88&lt;'Données projet'!$A$140,$CQ$205^A88,IF(A88='Données projet'!$A$140,'Données projet'!$B$140,CT87+CS88-DB87)))</f>
        <v>559.00000000000057</v>
      </c>
      <c r="CU88" s="18">
        <f>CT88*VLOOKUP('Données projet'!$B$13,Paramètres!$A$1:$I$89,3,0)*VLOOKUP('Données projet'!$B$13,Paramètres!$A$1:$I$89,5,0)</f>
        <v>334.28200000000038</v>
      </c>
      <c r="CV88" s="14">
        <f t="shared" si="95"/>
        <v>78.317407802820071</v>
      </c>
      <c r="CW88" s="22">
        <f t="shared" si="67"/>
        <v>718.61063525657892</v>
      </c>
      <c r="CX88" s="62">
        <f t="shared" si="68"/>
        <v>980.46344223023357</v>
      </c>
      <c r="CY88" s="62">
        <f ca="1">AVERAGE(OFFSET($CX$3,0,0,'Données projet'!$E$13+1,1))-AVERAGE(OFFSET($H$3,0,0,'Données projet'!$E$13+1,1))</f>
        <v>530.27599556821826</v>
      </c>
      <c r="CZ88" s="62">
        <f t="shared" si="96"/>
        <v>370.62231794492129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7.9255874966353219E-8</v>
      </c>
      <c r="DI88" s="24">
        <f t="shared" si="69"/>
        <v>7.9255874966353219E-8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306.33720000000022</v>
      </c>
      <c r="DQ88" s="14">
        <f t="shared" si="97"/>
        <v>72.503363402445984</v>
      </c>
      <c r="DR88" s="22">
        <f t="shared" si="70"/>
        <v>659.81398125926046</v>
      </c>
      <c r="DS88" s="62">
        <f t="shared" si="71"/>
        <v>921.666788232915</v>
      </c>
      <c r="DT88" s="62">
        <f ca="1">AVERAGE(OFFSET($DS$3,0,0,'Données projet'!$E$14+1,1))-AVERAGE(OFFSET($H$3,0,0,'Données projet'!$E$14+1,1))</f>
        <v>520.23742527061836</v>
      </c>
      <c r="DU88" s="62">
        <f t="shared" si="98"/>
        <v>321.35925479331274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235</v>
      </c>
      <c r="EH88" s="13">
        <f>VLOOKUP(A88,'Données projet'!$A$191:$I$211,9,0)</f>
        <v>3</v>
      </c>
      <c r="EI88" s="13">
        <f t="array" ref="EI88">INDEX(EH:EH,MIN(IF(ISNUMBER(EH88:EH284),ROW(EH88:EH284),"")))</f>
        <v>3</v>
      </c>
      <c r="EJ88" s="13">
        <f>IF('Données projet'!$A$192&gt;35,EJ87+EI88-ER87,IF(A88&lt;'Données projet'!$A$192,$EG$205^A88,IF(A88='Données projet'!$A$192,'Données projet'!$B$192,EJ87+EI88-ER87)))</f>
        <v>234.99999999999991</v>
      </c>
      <c r="EK88" s="18">
        <f>EJ88*VLOOKUP('Données projet'!$B$15,Paramètres!$A$1:$I$89,3,0)*VLOOKUP('Données projet'!$B$15,Paramètres!$A$1:$I$89,5,0)</f>
        <v>245.62199999999996</v>
      </c>
      <c r="EL88" s="14">
        <f t="shared" si="99"/>
        <v>59.647496278110026</v>
      </c>
      <c r="EM88" s="22">
        <f t="shared" si="73"/>
        <v>531.67770601770815</v>
      </c>
      <c r="EN88" s="62">
        <f t="shared" si="74"/>
        <v>793.53051299136268</v>
      </c>
      <c r="EO88" s="62">
        <f ca="1">AVERAGE(OFFSET($EN$3,0,0,'Données projet'!$E$15+1,1))-AVERAGE(OFFSET($H$3,0,0,'Données projet'!$E$15+1,1))</f>
        <v>435.44444011810265</v>
      </c>
      <c r="EP88" s="62">
        <f t="shared" si="100"/>
        <v>447.15868732689762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12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326</v>
      </c>
      <c r="FC88" s="13">
        <f>VLOOKUP(A88,'Données projet'!$A$217:$I$237,9,0)</f>
        <v>6.8</v>
      </c>
      <c r="FD88" s="13">
        <f t="array" ref="FD88">INDEX(FC:FC,MIN(IF(ISNUMBER(FC88:FC284),ROW(FC88:FC284),"")))</f>
        <v>6.8</v>
      </c>
      <c r="FE88" s="13">
        <f>IF('Données projet'!$A$218&gt;35,FE87+FD88-FM87,IF(A88&lt;'Données projet'!$A$218,$FB$205^A88,IF(A88='Données projet'!$A$218,'Données projet'!$B$218,FE87+FD88-FM87)))</f>
        <v>326.00000000000006</v>
      </c>
      <c r="FF88" s="18">
        <f>FE88*VLOOKUP('Données projet'!$B$16,Paramètres!$A$1:$I$89,3,0)*VLOOKUP('Données projet'!$B$16,Paramètres!$A$1:$I$89,5,0)</f>
        <v>330.56400000000008</v>
      </c>
      <c r="FG88" s="14">
        <f t="shared" si="101"/>
        <v>77.547227137682853</v>
      </c>
      <c r="FH88" s="22">
        <f t="shared" si="76"/>
        <v>710.79372059813113</v>
      </c>
      <c r="FI88" s="62">
        <f t="shared" si="77"/>
        <v>972.64652757178578</v>
      </c>
      <c r="FJ88" s="62">
        <f ca="1">AVERAGE(OFFSET($FI$3,0,0,'Données projet'!$E$16+1,1))-AVERAGE(OFFSET($H$3,0,0,'Données projet'!$E$16+1,1))</f>
        <v>547.89540791313675</v>
      </c>
      <c r="FK88" s="62">
        <f t="shared" si="102"/>
        <v>345.19555189302378</v>
      </c>
      <c r="FL88" s="16">
        <f>IF(ISNA(VLOOKUP(A88,'Données projet'!$A$217:$I$237,3,0)),0,VLOOKUP(A88,'Données projet'!$A$217:$I$237,3,0))</f>
        <v>14</v>
      </c>
      <c r="FM88" s="16">
        <f>IF(ISNA(VLOOKUP(A88,'Données projet'!$A$217:$I$237,4,0)),0,VLOOKUP(A88,'Données projet'!$A$217:$I$237,4,0))</f>
        <v>28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>
        <f>FZ88*VLOOKUP('Données projet'!$B$17,Paramètres!$A$1:$I$89,3,0)*VLOOKUP('Données projet'!$B$17,Paramètres!$A$1:$I$89,5,0)</f>
        <v>0</v>
      </c>
      <c r="GB88" s="14" t="e">
        <f t="shared" si="103"/>
        <v>#NUM!</v>
      </c>
      <c r="GC88" s="22" t="e">
        <f t="shared" si="79"/>
        <v>#NUM!</v>
      </c>
      <c r="GD88" s="62" t="e">
        <f t="shared" si="80"/>
        <v>#NUM!</v>
      </c>
      <c r="GE88" s="62">
        <f ca="1">AVERAGE(OFFSET($GD$3,0,0,'Données projet'!$E$17+1,1))-AVERAGE(OFFSET($H$3,0,0,'Données projet'!$E$17+1,1))</f>
        <v>409.68685886029164</v>
      </c>
      <c r="GF88" s="62">
        <f t="shared" si="104"/>
        <v>330.8416508650887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1.3556728808020626E-7</v>
      </c>
      <c r="GO88" s="23">
        <f t="shared" si="81"/>
        <v>1.3556728808020626E-7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73.098184695482075</v>
      </c>
      <c r="T89" s="62">
        <f t="shared" si="88"/>
        <v>334.38551711782793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18.063747105351034</v>
      </c>
      <c r="AA89" s="23">
        <f>EXP(-LN(2)/25)*AA88+(1-EXP(-LN(2)/25))/(LN(2)/25)*Calculateur!V89*Calculateur!X89*VLOOKUP('Données projet'!$B$9,Paramètres!$A$1:$I$89,3,0)*0.475*44/12</f>
        <v>2.9091119248375978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20.97285903018863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70.520400819593021</v>
      </c>
      <c r="AO89" s="62">
        <f t="shared" si="90"/>
        <v>321.48616153644309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17.232593097436109</v>
      </c>
      <c r="AV89" s="23">
        <f>EXP(-LN(2)/25)*AV88+(1-EXP(-LN(2)/25))/(LN(2)/25)*Calculateur!AQ89*Calculateur!AS89*VLOOKUP('Données projet'!$B$10,Paramètres!$A$1:$I$89,3,0)*0.475*44/12</f>
        <v>2.775257081670222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20.007850179106331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14.142857142857142</v>
      </c>
      <c r="BD89" s="13">
        <f>IF('Données projet'!$A$88&gt;35,BD88+BC89-BL88,IF(A89&lt;'Données projet'!$A$88,$BA$205^A89,IF(A89='Données projet'!$A$88,'Données projet'!$B$88,BD88+BC89-BL88)))</f>
        <v>507.85714285714334</v>
      </c>
      <c r="BE89" s="14">
        <f>BD89*VLOOKUP('Données projet'!$B$11,Paramètres!$A$1:$I$89,3,0)*VLOOKUP('Données projet'!$B$11,Paramètres!$A$1:$I$89,5,0)</f>
        <v>237.67714285714308</v>
      </c>
      <c r="BF89" s="14">
        <f t="shared" si="91"/>
        <v>57.939473914063178</v>
      </c>
      <c r="BG89" s="22">
        <f t="shared" si="61"/>
        <v>514.86560754318418</v>
      </c>
      <c r="BH89" s="62">
        <f t="shared" si="62"/>
        <v>777.26453126926594</v>
      </c>
      <c r="BI89" s="62">
        <f ca="1">AVERAGE(OFFSET($BH$3,0,0,'Données projet'!$E$11+1,1))-AVERAGE(OFFSET($H$3,0,0,'Données projet'!$E$11+1,1))</f>
        <v>374.62597460242665</v>
      </c>
      <c r="BJ89" s="62">
        <f t="shared" si="92"/>
        <v>277.50105097454616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>
        <f>VLOOKUP(A89,'Données projet'!$A$113:$I$133,2,0)</f>
        <v>250</v>
      </c>
      <c r="BW89" s="13">
        <f>VLOOKUP(A89,'Données projet'!$A$113:$I$133,9,0)</f>
        <v>6</v>
      </c>
      <c r="BX89" s="13">
        <f t="array" ref="BX89">INDEX(BW:BW,MIN(IF(ISNUMBER(BW89:BW285),ROW(BW89:BW285),"")))</f>
        <v>6</v>
      </c>
      <c r="BY89" s="13">
        <f>IF('Données projet'!$A$114&gt;35,BY88+BX89-CG88,IF(A89&lt;'Données projet'!$A$114,$BV$205^A89,IF(A89='Données projet'!$A$114,'Données projet'!$B$114,BY88+BX89-CG88)))</f>
        <v>250.00000000000011</v>
      </c>
      <c r="BZ89" s="14">
        <f>BY89*VLOOKUP('Données projet'!$B$12,Paramètres!$A$1:$I$89,3,0)*VLOOKUP('Données projet'!$B$12,Paramètres!$A$1:$I$89,5,0)</f>
        <v>117.00000000000006</v>
      </c>
      <c r="CA89" s="14">
        <f t="shared" si="93"/>
        <v>30.974270896484146</v>
      </c>
      <c r="CB89" s="22">
        <f t="shared" si="64"/>
        <v>257.72185514470999</v>
      </c>
      <c r="CC89" s="62">
        <f t="shared" si="65"/>
        <v>520.1207788707917</v>
      </c>
      <c r="CD89" s="62">
        <f ca="1">AVERAGE(OFFSET($CC$3,0,0,'Données projet'!$E$12+1,1))-AVERAGE(OFFSET($H$3,0,0,'Données projet'!$E$12+1,1))</f>
        <v>329.79342219561465</v>
      </c>
      <c r="CE89" s="62">
        <f t="shared" si="94"/>
        <v>144.63206563329757</v>
      </c>
      <c r="CF89" s="16">
        <f>IF(ISNA(VLOOKUP(A89,'Données projet'!$A$113:$I$133,3,0)),0,VLOOKUP(A89,'Données projet'!$A$113:$I$133,3,0))</f>
        <v>8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6.6</v>
      </c>
      <c r="CT89" s="13">
        <f>IF('Données projet'!$A$140&gt;35,CT88+CS89-DB88,IF(A89&lt;'Données projet'!$A$140,$CQ$205^A89,IF(A89='Données projet'!$A$140,'Données projet'!$B$140,CT88+CS89-DB88)))</f>
        <v>565.60000000000059</v>
      </c>
      <c r="CU89" s="18">
        <f>CT89*VLOOKUP('Données projet'!$B$13,Paramètres!$A$1:$I$89,3,0)*VLOOKUP('Données projet'!$B$13,Paramètres!$A$1:$I$89,5,0)</f>
        <v>338.22880000000038</v>
      </c>
      <c r="CV89" s="14">
        <f t="shared" si="95"/>
        <v>79.133894123157802</v>
      </c>
      <c r="CW89" s="22">
        <f t="shared" si="67"/>
        <v>726.90669226450052</v>
      </c>
      <c r="CX89" s="62">
        <f t="shared" si="68"/>
        <v>989.30561599058228</v>
      </c>
      <c r="CY89" s="62">
        <f ca="1">AVERAGE(OFFSET($CX$3,0,0,'Données projet'!$E$13+1,1))-AVERAGE(OFFSET($H$3,0,0,'Données projet'!$E$13+1,1))</f>
        <v>530.27599556821826</v>
      </c>
      <c r="CZ89" s="62">
        <f t="shared" si="96"/>
        <v>370.62231794492129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5.6042366637581496E-8</v>
      </c>
      <c r="DI89" s="24">
        <f t="shared" si="69"/>
        <v>5.6042366637581496E-8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288.5719200000002</v>
      </c>
      <c r="DQ89" s="14">
        <f t="shared" si="97"/>
        <v>68.775310576263308</v>
      </c>
      <c r="DR89" s="22">
        <f t="shared" si="70"/>
        <v>622.37975992032568</v>
      </c>
      <c r="DS89" s="62">
        <f t="shared" si="71"/>
        <v>884.77868364640744</v>
      </c>
      <c r="DT89" s="62">
        <f ca="1">AVERAGE(OFFSET($DS$3,0,0,'Données projet'!$E$14+1,1))-AVERAGE(OFFSET($H$3,0,0,'Données projet'!$E$14+1,1))</f>
        <v>520.23742527061836</v>
      </c>
      <c r="DU89" s="62">
        <f t="shared" si="98"/>
        <v>321.35925479331274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2.6</v>
      </c>
      <c r="EJ89" s="13">
        <f>IF('Données projet'!$A$192&gt;35,EJ88+EI89-ER88,IF(A89&lt;'Données projet'!$A$192,$EG$205^A89,IF(A89='Données projet'!$A$192,'Données projet'!$B$192,EJ88+EI89-ER88)))</f>
        <v>225.59999999999991</v>
      </c>
      <c r="EK89" s="18">
        <f>EJ89*VLOOKUP('Données projet'!$B$15,Paramètres!$A$1:$I$89,3,0)*VLOOKUP('Données projet'!$B$15,Paramètres!$A$1:$I$89,5,0)</f>
        <v>235.79711999999995</v>
      </c>
      <c r="EL89" s="14">
        <f t="shared" si="99"/>
        <v>57.53433268334701</v>
      </c>
      <c r="EM89" s="22">
        <f t="shared" si="73"/>
        <v>510.88561342349595</v>
      </c>
      <c r="EN89" s="62">
        <f t="shared" si="74"/>
        <v>773.28453714957766</v>
      </c>
      <c r="EO89" s="62">
        <f ca="1">AVERAGE(OFFSET($EN$3,0,0,'Données projet'!$E$15+1,1))-AVERAGE(OFFSET($H$3,0,0,'Données projet'!$E$15+1,1))</f>
        <v>435.44444011810265</v>
      </c>
      <c r="EP89" s="62">
        <f t="shared" si="100"/>
        <v>447.15868732689762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6.4</v>
      </c>
      <c r="FE89" s="13">
        <f>IF('Données projet'!$A$218&gt;35,FE88+FD89-FM88,IF(A89&lt;'Données projet'!$A$218,$FB$205^A89,IF(A89='Données projet'!$A$218,'Données projet'!$B$218,FE88+FD89-FM88)))</f>
        <v>304.40000000000003</v>
      </c>
      <c r="FF89" s="18">
        <f>FE89*VLOOKUP('Données projet'!$B$16,Paramètres!$A$1:$I$89,3,0)*VLOOKUP('Données projet'!$B$16,Paramètres!$A$1:$I$89,5,0)</f>
        <v>308.66160000000008</v>
      </c>
      <c r="FG89" s="14">
        <f t="shared" si="101"/>
        <v>72.98924863505313</v>
      </c>
      <c r="FH89" s="22">
        <f t="shared" si="76"/>
        <v>664.70856137271755</v>
      </c>
      <c r="FI89" s="62">
        <f t="shared" si="77"/>
        <v>927.10748509879932</v>
      </c>
      <c r="FJ89" s="62">
        <f ca="1">AVERAGE(OFFSET($FI$3,0,0,'Données projet'!$E$16+1,1))-AVERAGE(OFFSET($H$3,0,0,'Données projet'!$E$16+1,1))</f>
        <v>547.89540791313675</v>
      </c>
      <c r="FK89" s="62">
        <f t="shared" si="102"/>
        <v>345.19555189302378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>
        <f>FZ89*VLOOKUP('Données projet'!$B$17,Paramètres!$A$1:$I$89,3,0)*VLOOKUP('Données projet'!$B$17,Paramètres!$A$1:$I$89,5,0)</f>
        <v>0</v>
      </c>
      <c r="GB89" s="14" t="e">
        <f t="shared" si="103"/>
        <v>#NUM!</v>
      </c>
      <c r="GC89" s="22" t="e">
        <f t="shared" si="79"/>
        <v>#NUM!</v>
      </c>
      <c r="GD89" s="62" t="e">
        <f t="shared" si="80"/>
        <v>#NUM!</v>
      </c>
      <c r="GE89" s="62">
        <f ca="1">AVERAGE(OFFSET($GD$3,0,0,'Données projet'!$E$17+1,1))-AVERAGE(OFFSET($H$3,0,0,'Données projet'!$E$17+1,1))</f>
        <v>409.68685886029164</v>
      </c>
      <c r="GF89" s="62">
        <f t="shared" si="104"/>
        <v>330.8416508650887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9.5860548708584064E-8</v>
      </c>
      <c r="GO89" s="23">
        <f t="shared" si="81"/>
        <v>9.5860548708584064E-8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73.098184695482075</v>
      </c>
      <c r="T90" s="62">
        <f t="shared" si="88"/>
        <v>334.38551711782793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17.709528042412916</v>
      </c>
      <c r="AA90" s="23">
        <f>EXP(-LN(2)/25)*AA89+(1-EXP(-LN(2)/25))/(LN(2)/25)*Calculateur!V90*Calculateur!X90*VLOOKUP('Données projet'!$B$9,Paramètres!$A$1:$I$89,3,0)*0.475*44/12</f>
        <v>2.8295621062693663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20.539090148682284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70.520400819593021</v>
      </c>
      <c r="AO90" s="62">
        <f t="shared" si="90"/>
        <v>321.48616153644309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16.894672457639317</v>
      </c>
      <c r="AV90" s="23">
        <f>EXP(-LN(2)/25)*AV89+(1-EXP(-LN(2)/25))/(LN(2)/25)*Calculateur!AQ90*Calculateur!AS90*VLOOKUP('Données projet'!$B$10,Paramètres!$A$1:$I$89,3,0)*0.475*44/12</f>
        <v>2.6993675308275229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19.594039988466839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522</v>
      </c>
      <c r="BB90" s="13">
        <f>VLOOKUP(A90,'Données projet'!$A$87:$I$107,9,0)</f>
        <v>14.142857142857142</v>
      </c>
      <c r="BC90" s="13">
        <f t="array" ref="BC90">INDEX(BB:BB,MIN(IF(ISNUMBER(BB90:BB286),ROW(BB90:BB286),"")))</f>
        <v>14.142857142857142</v>
      </c>
      <c r="BD90" s="13">
        <f>IF('Données projet'!$A$88&gt;35,BD89+BC90-BL89,IF(A90&lt;'Données projet'!$A$88,$BA$205^A90,IF(A90='Données projet'!$A$88,'Données projet'!$B$88,BD89+BC90-BL89)))</f>
        <v>522.00000000000045</v>
      </c>
      <c r="BE90" s="14">
        <f>BD90*VLOOKUP('Données projet'!$B$11,Paramètres!$A$1:$I$89,3,0)*VLOOKUP('Données projet'!$B$11,Paramètres!$A$1:$I$89,5,0)</f>
        <v>244.29600000000022</v>
      </c>
      <c r="BF90" s="14">
        <f t="shared" si="91"/>
        <v>59.362879241040417</v>
      </c>
      <c r="BG90" s="22">
        <f t="shared" si="61"/>
        <v>528.87254801147901</v>
      </c>
      <c r="BH90" s="62">
        <f t="shared" si="62"/>
        <v>791.8081145852675</v>
      </c>
      <c r="BI90" s="62">
        <f ca="1">AVERAGE(OFFSET($BH$3,0,0,'Données projet'!$E$11+1,1))-AVERAGE(OFFSET($H$3,0,0,'Données projet'!$E$11+1,1))</f>
        <v>374.62597460242665</v>
      </c>
      <c r="BJ90" s="62">
        <f t="shared" si="92"/>
        <v>277.50105097454616</v>
      </c>
      <c r="BK90" s="16">
        <f>IF(ISNA(VLOOKUP(A90,'Données projet'!$A$87:$I$107,3,0)),0,VLOOKUP(A90,'Données projet'!$A$87:$I$107,3,0))</f>
        <v>15</v>
      </c>
      <c r="BL90" s="16">
        <f>IF(ISNA(VLOOKUP(A90,'Données projet'!$A$87:$I$107,4,0)),0,VLOOKUP(A90,'Données projet'!$A$87:$I$107,4,0))</f>
        <v>89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5.833333333333333</v>
      </c>
      <c r="BY90" s="13">
        <f>IF('Données projet'!$A$114&gt;35,BY89+BX90-CG89,IF(A90&lt;'Données projet'!$A$114,$BV$205^A90,IF(A90='Données projet'!$A$114,'Données projet'!$B$114,BY89+BX90-CG89)))</f>
        <v>255.83333333333346</v>
      </c>
      <c r="BZ90" s="14">
        <f>BY90*VLOOKUP('Données projet'!$B$12,Paramètres!$A$1:$I$89,3,0)*VLOOKUP('Données projet'!$B$12,Paramètres!$A$1:$I$89,5,0)</f>
        <v>119.73000000000005</v>
      </c>
      <c r="CA90" s="14">
        <f t="shared" si="93"/>
        <v>31.612017974790529</v>
      </c>
      <c r="CB90" s="22">
        <f t="shared" si="64"/>
        <v>263.5873479727602</v>
      </c>
      <c r="CC90" s="62">
        <f t="shared" si="65"/>
        <v>526.52291454654869</v>
      </c>
      <c r="CD90" s="62">
        <f ca="1">AVERAGE(OFFSET($CC$3,0,0,'Données projet'!$E$12+1,1))-AVERAGE(OFFSET($H$3,0,0,'Données projet'!$E$12+1,1))</f>
        <v>329.79342219561465</v>
      </c>
      <c r="CE90" s="62">
        <f t="shared" si="94"/>
        <v>144.63206563329757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6.6</v>
      </c>
      <c r="CT90" s="13">
        <f>IF('Données projet'!$A$140&gt;35,CT89+CS90-DB89,IF(A90&lt;'Données projet'!$A$140,$CQ$205^A90,IF(A90='Données projet'!$A$140,'Données projet'!$B$140,CT89+CS90-DB89)))</f>
        <v>572.20000000000061</v>
      </c>
      <c r="CU90" s="18">
        <f>CT90*VLOOKUP('Données projet'!$B$13,Paramètres!$A$1:$I$89,3,0)*VLOOKUP('Données projet'!$B$13,Paramètres!$A$1:$I$89,5,0)</f>
        <v>342.17560000000037</v>
      </c>
      <c r="CV90" s="14">
        <f t="shared" si="95"/>
        <v>79.949272157261831</v>
      </c>
      <c r="CW90" s="22">
        <f t="shared" si="67"/>
        <v>735.20081900723164</v>
      </c>
      <c r="CX90" s="62">
        <f t="shared" si="68"/>
        <v>998.13638558102002</v>
      </c>
      <c r="CY90" s="62">
        <f ca="1">AVERAGE(OFFSET($CX$3,0,0,'Données projet'!$E$13+1,1))-AVERAGE(OFFSET($H$3,0,0,'Données projet'!$E$13+1,1))</f>
        <v>530.27599556821826</v>
      </c>
      <c r="CZ90" s="62">
        <f t="shared" si="96"/>
        <v>370.62231794492129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3.962793748317661E-8</v>
      </c>
      <c r="DI90" s="24">
        <f t="shared" si="69"/>
        <v>3.962793748317661E-8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294.72144000000014</v>
      </c>
      <c r="DQ90" s="14">
        <f t="shared" si="97"/>
        <v>70.068733866215368</v>
      </c>
      <c r="DR90" s="22">
        <f t="shared" si="70"/>
        <v>635.3428861503254</v>
      </c>
      <c r="DS90" s="62">
        <f t="shared" si="71"/>
        <v>898.27845272411378</v>
      </c>
      <c r="DT90" s="62">
        <f ca="1">AVERAGE(OFFSET($DS$3,0,0,'Données projet'!$E$14+1,1))-AVERAGE(OFFSET($H$3,0,0,'Données projet'!$E$14+1,1))</f>
        <v>520.23742527061836</v>
      </c>
      <c r="DU90" s="62">
        <f t="shared" si="98"/>
        <v>321.35925479331274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2.6</v>
      </c>
      <c r="EJ90" s="13">
        <f>IF('Données projet'!$A$192&gt;35,EJ89+EI90-ER89,IF(A90&lt;'Données projet'!$A$192,$EG$205^A90,IF(A90='Données projet'!$A$192,'Données projet'!$B$192,EJ89+EI90-ER89)))</f>
        <v>228.1999999999999</v>
      </c>
      <c r="EK90" s="18">
        <f>EJ90*VLOOKUP('Données projet'!$B$15,Paramètres!$A$1:$I$89,3,0)*VLOOKUP('Données projet'!$B$15,Paramètres!$A$1:$I$89,5,0)</f>
        <v>238.51463999999993</v>
      </c>
      <c r="EL90" s="14">
        <f t="shared" si="99"/>
        <v>58.119832662919471</v>
      </c>
      <c r="EM90" s="22">
        <f t="shared" si="73"/>
        <v>516.63837322125119</v>
      </c>
      <c r="EN90" s="62">
        <f t="shared" si="74"/>
        <v>779.57393979503968</v>
      </c>
      <c r="EO90" s="62">
        <f ca="1">AVERAGE(OFFSET($EN$3,0,0,'Données projet'!$E$15+1,1))-AVERAGE(OFFSET($H$3,0,0,'Données projet'!$E$15+1,1))</f>
        <v>435.44444011810265</v>
      </c>
      <c r="EP90" s="62">
        <f t="shared" si="100"/>
        <v>447.15868732689762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6.4</v>
      </c>
      <c r="FE90" s="13">
        <f>IF('Données projet'!$A$218&gt;35,FE89+FD90-FM89,IF(A90&lt;'Données projet'!$A$218,$FB$205^A90,IF(A90='Données projet'!$A$218,'Données projet'!$B$218,FE89+FD90-FM89)))</f>
        <v>310.8</v>
      </c>
      <c r="FF90" s="18">
        <f>FE90*VLOOKUP('Données projet'!$B$16,Paramètres!$A$1:$I$89,3,0)*VLOOKUP('Données projet'!$B$16,Paramètres!$A$1:$I$89,5,0)</f>
        <v>315.15120000000002</v>
      </c>
      <c r="FG90" s="14">
        <f t="shared" si="101"/>
        <v>74.343571754005879</v>
      </c>
      <c r="FH90" s="22">
        <f t="shared" si="76"/>
        <v>678.37006080489357</v>
      </c>
      <c r="FI90" s="62">
        <f t="shared" si="77"/>
        <v>941.30562737868195</v>
      </c>
      <c r="FJ90" s="62">
        <f ca="1">AVERAGE(OFFSET($FI$3,0,0,'Données projet'!$E$16+1,1))-AVERAGE(OFFSET($H$3,0,0,'Données projet'!$E$16+1,1))</f>
        <v>547.89540791313675</v>
      </c>
      <c r="FK90" s="62">
        <f t="shared" si="102"/>
        <v>345.19555189302378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>
        <f>FZ90*VLOOKUP('Données projet'!$B$17,Paramètres!$A$1:$I$89,3,0)*VLOOKUP('Données projet'!$B$17,Paramètres!$A$1:$I$89,5,0)</f>
        <v>0</v>
      </c>
      <c r="GB90" s="14" t="e">
        <f t="shared" si="103"/>
        <v>#NUM!</v>
      </c>
      <c r="GC90" s="22" t="e">
        <f t="shared" si="79"/>
        <v>#NUM!</v>
      </c>
      <c r="GD90" s="62" t="e">
        <f t="shared" si="80"/>
        <v>#NUM!</v>
      </c>
      <c r="GE90" s="62">
        <f ca="1">AVERAGE(OFFSET($GD$3,0,0,'Données projet'!$E$17+1,1))-AVERAGE(OFFSET($H$3,0,0,'Données projet'!$E$17+1,1))</f>
        <v>409.68685886029164</v>
      </c>
      <c r="GF90" s="62">
        <f t="shared" si="104"/>
        <v>330.8416508650887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6.7783644040103131E-8</v>
      </c>
      <c r="GO90" s="23">
        <f t="shared" si="81"/>
        <v>6.7783644040103131E-8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73.098184695482075</v>
      </c>
      <c r="T91" s="62">
        <f t="shared" si="88"/>
        <v>334.38551711782793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17.362254999246723</v>
      </c>
      <c r="AA91" s="23">
        <f>EXP(-LN(2)/25)*AA90+(1-EXP(-LN(2)/25))/(LN(2)/25)*Calculateur!V91*Calculateur!X91*VLOOKUP('Données projet'!$B$9,Paramètres!$A$1:$I$89,3,0)*0.475*44/12</f>
        <v>2.7521875816732262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20.114442580919949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70.520400819593021</v>
      </c>
      <c r="AO91" s="62">
        <f t="shared" si="90"/>
        <v>321.48616153644309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16.5633782354777</v>
      </c>
      <c r="AV91" s="23">
        <f>EXP(-LN(2)/25)*AV90+(1-EXP(-LN(2)/25))/(LN(2)/25)*Calculateur!AQ91*Calculateur!AS91*VLOOKUP('Données projet'!$B$10,Paramètres!$A$1:$I$89,3,0)*0.475*44/12</f>
        <v>2.6255531837434751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19.188931419221174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447</v>
      </c>
      <c r="BB91" s="13">
        <f>VLOOKUP(A91,'Données projet'!$A$87:$I$107,9,0)</f>
        <v>14</v>
      </c>
      <c r="BC91" s="13">
        <f t="array" ref="BC91">INDEX(BB:BB,MIN(IF(ISNUMBER(BB91:BB287),ROW(BB91:BB287),"")))</f>
        <v>14</v>
      </c>
      <c r="BD91" s="13">
        <f>IF('Données projet'!$A$88&gt;35,BD90+BC91-BL90,IF(A91&lt;'Données projet'!$A$88,$BA$205^A91,IF(A91='Données projet'!$A$88,'Données projet'!$B$88,BD90+BC91-BL90)))</f>
        <v>447.00000000000045</v>
      </c>
      <c r="BE91" s="14">
        <f>BD91*VLOOKUP('Données projet'!$B$11,Paramètres!$A$1:$I$89,3,0)*VLOOKUP('Données projet'!$B$11,Paramètres!$A$1:$I$89,5,0)</f>
        <v>209.19600000000023</v>
      </c>
      <c r="BF91" s="14">
        <f t="shared" si="91"/>
        <v>51.759852265375834</v>
      </c>
      <c r="BG91" s="22">
        <f t="shared" si="61"/>
        <v>454.4981093621966</v>
      </c>
      <c r="BH91" s="62">
        <f t="shared" si="62"/>
        <v>717.96100923003769</v>
      </c>
      <c r="BI91" s="62">
        <f ca="1">AVERAGE(OFFSET($BH$3,0,0,'Données projet'!$E$11+1,1))-AVERAGE(OFFSET($H$3,0,0,'Données projet'!$E$11+1,1))</f>
        <v>374.62597460242665</v>
      </c>
      <c r="BJ91" s="62">
        <f t="shared" si="92"/>
        <v>277.50105097454616</v>
      </c>
      <c r="BK91" s="16">
        <f>IF(ISNA(VLOOKUP(A91,'Données projet'!$A$87:$I$107,3,0)),0,VLOOKUP(A91,'Données projet'!$A$87:$I$107,3,0))</f>
        <v>16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5.833333333333333</v>
      </c>
      <c r="BY91" s="13">
        <f>IF('Données projet'!$A$114&gt;35,BY90+BX91-CG90,IF(A91&lt;'Données projet'!$A$114,$BV$205^A91,IF(A91='Données projet'!$A$114,'Données projet'!$B$114,BY90+BX91-CG90)))</f>
        <v>261.6666666666668</v>
      </c>
      <c r="BZ91" s="14">
        <f>BY91*VLOOKUP('Données projet'!$B$12,Paramètres!$A$1:$I$89,3,0)*VLOOKUP('Données projet'!$B$12,Paramètres!$A$1:$I$89,5,0)</f>
        <v>122.46000000000006</v>
      </c>
      <c r="CA91" s="14">
        <f t="shared" si="93"/>
        <v>32.248074516015237</v>
      </c>
      <c r="CB91" s="22">
        <f t="shared" si="64"/>
        <v>269.44989644872663</v>
      </c>
      <c r="CC91" s="62">
        <f t="shared" si="65"/>
        <v>532.91279631656766</v>
      </c>
      <c r="CD91" s="62">
        <f ca="1">AVERAGE(OFFSET($CC$3,0,0,'Données projet'!$E$12+1,1))-AVERAGE(OFFSET($H$3,0,0,'Données projet'!$E$12+1,1))</f>
        <v>329.79342219561465</v>
      </c>
      <c r="CE91" s="62">
        <f t="shared" si="94"/>
        <v>144.63206563329757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6.6</v>
      </c>
      <c r="CT91" s="13">
        <f>IF('Données projet'!$A$140&gt;35,CT90+CS91-DB90,IF(A91&lt;'Données projet'!$A$140,$CQ$205^A91,IF(A91='Données projet'!$A$140,'Données projet'!$B$140,CT90+CS91-DB90)))</f>
        <v>578.80000000000064</v>
      </c>
      <c r="CU91" s="18">
        <f>CT91*VLOOKUP('Données projet'!$B$13,Paramètres!$A$1:$I$89,3,0)*VLOOKUP('Données projet'!$B$13,Paramètres!$A$1:$I$89,5,0)</f>
        <v>346.12240000000043</v>
      </c>
      <c r="CV91" s="14">
        <f t="shared" si="95"/>
        <v>80.763556167633539</v>
      </c>
      <c r="CW91" s="22">
        <f t="shared" si="67"/>
        <v>743.49304032529574</v>
      </c>
      <c r="CX91" s="62">
        <f t="shared" si="68"/>
        <v>1006.9559401931368</v>
      </c>
      <c r="CY91" s="62">
        <f ca="1">AVERAGE(OFFSET($CX$3,0,0,'Données projet'!$E$13+1,1))-AVERAGE(OFFSET($H$3,0,0,'Données projet'!$E$13+1,1))</f>
        <v>530.27599556821826</v>
      </c>
      <c r="CZ91" s="62">
        <f t="shared" si="96"/>
        <v>370.62231794492129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2.8021183318790748E-8</v>
      </c>
      <c r="DI91" s="24">
        <f t="shared" si="69"/>
        <v>2.8021183318790748E-8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300.87096000000014</v>
      </c>
      <c r="DQ91" s="14">
        <f t="shared" si="97"/>
        <v>71.359019327927484</v>
      </c>
      <c r="DR91" s="22">
        <f t="shared" si="70"/>
        <v>648.30054732947394</v>
      </c>
      <c r="DS91" s="62">
        <f t="shared" si="71"/>
        <v>911.76344719731503</v>
      </c>
      <c r="DT91" s="62">
        <f ca="1">AVERAGE(OFFSET($DS$3,0,0,'Données projet'!$E$14+1,1))-AVERAGE(OFFSET($H$3,0,0,'Données projet'!$E$14+1,1))</f>
        <v>520.23742527061836</v>
      </c>
      <c r="DU91" s="62">
        <f t="shared" si="98"/>
        <v>321.35925479331274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2.6</v>
      </c>
      <c r="EJ91" s="13">
        <f>IF('Données projet'!$A$192&gt;35,EJ90+EI91-ER90,IF(A91&lt;'Données projet'!$A$192,$EG$205^A91,IF(A91='Données projet'!$A$192,'Données projet'!$B$192,EJ90+EI91-ER90)))</f>
        <v>230.7999999999999</v>
      </c>
      <c r="EK91" s="18">
        <f>EJ91*VLOOKUP('Données projet'!$B$15,Paramètres!$A$1:$I$89,3,0)*VLOOKUP('Données projet'!$B$15,Paramètres!$A$1:$I$89,5,0)</f>
        <v>241.23215999999991</v>
      </c>
      <c r="EL91" s="14">
        <f t="shared" si="99"/>
        <v>58.704556646354881</v>
      </c>
      <c r="EM91" s="22">
        <f t="shared" si="73"/>
        <v>522.38978149240131</v>
      </c>
      <c r="EN91" s="62">
        <f t="shared" si="74"/>
        <v>785.8526813602424</v>
      </c>
      <c r="EO91" s="62">
        <f ca="1">AVERAGE(OFFSET($EN$3,0,0,'Données projet'!$E$15+1,1))-AVERAGE(OFFSET($H$3,0,0,'Données projet'!$E$15+1,1))</f>
        <v>435.44444011810265</v>
      </c>
      <c r="EP91" s="62">
        <f t="shared" si="100"/>
        <v>447.15868732689762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6.4</v>
      </c>
      <c r="FE91" s="13">
        <f>IF('Données projet'!$A$218&gt;35,FE90+FD91-FM90,IF(A91&lt;'Données projet'!$A$218,$FB$205^A91,IF(A91='Données projet'!$A$218,'Données projet'!$B$218,FE90+FD91-FM90)))</f>
        <v>317.2</v>
      </c>
      <c r="FF91" s="18">
        <f>FE91*VLOOKUP('Données projet'!$B$16,Paramètres!$A$1:$I$89,3,0)*VLOOKUP('Données projet'!$B$16,Paramètres!$A$1:$I$89,5,0)</f>
        <v>321.64080000000001</v>
      </c>
      <c r="FG91" s="14">
        <f t="shared" si="101"/>
        <v>75.694652325793228</v>
      </c>
      <c r="FH91" s="22">
        <f t="shared" si="76"/>
        <v>692.0259128007566</v>
      </c>
      <c r="FI91" s="62">
        <f t="shared" si="77"/>
        <v>955.48881266859769</v>
      </c>
      <c r="FJ91" s="62">
        <f ca="1">AVERAGE(OFFSET($FI$3,0,0,'Données projet'!$E$16+1,1))-AVERAGE(OFFSET($H$3,0,0,'Données projet'!$E$16+1,1))</f>
        <v>547.89540791313675</v>
      </c>
      <c r="FK91" s="62">
        <f t="shared" si="102"/>
        <v>345.19555189302378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>
        <f>FZ91*VLOOKUP('Données projet'!$B$17,Paramètres!$A$1:$I$89,3,0)*VLOOKUP('Données projet'!$B$17,Paramètres!$A$1:$I$89,5,0)</f>
        <v>0</v>
      </c>
      <c r="GB91" s="14" t="e">
        <f t="shared" si="103"/>
        <v>#NUM!</v>
      </c>
      <c r="GC91" s="22" t="e">
        <f t="shared" si="79"/>
        <v>#NUM!</v>
      </c>
      <c r="GD91" s="62" t="e">
        <f t="shared" si="80"/>
        <v>#NUM!</v>
      </c>
      <c r="GE91" s="62">
        <f ca="1">AVERAGE(OFFSET($GD$3,0,0,'Données projet'!$E$17+1,1))-AVERAGE(OFFSET($H$3,0,0,'Données projet'!$E$17+1,1))</f>
        <v>409.68685886029164</v>
      </c>
      <c r="GF91" s="62">
        <f t="shared" si="104"/>
        <v>330.8416508650887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4.7930274354292032E-8</v>
      </c>
      <c r="GO91" s="23">
        <f t="shared" si="81"/>
        <v>4.7930274354292032E-8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73.098184695482075</v>
      </c>
      <c r="T92" s="62">
        <f t="shared" si="88"/>
        <v>334.38551711782793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17.021791768641375</v>
      </c>
      <c r="AA92" s="23">
        <f>EXP(-LN(2)/25)*AA91+(1-EXP(-LN(2)/25))/(LN(2)/25)*Calculateur!V92*Calculateur!X92*VLOOKUP('Données projet'!$B$9,Paramètres!$A$1:$I$89,3,0)*0.475*44/12</f>
        <v>2.6769288675211169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19.698720636162491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70.520400819593021</v>
      </c>
      <c r="AO92" s="62">
        <f t="shared" si="90"/>
        <v>321.48616153644309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16.23858049094315</v>
      </c>
      <c r="AV92" s="23">
        <f>EXP(-LN(2)/25)*AV91+(1-EXP(-LN(2)/25))/(LN(2)/25)*Calculateur!AQ92*Calculateur!AS92*VLOOKUP('Données projet'!$B$10,Paramètres!$A$1:$I$89,3,0)*0.475*44/12</f>
        <v>2.5537572938621684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18.792337784805319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13</v>
      </c>
      <c r="BD92" s="13">
        <f>IF('Données projet'!$A$88&gt;35,BD91+BC92-BL91,IF(A92&lt;'Données projet'!$A$88,$BA$205^A92,IF(A92='Données projet'!$A$88,'Données projet'!$B$88,BD91+BC92-BL91)))</f>
        <v>460.00000000000045</v>
      </c>
      <c r="BE92" s="14">
        <f>BD92*VLOOKUP('Données projet'!$B$11,Paramètres!$A$1:$I$89,3,0)*VLOOKUP('Données projet'!$B$11,Paramètres!$A$1:$I$89,5,0)</f>
        <v>215.28000000000023</v>
      </c>
      <c r="BF92" s="14">
        <f t="shared" si="91"/>
        <v>53.08772574085318</v>
      </c>
      <c r="BG92" s="22">
        <f t="shared" si="61"/>
        <v>467.40712233198633</v>
      </c>
      <c r="BH92" s="62">
        <f t="shared" si="62"/>
        <v>731.3882074401688</v>
      </c>
      <c r="BI92" s="62">
        <f ca="1">AVERAGE(OFFSET($BH$3,0,0,'Données projet'!$E$11+1,1))-AVERAGE(OFFSET($H$3,0,0,'Données projet'!$E$11+1,1))</f>
        <v>374.62597460242665</v>
      </c>
      <c r="BJ92" s="62">
        <f t="shared" si="92"/>
        <v>277.50105097454616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5.833333333333333</v>
      </c>
      <c r="BY92" s="13">
        <f>IF('Données projet'!$A$114&gt;35,BY91+BX92-CG91,IF(A92&lt;'Données projet'!$A$114,$BV$205^A92,IF(A92='Données projet'!$A$114,'Données projet'!$B$114,BY91+BX92-CG91)))</f>
        <v>267.50000000000011</v>
      </c>
      <c r="BZ92" s="14">
        <f>BY92*VLOOKUP('Données projet'!$B$12,Paramètres!$A$1:$I$89,3,0)*VLOOKUP('Données projet'!$B$12,Paramètres!$A$1:$I$89,5,0)</f>
        <v>125.19000000000005</v>
      </c>
      <c r="CA92" s="14">
        <f t="shared" si="93"/>
        <v>32.882482546564333</v>
      </c>
      <c r="CB92" s="22">
        <f t="shared" si="64"/>
        <v>275.30957376859971</v>
      </c>
      <c r="CC92" s="62">
        <f t="shared" si="65"/>
        <v>539.29065887678223</v>
      </c>
      <c r="CD92" s="62">
        <f ca="1">AVERAGE(OFFSET($CC$3,0,0,'Données projet'!$E$12+1,1))-AVERAGE(OFFSET($H$3,0,0,'Données projet'!$E$12+1,1))</f>
        <v>329.79342219561465</v>
      </c>
      <c r="CE92" s="62">
        <f t="shared" si="94"/>
        <v>144.63206563329757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6.6</v>
      </c>
      <c r="CT92" s="13">
        <f>IF('Données projet'!$A$140&gt;35,CT91+CS92-DB91,IF(A92&lt;'Données projet'!$A$140,$CQ$205^A92,IF(A92='Données projet'!$A$140,'Données projet'!$B$140,CT91+CS92-DB91)))</f>
        <v>585.40000000000066</v>
      </c>
      <c r="CU92" s="18">
        <f>CT92*VLOOKUP('Données projet'!$B$13,Paramètres!$A$1:$I$89,3,0)*VLOOKUP('Données projet'!$B$13,Paramètres!$A$1:$I$89,5,0)</f>
        <v>350.06920000000042</v>
      </c>
      <c r="CV92" s="14">
        <f t="shared" si="95"/>
        <v>81.576760072781823</v>
      </c>
      <c r="CW92" s="22">
        <f t="shared" si="67"/>
        <v>751.7833804600956</v>
      </c>
      <c r="CX92" s="62">
        <f t="shared" si="68"/>
        <v>1015.7644655682782</v>
      </c>
      <c r="CY92" s="62">
        <f ca="1">AVERAGE(OFFSET($CX$3,0,0,'Données projet'!$E$13+1,1))-AVERAGE(OFFSET($H$3,0,0,'Données projet'!$E$13+1,1))</f>
        <v>530.27599556821826</v>
      </c>
      <c r="CZ92" s="62">
        <f t="shared" si="96"/>
        <v>370.62231794492129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1.9813968741588305E-8</v>
      </c>
      <c r="DI92" s="24">
        <f t="shared" si="69"/>
        <v>1.9813968741588305E-8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307.02048000000008</v>
      </c>
      <c r="DQ92" s="14">
        <f t="shared" si="97"/>
        <v>72.646238485840712</v>
      </c>
      <c r="DR92" s="22">
        <f t="shared" si="70"/>
        <v>661.25286802950598</v>
      </c>
      <c r="DS92" s="62">
        <f t="shared" si="71"/>
        <v>925.23395313768856</v>
      </c>
      <c r="DT92" s="62">
        <f ca="1">AVERAGE(OFFSET($DS$3,0,0,'Données projet'!$E$14+1,1))-AVERAGE(OFFSET($H$3,0,0,'Données projet'!$E$14+1,1))</f>
        <v>520.23742527061836</v>
      </c>
      <c r="DU92" s="62">
        <f t="shared" si="98"/>
        <v>321.35925479331274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2.6</v>
      </c>
      <c r="EJ92" s="13">
        <f>IF('Données projet'!$A$192&gt;35,EJ91+EI92-ER91,IF(A92&lt;'Données projet'!$A$192,$EG$205^A92,IF(A92='Données projet'!$A$192,'Données projet'!$B$192,EJ91+EI92-ER91)))</f>
        <v>233.39999999999989</v>
      </c>
      <c r="EK92" s="18">
        <f>EJ92*VLOOKUP('Données projet'!$B$15,Paramètres!$A$1:$I$89,3,0)*VLOOKUP('Données projet'!$B$15,Paramètres!$A$1:$I$89,5,0)</f>
        <v>243.94967999999989</v>
      </c>
      <c r="EL92" s="14">
        <f t="shared" si="99"/>
        <v>59.288514386933123</v>
      </c>
      <c r="EM92" s="22">
        <f t="shared" si="73"/>
        <v>528.13985522390828</v>
      </c>
      <c r="EN92" s="62">
        <f t="shared" si="74"/>
        <v>792.12094033209087</v>
      </c>
      <c r="EO92" s="62">
        <f ca="1">AVERAGE(OFFSET($EN$3,0,0,'Données projet'!$E$15+1,1))-AVERAGE(OFFSET($H$3,0,0,'Données projet'!$E$15+1,1))</f>
        <v>435.44444011810265</v>
      </c>
      <c r="EP92" s="62">
        <f t="shared" si="100"/>
        <v>447.15868732689762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6.4</v>
      </c>
      <c r="FE92" s="13">
        <f>IF('Données projet'!$A$218&gt;35,FE91+FD92-FM91,IF(A92&lt;'Données projet'!$A$218,$FB$205^A92,IF(A92='Données projet'!$A$218,'Données projet'!$B$218,FE91+FD92-FM91)))</f>
        <v>323.59999999999997</v>
      </c>
      <c r="FF92" s="18">
        <f>FE92*VLOOKUP('Données projet'!$B$16,Paramètres!$A$1:$I$89,3,0)*VLOOKUP('Données projet'!$B$16,Paramètres!$A$1:$I$89,5,0)</f>
        <v>328.13039999999995</v>
      </c>
      <c r="FG92" s="14">
        <f t="shared" si="101"/>
        <v>77.042563313388285</v>
      </c>
      <c r="FH92" s="22">
        <f t="shared" si="76"/>
        <v>705.67624443748446</v>
      </c>
      <c r="FI92" s="62">
        <f t="shared" si="77"/>
        <v>969.65732954566693</v>
      </c>
      <c r="FJ92" s="62">
        <f ca="1">AVERAGE(OFFSET($FI$3,0,0,'Données projet'!$E$16+1,1))-AVERAGE(OFFSET($H$3,0,0,'Données projet'!$E$16+1,1))</f>
        <v>547.89540791313675</v>
      </c>
      <c r="FK92" s="62">
        <f t="shared" si="102"/>
        <v>345.19555189302378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>
        <f>FZ92*VLOOKUP('Données projet'!$B$17,Paramètres!$A$1:$I$89,3,0)*VLOOKUP('Données projet'!$B$17,Paramètres!$A$1:$I$89,5,0)</f>
        <v>0</v>
      </c>
      <c r="GB92" s="14" t="e">
        <f t="shared" si="103"/>
        <v>#NUM!</v>
      </c>
      <c r="GC92" s="22" t="e">
        <f t="shared" si="79"/>
        <v>#NUM!</v>
      </c>
      <c r="GD92" s="62" t="e">
        <f t="shared" si="80"/>
        <v>#NUM!</v>
      </c>
      <c r="GE92" s="62">
        <f ca="1">AVERAGE(OFFSET($GD$3,0,0,'Données projet'!$E$17+1,1))-AVERAGE(OFFSET($H$3,0,0,'Données projet'!$E$17+1,1))</f>
        <v>409.68685886029164</v>
      </c>
      <c r="GF92" s="62">
        <f t="shared" si="104"/>
        <v>330.8416508650887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3.3891822020051566E-8</v>
      </c>
      <c r="GO92" s="23">
        <f t="shared" si="81"/>
        <v>3.3891822020051566E-8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73.098184695482075</v>
      </c>
      <c r="T93" s="62">
        <f t="shared" si="88"/>
        <v>334.38551711782793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16.688004814326131</v>
      </c>
      <c r="AA93" s="23">
        <f>EXP(-LN(2)/25)*AA92+(1-EXP(-LN(2)/25))/(LN(2)/25)*Calculateur!V93*Calculateur!X93*VLOOKUP('Données projet'!$B$9,Paramètres!$A$1:$I$89,3,0)*0.475*44/12</f>
        <v>2.603728106865181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19.291732921191311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70.520400819593021</v>
      </c>
      <c r="AO93" s="62">
        <f t="shared" si="90"/>
        <v>321.48616153644309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15.920151832071861</v>
      </c>
      <c r="AV93" s="23">
        <f>EXP(-LN(2)/25)*AV92+(1-EXP(-LN(2)/25))/(LN(2)/25)*Calculateur!AQ93*Calculateur!AS93*VLOOKUP('Données projet'!$B$10,Paramètres!$A$1:$I$89,3,0)*0.475*44/12</f>
        <v>2.4839246663652479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18.40407649843711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13</v>
      </c>
      <c r="BD93" s="13">
        <f>IF('Données projet'!$A$88&gt;35,BD92+BC93-BL92,IF(A93&lt;'Données projet'!$A$88,$BA$205^A93,IF(A93='Données projet'!$A$88,'Données projet'!$B$88,BD92+BC93-BL92)))</f>
        <v>473.00000000000045</v>
      </c>
      <c r="BE93" s="14">
        <f>BD93*VLOOKUP('Données projet'!$B$11,Paramètres!$A$1:$I$89,3,0)*VLOOKUP('Données projet'!$B$11,Paramètres!$A$1:$I$89,5,0)</f>
        <v>221.3640000000002</v>
      </c>
      <c r="BF93" s="14">
        <f t="shared" si="91"/>
        <v>54.411237653200843</v>
      </c>
      <c r="BG93" s="22">
        <f t="shared" si="61"/>
        <v>480.30853891265838</v>
      </c>
      <c r="BH93" s="62">
        <f t="shared" si="62"/>
        <v>744.79881990575109</v>
      </c>
      <c r="BI93" s="62">
        <f ca="1">AVERAGE(OFFSET($BH$3,0,0,'Données projet'!$E$11+1,1))-AVERAGE(OFFSET($H$3,0,0,'Données projet'!$E$11+1,1))</f>
        <v>374.62597460242665</v>
      </c>
      <c r="BJ93" s="62">
        <f t="shared" si="92"/>
        <v>277.50105097454616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5.833333333333333</v>
      </c>
      <c r="BY93" s="13">
        <f>IF('Données projet'!$A$114&gt;35,BY92+BX93-CG92,IF(A93&lt;'Données projet'!$A$114,$BV$205^A93,IF(A93='Données projet'!$A$114,'Données projet'!$B$114,BY92+BX93-CG92)))</f>
        <v>273.33333333333343</v>
      </c>
      <c r="BZ93" s="14">
        <f>BY93*VLOOKUP('Données projet'!$B$12,Paramètres!$A$1:$I$89,3,0)*VLOOKUP('Données projet'!$B$12,Paramètres!$A$1:$I$89,5,0)</f>
        <v>127.92000000000004</v>
      </c>
      <c r="CA93" s="14">
        <f t="shared" si="93"/>
        <v>33.515282155238253</v>
      </c>
      <c r="CB93" s="22">
        <f t="shared" si="64"/>
        <v>281.16644975370667</v>
      </c>
      <c r="CC93" s="62">
        <f t="shared" si="65"/>
        <v>545.65673074679944</v>
      </c>
      <c r="CD93" s="62">
        <f ca="1">AVERAGE(OFFSET($CC$3,0,0,'Données projet'!$E$12+1,1))-AVERAGE(OFFSET($H$3,0,0,'Données projet'!$E$12+1,1))</f>
        <v>329.79342219561465</v>
      </c>
      <c r="CE93" s="62">
        <f t="shared" si="94"/>
        <v>144.63206563329757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592</v>
      </c>
      <c r="CR93" s="13">
        <f>VLOOKUP(A93,'Données projet'!$A$139:$I$159,9,0)</f>
        <v>6.6</v>
      </c>
      <c r="CS93" s="13">
        <f t="array" ref="CS93">INDEX(CR:CR,MIN(IF(ISNUMBER(CR93:CR289),ROW(CR93:CR289),"")))</f>
        <v>6.6</v>
      </c>
      <c r="CT93" s="13">
        <f>IF('Données projet'!$A$140&gt;35,CT92+CS93-DB92,IF(A93&lt;'Données projet'!$A$140,$CQ$205^A93,IF(A93='Données projet'!$A$140,'Données projet'!$B$140,CT92+CS93-DB92)))</f>
        <v>592.00000000000068</v>
      </c>
      <c r="CU93" s="18">
        <f>CT93*VLOOKUP('Données projet'!$B$13,Paramètres!$A$1:$I$89,3,0)*VLOOKUP('Données projet'!$B$13,Paramètres!$A$1:$I$89,5,0)</f>
        <v>354.01600000000047</v>
      </c>
      <c r="CV93" s="14">
        <f t="shared" si="95"/>
        <v>82.388897459303138</v>
      </c>
      <c r="CW93" s="22">
        <f t="shared" si="67"/>
        <v>760.07186307495374</v>
      </c>
      <c r="CX93" s="62">
        <f t="shared" si="68"/>
        <v>1024.5621440680466</v>
      </c>
      <c r="CY93" s="62">
        <f ca="1">AVERAGE(OFFSET($CX$3,0,0,'Données projet'!$E$13+1,1))-AVERAGE(OFFSET($H$3,0,0,'Données projet'!$E$13+1,1))</f>
        <v>530.27599556821826</v>
      </c>
      <c r="CZ93" s="62">
        <f t="shared" si="96"/>
        <v>370.62231794492129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36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1.4010591659395374E-8</v>
      </c>
      <c r="DI93" s="24">
        <f t="shared" si="69"/>
        <v>1.4010591659395374E-8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313.17000000000007</v>
      </c>
      <c r="DQ93" s="14">
        <f t="shared" si="97"/>
        <v>73.930459835341907</v>
      </c>
      <c r="DR93" s="22">
        <f t="shared" si="70"/>
        <v>674.19996754655403</v>
      </c>
      <c r="DS93" s="62">
        <f t="shared" si="71"/>
        <v>938.69024853964675</v>
      </c>
      <c r="DT93" s="62">
        <f ca="1">AVERAGE(OFFSET($DS$3,0,0,'Données projet'!$E$14+1,1))-AVERAGE(OFFSET($H$3,0,0,'Données projet'!$E$14+1,1))</f>
        <v>520.23742527061836</v>
      </c>
      <c r="DU93" s="62">
        <f t="shared" si="98"/>
        <v>321.35925479331274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236</v>
      </c>
      <c r="EH93" s="13">
        <f>VLOOKUP(A93,'Données projet'!$A$191:$I$211,9,0)</f>
        <v>2.6</v>
      </c>
      <c r="EI93" s="13">
        <f t="array" ref="EI93">INDEX(EH:EH,MIN(IF(ISNUMBER(EH93:EH289),ROW(EH93:EH289),"")))</f>
        <v>2.6</v>
      </c>
      <c r="EJ93" s="13">
        <f>IF('Données projet'!$A$192&gt;35,EJ92+EI93-ER92,IF(A93&lt;'Données projet'!$A$192,$EG$205^A93,IF(A93='Données projet'!$A$192,'Données projet'!$B$192,EJ92+EI93-ER92)))</f>
        <v>235.99999999999989</v>
      </c>
      <c r="EK93" s="18">
        <f>EJ93*VLOOKUP('Données projet'!$B$15,Paramètres!$A$1:$I$89,3,0)*VLOOKUP('Données projet'!$B$15,Paramètres!$A$1:$I$89,5,0)</f>
        <v>246.66719999999989</v>
      </c>
      <c r="EL93" s="14">
        <f t="shared" si="99"/>
        <v>59.871715408125738</v>
      </c>
      <c r="EM93" s="22">
        <f t="shared" si="73"/>
        <v>533.88861100248539</v>
      </c>
      <c r="EN93" s="62">
        <f t="shared" si="74"/>
        <v>798.37889199557821</v>
      </c>
      <c r="EO93" s="62">
        <f ca="1">AVERAGE(OFFSET($EN$3,0,0,'Données projet'!$E$15+1,1))-AVERAGE(OFFSET($H$3,0,0,'Données projet'!$E$15+1,1))</f>
        <v>435.44444011810265</v>
      </c>
      <c r="EP93" s="62">
        <f t="shared" si="100"/>
        <v>447.15868732689762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236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330</v>
      </c>
      <c r="FC93" s="13">
        <f>VLOOKUP(A93,'Données projet'!$A$217:$I$237,9,0)</f>
        <v>6.4</v>
      </c>
      <c r="FD93" s="13">
        <f t="array" ref="FD93">INDEX(FC:FC,MIN(IF(ISNUMBER(FC93:FC289),ROW(FC93:FC289),"")))</f>
        <v>6.4</v>
      </c>
      <c r="FE93" s="13">
        <f>IF('Données projet'!$A$218&gt;35,FE92+FD93-FM92,IF(A93&lt;'Données projet'!$A$218,$FB$205^A93,IF(A93='Données projet'!$A$218,'Données projet'!$B$218,FE92+FD93-FM92)))</f>
        <v>329.99999999999994</v>
      </c>
      <c r="FF93" s="18">
        <f>FE93*VLOOKUP('Données projet'!$B$16,Paramètres!$A$1:$I$89,3,0)*VLOOKUP('Données projet'!$B$16,Paramètres!$A$1:$I$89,5,0)</f>
        <v>334.61999999999995</v>
      </c>
      <c r="FG93" s="14">
        <f t="shared" si="101"/>
        <v>78.387374628661505</v>
      </c>
      <c r="FH93" s="22">
        <f t="shared" si="76"/>
        <v>719.32117747825203</v>
      </c>
      <c r="FI93" s="62">
        <f t="shared" si="77"/>
        <v>983.81145847134485</v>
      </c>
      <c r="FJ93" s="62">
        <f ca="1">AVERAGE(OFFSET($FI$3,0,0,'Données projet'!$E$16+1,1))-AVERAGE(OFFSET($H$3,0,0,'Données projet'!$E$16+1,1))</f>
        <v>547.89540791313675</v>
      </c>
      <c r="FK93" s="62">
        <f t="shared" si="102"/>
        <v>345.19555189302378</v>
      </c>
      <c r="FL93" s="16">
        <f>IF(ISNA(VLOOKUP(A93,'Données projet'!$A$217:$I$237,3,0)),0,VLOOKUP(A93,'Données projet'!$A$217:$I$237,3,0))</f>
        <v>15</v>
      </c>
      <c r="FM93" s="16">
        <f>IF(ISNA(VLOOKUP(A93,'Données projet'!$A$217:$I$237,4,0)),0,VLOOKUP(A93,'Données projet'!$A$217:$I$237,4,0))</f>
        <v>28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>
        <f>FZ93*VLOOKUP('Données projet'!$B$17,Paramètres!$A$1:$I$89,3,0)*VLOOKUP('Données projet'!$B$17,Paramètres!$A$1:$I$89,5,0)</f>
        <v>0</v>
      </c>
      <c r="GB93" s="14" t="e">
        <f t="shared" si="103"/>
        <v>#NUM!</v>
      </c>
      <c r="GC93" s="22" t="e">
        <f t="shared" si="79"/>
        <v>#NUM!</v>
      </c>
      <c r="GD93" s="62" t="e">
        <f t="shared" si="80"/>
        <v>#NUM!</v>
      </c>
      <c r="GE93" s="62">
        <f ca="1">AVERAGE(OFFSET($GD$3,0,0,'Données projet'!$E$17+1,1))-AVERAGE(OFFSET($H$3,0,0,'Données projet'!$E$17+1,1))</f>
        <v>409.68685886029164</v>
      </c>
      <c r="GF93" s="62">
        <f t="shared" si="104"/>
        <v>330.8416508650887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2.3965137177146016E-8</v>
      </c>
      <c r="GO93" s="23">
        <f t="shared" si="81"/>
        <v>2.3965137177146016E-8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73.098184695482075</v>
      </c>
      <c r="T94" s="62">
        <f t="shared" si="88"/>
        <v>334.38551711782793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16.360763218595071</v>
      </c>
      <c r="AA94" s="23">
        <f>EXP(-LN(2)/25)*AA93+(1-EXP(-LN(2)/25))/(LN(2)/25)*Calculateur!V94*Calculateur!X94*VLOOKUP('Données projet'!$B$9,Paramètres!$A$1:$I$89,3,0)*0.475*44/12</f>
        <v>2.5325290248588423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18.893292243453914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70.520400819593021</v>
      </c>
      <c r="AO94" s="62">
        <f t="shared" si="90"/>
        <v>321.48616153644309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15.607967364978734</v>
      </c>
      <c r="AV94" s="23">
        <f>EXP(-LN(2)/25)*AV93+(1-EXP(-LN(2)/25))/(LN(2)/25)*Calculateur!AQ94*Calculateur!AS94*VLOOKUP('Données projet'!$B$10,Paramètres!$A$1:$I$89,3,0)*0.475*44/12</f>
        <v>2.4160016157395692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18.023968980718301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</v>
      </c>
      <c r="BD94" s="13">
        <f>IF('Données projet'!$A$88&gt;35,BD93+BC94-BL93,IF(A94&lt;'Données projet'!$A$88,$BA$205^A94,IF(A94='Données projet'!$A$88,'Données projet'!$B$88,BD93+BC94-BL93)))</f>
        <v>486.00000000000045</v>
      </c>
      <c r="BE94" s="14">
        <f>BD94*VLOOKUP('Données projet'!$B$11,Paramètres!$A$1:$I$89,3,0)*VLOOKUP('Données projet'!$B$11,Paramètres!$A$1:$I$89,5,0)</f>
        <v>227.44800000000021</v>
      </c>
      <c r="BF94" s="14">
        <f t="shared" si="91"/>
        <v>55.730521649800735</v>
      </c>
      <c r="BG94" s="22">
        <f t="shared" si="61"/>
        <v>493.20259187340326</v>
      </c>
      <c r="BH94" s="62">
        <f t="shared" si="62"/>
        <v>758.1932353411944</v>
      </c>
      <c r="BI94" s="62">
        <f ca="1">AVERAGE(OFFSET($BH$3,0,0,'Données projet'!$E$11+1,1))-AVERAGE(OFFSET($H$3,0,0,'Données projet'!$E$11+1,1))</f>
        <v>374.62597460242665</v>
      </c>
      <c r="BJ94" s="62">
        <f t="shared" si="92"/>
        <v>277.50105097454616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5.833333333333333</v>
      </c>
      <c r="BY94" s="13">
        <f>IF('Données projet'!$A$114&gt;35,BY93+BX94-CG93,IF(A94&lt;'Données projet'!$A$114,$BV$205^A94,IF(A94='Données projet'!$A$114,'Données projet'!$B$114,BY93+BX94-CG93)))</f>
        <v>279.16666666666674</v>
      </c>
      <c r="BZ94" s="14">
        <f>BY94*VLOOKUP('Données projet'!$B$12,Paramètres!$A$1:$I$89,3,0)*VLOOKUP('Données projet'!$B$12,Paramètres!$A$1:$I$89,5,0)</f>
        <v>130.65000000000003</v>
      </c>
      <c r="CA94" s="14">
        <f t="shared" si="93"/>
        <v>34.146511621978362</v>
      </c>
      <c r="CB94" s="22">
        <f t="shared" si="64"/>
        <v>287.02059107494568</v>
      </c>
      <c r="CC94" s="62">
        <f t="shared" si="65"/>
        <v>552.01123454273693</v>
      </c>
      <c r="CD94" s="62">
        <f ca="1">AVERAGE(OFFSET($CC$3,0,0,'Données projet'!$E$12+1,1))-AVERAGE(OFFSET($H$3,0,0,'Données projet'!$E$12+1,1))</f>
        <v>329.79342219561465</v>
      </c>
      <c r="CE94" s="62">
        <f t="shared" si="94"/>
        <v>144.63206563329757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6.5</v>
      </c>
      <c r="CT94" s="13">
        <f>IF('Données projet'!$A$140&gt;35,CT93+CS94-DB93,IF(A94&lt;'Données projet'!$A$140,$CQ$205^A94,IF(A94='Données projet'!$A$140,'Données projet'!$B$140,CT93+CS94-DB93)))</f>
        <v>562.50000000000068</v>
      </c>
      <c r="CU94" s="18">
        <f>CT94*VLOOKUP('Données projet'!$B$13,Paramètres!$A$1:$I$89,3,0)*VLOOKUP('Données projet'!$B$13,Paramètres!$A$1:$I$89,5,0)</f>
        <v>336.37500000000045</v>
      </c>
      <c r="CV94" s="14">
        <f t="shared" si="95"/>
        <v>78.750531883095888</v>
      </c>
      <c r="CW94" s="22">
        <f t="shared" si="67"/>
        <v>723.01030136305951</v>
      </c>
      <c r="CX94" s="62">
        <f t="shared" si="68"/>
        <v>988.0009448308507</v>
      </c>
      <c r="CY94" s="62">
        <f ca="1">AVERAGE(OFFSET($CX$3,0,0,'Données projet'!$E$13+1,1))-AVERAGE(OFFSET($H$3,0,0,'Données projet'!$E$13+1,1))</f>
        <v>530.27599556821826</v>
      </c>
      <c r="CZ94" s="62">
        <f t="shared" si="96"/>
        <v>370.62231794492129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9.9069843707941524E-9</v>
      </c>
      <c r="DI94" s="24">
        <f t="shared" si="69"/>
        <v>9.9069843707941524E-9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294.94920000000008</v>
      </c>
      <c r="DQ94" s="14">
        <f t="shared" si="97"/>
        <v>70.116577722016785</v>
      </c>
      <c r="DR94" s="22">
        <f t="shared" si="70"/>
        <v>635.82289619917935</v>
      </c>
      <c r="DS94" s="62">
        <f t="shared" si="71"/>
        <v>900.81353966697054</v>
      </c>
      <c r="DT94" s="62">
        <f ca="1">AVERAGE(OFFSET($DS$3,0,0,'Données projet'!$E$14+1,1))-AVERAGE(OFFSET($H$3,0,0,'Données projet'!$E$14+1,1))</f>
        <v>520.23742527061836</v>
      </c>
      <c r="DU94" s="62">
        <f t="shared" si="98"/>
        <v>321.35925479331274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-1.1882548278663309E-13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435.44444011810265</v>
      </c>
      <c r="EP94" s="62">
        <f t="shared" si="100"/>
        <v>447.15868732689762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</v>
      </c>
      <c r="FE94" s="13">
        <f>IF('Données projet'!$A$218&gt;35,FE93+FD94-FM93,IF(A94&lt;'Données projet'!$A$218,$FB$205^A94,IF(A94='Données projet'!$A$218,'Données projet'!$B$218,FE93+FD94-FM93)))</f>
        <v>307.99999999999994</v>
      </c>
      <c r="FF94" s="18">
        <f>FE94*VLOOKUP('Données projet'!$B$16,Paramètres!$A$1:$I$89,3,0)*VLOOKUP('Données projet'!$B$16,Paramètres!$A$1:$I$89,5,0)</f>
        <v>312.31199999999995</v>
      </c>
      <c r="FG94" s="14">
        <f t="shared" si="101"/>
        <v>73.751458791112015</v>
      </c>
      <c r="FH94" s="22">
        <f t="shared" si="76"/>
        <v>672.39385739452007</v>
      </c>
      <c r="FI94" s="62">
        <f t="shared" si="77"/>
        <v>937.38450086231126</v>
      </c>
      <c r="FJ94" s="62">
        <f ca="1">AVERAGE(OFFSET($FI$3,0,0,'Données projet'!$E$16+1,1))-AVERAGE(OFFSET($H$3,0,0,'Données projet'!$E$16+1,1))</f>
        <v>547.89540791313675</v>
      </c>
      <c r="FK94" s="62">
        <f t="shared" si="102"/>
        <v>345.19555189302378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>
        <f>FZ94*VLOOKUP('Données projet'!$B$17,Paramètres!$A$1:$I$89,3,0)*VLOOKUP('Données projet'!$B$17,Paramètres!$A$1:$I$89,5,0)</f>
        <v>0</v>
      </c>
      <c r="GB94" s="14" t="e">
        <f t="shared" si="103"/>
        <v>#NUM!</v>
      </c>
      <c r="GC94" s="22" t="e">
        <f t="shared" si="79"/>
        <v>#NUM!</v>
      </c>
      <c r="GD94" s="62" t="e">
        <f t="shared" si="80"/>
        <v>#NUM!</v>
      </c>
      <c r="GE94" s="62">
        <f ca="1">AVERAGE(OFFSET($GD$3,0,0,'Données projet'!$E$17+1,1))-AVERAGE(OFFSET($H$3,0,0,'Données projet'!$E$17+1,1))</f>
        <v>409.68685886029164</v>
      </c>
      <c r="GF94" s="62">
        <f t="shared" si="104"/>
        <v>330.8416508650887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1.6945911010025783E-8</v>
      </c>
      <c r="GO94" s="23">
        <f t="shared" si="81"/>
        <v>1.6945911010025783E-8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73.098184695482075</v>
      </c>
      <c r="T95" s="62">
        <f t="shared" si="88"/>
        <v>334.38551711782793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16.039938630958634</v>
      </c>
      <c r="AA95" s="23">
        <f>EXP(-LN(2)/25)*AA94+(1-EXP(-LN(2)/25))/(LN(2)/25)*Calculateur!V95*Calculateur!X95*VLOOKUP('Données projet'!$B$9,Paramètres!$A$1:$I$89,3,0)*0.475*44/12</f>
        <v>2.4632768854941642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18.503215516452798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70.520400819593021</v>
      </c>
      <c r="AO95" s="62">
        <f t="shared" si="90"/>
        <v>321.48616153644309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15.301904644871579</v>
      </c>
      <c r="AV95" s="23">
        <f>EXP(-LN(2)/25)*AV94+(1-EXP(-LN(2)/25))/(LN(2)/25)*Calculateur!AQ95*Calculateur!AS95*VLOOKUP('Données projet'!$B$10,Paramètres!$A$1:$I$89,3,0)*0.475*44/12</f>
        <v>2.3499359245051674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17.651840569376745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</v>
      </c>
      <c r="BD95" s="13">
        <f>IF('Données projet'!$A$88&gt;35,BD94+BC95-BL94,IF(A95&lt;'Données projet'!$A$88,$BA$205^A95,IF(A95='Données projet'!$A$88,'Données projet'!$B$88,BD94+BC95-BL94)))</f>
        <v>499.00000000000045</v>
      </c>
      <c r="BE95" s="14">
        <f>BD95*VLOOKUP('Données projet'!$B$11,Paramètres!$A$1:$I$89,3,0)*VLOOKUP('Données projet'!$B$11,Paramètres!$A$1:$I$89,5,0)</f>
        <v>233.53200000000021</v>
      </c>
      <c r="BF95" s="14">
        <f t="shared" si="91"/>
        <v>57.04570382109813</v>
      </c>
      <c r="BG95" s="22">
        <f t="shared" si="61"/>
        <v>506.08950082174624</v>
      </c>
      <c r="BH95" s="62">
        <f t="shared" si="62"/>
        <v>771.57182659394277</v>
      </c>
      <c r="BI95" s="62">
        <f ca="1">AVERAGE(OFFSET($BH$3,0,0,'Données projet'!$E$11+1,1))-AVERAGE(OFFSET($H$3,0,0,'Données projet'!$E$11+1,1))</f>
        <v>374.62597460242665</v>
      </c>
      <c r="BJ95" s="62">
        <f t="shared" si="92"/>
        <v>277.50105097454616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5.833333333333333</v>
      </c>
      <c r="BY95" s="13">
        <f>IF('Données projet'!$A$114&gt;35,BY94+BX95-CG94,IF(A95&lt;'Données projet'!$A$114,$BV$205^A95,IF(A95='Données projet'!$A$114,'Données projet'!$B$114,BY94+BX95-CG94)))</f>
        <v>285.00000000000006</v>
      </c>
      <c r="BZ95" s="14">
        <f>BY95*VLOOKUP('Données projet'!$B$12,Paramètres!$A$1:$I$89,3,0)*VLOOKUP('Données projet'!$B$12,Paramètres!$A$1:$I$89,5,0)</f>
        <v>133.38000000000002</v>
      </c>
      <c r="CA95" s="14">
        <f t="shared" si="93"/>
        <v>34.776207535548991</v>
      </c>
      <c r="CB95" s="22">
        <f t="shared" si="64"/>
        <v>292.87206145774786</v>
      </c>
      <c r="CC95" s="62">
        <f t="shared" si="65"/>
        <v>558.35438722994445</v>
      </c>
      <c r="CD95" s="62">
        <f ca="1">AVERAGE(OFFSET($CC$3,0,0,'Données projet'!$E$12+1,1))-AVERAGE(OFFSET($H$3,0,0,'Données projet'!$E$12+1,1))</f>
        <v>329.79342219561465</v>
      </c>
      <c r="CE95" s="62">
        <f t="shared" si="94"/>
        <v>144.63206563329757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6.5</v>
      </c>
      <c r="CT95" s="13">
        <f>IF('Données projet'!$A$140&gt;35,CT94+CS95-DB94,IF(A95&lt;'Données projet'!$A$140,$CQ$205^A95,IF(A95='Données projet'!$A$140,'Données projet'!$B$140,CT94+CS95-DB94)))</f>
        <v>569.00000000000068</v>
      </c>
      <c r="CU95" s="18">
        <f>CT95*VLOOKUP('Données projet'!$B$13,Paramètres!$A$1:$I$89,3,0)*VLOOKUP('Données projet'!$B$13,Paramètres!$A$1:$I$89,5,0)</f>
        <v>340.26200000000046</v>
      </c>
      <c r="CV95" s="14">
        <f t="shared" si="95"/>
        <v>79.554074853631121</v>
      </c>
      <c r="CW95" s="22">
        <f t="shared" si="67"/>
        <v>731.17966370340821</v>
      </c>
      <c r="CX95" s="62">
        <f t="shared" si="68"/>
        <v>996.66198947560474</v>
      </c>
      <c r="CY95" s="62">
        <f ca="1">AVERAGE(OFFSET($CX$3,0,0,'Données projet'!$E$13+1,1))-AVERAGE(OFFSET($H$3,0,0,'Données projet'!$E$13+1,1))</f>
        <v>530.27599556821826</v>
      </c>
      <c r="CZ95" s="62">
        <f t="shared" si="96"/>
        <v>370.62231794492129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7.005295829697687E-9</v>
      </c>
      <c r="DI95" s="24">
        <f t="shared" si="69"/>
        <v>7.005295829697687E-9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300.64320000000004</v>
      </c>
      <c r="DQ95" s="14">
        <f t="shared" si="97"/>
        <v>71.3112860893104</v>
      </c>
      <c r="DR95" s="22">
        <f t="shared" si="70"/>
        <v>647.82072993888221</v>
      </c>
      <c r="DS95" s="62">
        <f t="shared" si="71"/>
        <v>913.30305571107874</v>
      </c>
      <c r="DT95" s="62">
        <f ca="1">AVERAGE(OFFSET($DS$3,0,0,'Données projet'!$E$14+1,1))-AVERAGE(OFFSET($H$3,0,0,'Données projet'!$E$14+1,1))</f>
        <v>520.23742527061836</v>
      </c>
      <c r="DU95" s="62">
        <f t="shared" si="98"/>
        <v>321.35925479331274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-1.1882548278663309E-13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435.44444011810265</v>
      </c>
      <c r="EP95" s="62">
        <f t="shared" si="100"/>
        <v>447.15868732689762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</v>
      </c>
      <c r="FE95" s="13">
        <f>IF('Données projet'!$A$218&gt;35,FE94+FD95-FM94,IF(A95&lt;'Données projet'!$A$218,$FB$205^A95,IF(A95='Données projet'!$A$218,'Données projet'!$B$218,FE94+FD95-FM94)))</f>
        <v>313.99999999999994</v>
      </c>
      <c r="FF95" s="18">
        <f>FE95*VLOOKUP('Données projet'!$B$16,Paramètres!$A$1:$I$89,3,0)*VLOOKUP('Données projet'!$B$16,Paramètres!$A$1:$I$89,5,0)</f>
        <v>318.39599999999996</v>
      </c>
      <c r="FG95" s="14">
        <f t="shared" si="101"/>
        <v>75.019512724334945</v>
      </c>
      <c r="FH95" s="22">
        <f t="shared" si="76"/>
        <v>685.19868466154992</v>
      </c>
      <c r="FI95" s="62">
        <f t="shared" si="77"/>
        <v>950.68101043374645</v>
      </c>
      <c r="FJ95" s="62">
        <f ca="1">AVERAGE(OFFSET($FI$3,0,0,'Données projet'!$E$16+1,1))-AVERAGE(OFFSET($H$3,0,0,'Données projet'!$E$16+1,1))</f>
        <v>547.89540791313675</v>
      </c>
      <c r="FK95" s="62">
        <f t="shared" si="102"/>
        <v>345.19555189302378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>
        <f>FZ95*VLOOKUP('Données projet'!$B$17,Paramètres!$A$1:$I$89,3,0)*VLOOKUP('Données projet'!$B$17,Paramètres!$A$1:$I$89,5,0)</f>
        <v>0</v>
      </c>
      <c r="GB95" s="14" t="e">
        <f t="shared" si="103"/>
        <v>#NUM!</v>
      </c>
      <c r="GC95" s="22" t="e">
        <f t="shared" si="79"/>
        <v>#NUM!</v>
      </c>
      <c r="GD95" s="62" t="e">
        <f t="shared" si="80"/>
        <v>#NUM!</v>
      </c>
      <c r="GE95" s="62">
        <f ca="1">AVERAGE(OFFSET($GD$3,0,0,'Données projet'!$E$17+1,1))-AVERAGE(OFFSET($H$3,0,0,'Données projet'!$E$17+1,1))</f>
        <v>409.68685886029164</v>
      </c>
      <c r="GF95" s="62">
        <f t="shared" si="104"/>
        <v>330.8416508650887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1.1982568588573008E-8</v>
      </c>
      <c r="GO95" s="23">
        <f t="shared" si="81"/>
        <v>1.1982568588573008E-8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73.098184695482075</v>
      </c>
      <c r="T96" s="62">
        <f t="shared" si="88"/>
        <v>334.38551711782793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15.72540521780207</v>
      </c>
      <c r="AA96" s="23">
        <f>EXP(-LN(2)/25)*AA95+(1-EXP(-LN(2)/25))/(LN(2)/25)*Calculateur!V96*Calculateur!X96*VLOOKUP('Données projet'!$B$9,Paramètres!$A$1:$I$89,3,0)*0.475*44/12</f>
        <v>2.3959184495222248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18.121323667324294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70.520400819593021</v>
      </c>
      <c r="AO96" s="62">
        <f t="shared" si="90"/>
        <v>321.48616153644309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15.001843628025899</v>
      </c>
      <c r="AV96" s="23">
        <f>EXP(-LN(2)/25)*AV95+(1-EXP(-LN(2)/25))/(LN(2)/25)*Calculateur!AQ96*Calculateur!AS96*VLOOKUP('Données projet'!$B$10,Paramètres!$A$1:$I$89,3,0)*0.475*44/12</f>
        <v>2.285676803071814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17.287520431097711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</v>
      </c>
      <c r="BD96" s="13">
        <f>IF('Données projet'!$A$88&gt;35,BD95+BC96-BL95,IF(A96&lt;'Données projet'!$A$88,$BA$205^A96,IF(A96='Données projet'!$A$88,'Données projet'!$B$88,BD95+BC96-BL95)))</f>
        <v>512.00000000000045</v>
      </c>
      <c r="BE96" s="14">
        <f>BD96*VLOOKUP('Données projet'!$B$11,Paramètres!$A$1:$I$89,3,0)*VLOOKUP('Données projet'!$B$11,Paramètres!$A$1:$I$89,5,0)</f>
        <v>239.61600000000021</v>
      </c>
      <c r="BF96" s="14">
        <f t="shared" si="91"/>
        <v>58.356903313490214</v>
      </c>
      <c r="BG96" s="22">
        <f t="shared" si="61"/>
        <v>518.96947327099576</v>
      </c>
      <c r="BH96" s="62">
        <f t="shared" si="62"/>
        <v>784.93495175885323</v>
      </c>
      <c r="BI96" s="62">
        <f ca="1">AVERAGE(OFFSET($BH$3,0,0,'Données projet'!$E$11+1,1))-AVERAGE(OFFSET($H$3,0,0,'Données projet'!$E$11+1,1))</f>
        <v>374.62597460242665</v>
      </c>
      <c r="BJ96" s="62">
        <f t="shared" si="92"/>
        <v>277.50105097454616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5.833333333333333</v>
      </c>
      <c r="BY96" s="13">
        <f>IF('Données projet'!$A$114&gt;35,BY95+BX96-CG95,IF(A96&lt;'Données projet'!$A$114,$BV$205^A96,IF(A96='Données projet'!$A$114,'Données projet'!$B$114,BY95+BX96-CG95)))</f>
        <v>290.83333333333337</v>
      </c>
      <c r="BZ96" s="14">
        <f>BY96*VLOOKUP('Données projet'!$B$12,Paramètres!$A$1:$I$89,3,0)*VLOOKUP('Données projet'!$B$12,Paramètres!$A$1:$I$89,5,0)</f>
        <v>136.11000000000001</v>
      </c>
      <c r="CA96" s="14">
        <f t="shared" si="93"/>
        <v>35.404404901312404</v>
      </c>
      <c r="CB96" s="22">
        <f t="shared" si="64"/>
        <v>298.72092186978574</v>
      </c>
      <c r="CC96" s="62">
        <f t="shared" si="65"/>
        <v>564.68640035764315</v>
      </c>
      <c r="CD96" s="62">
        <f ca="1">AVERAGE(OFFSET($CC$3,0,0,'Données projet'!$E$12+1,1))-AVERAGE(OFFSET($H$3,0,0,'Données projet'!$E$12+1,1))</f>
        <v>329.79342219561465</v>
      </c>
      <c r="CE96" s="62">
        <f t="shared" si="94"/>
        <v>144.63206563329757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6.5</v>
      </c>
      <c r="CT96" s="13">
        <f>IF('Données projet'!$A$140&gt;35,CT95+CS96-DB95,IF(A96&lt;'Données projet'!$A$140,$CQ$205^A96,IF(A96='Données projet'!$A$140,'Données projet'!$B$140,CT95+CS96-DB95)))</f>
        <v>575.50000000000068</v>
      </c>
      <c r="CU96" s="18">
        <f>CT96*VLOOKUP('Données projet'!$B$13,Paramètres!$A$1:$I$89,3,0)*VLOOKUP('Données projet'!$B$13,Paramètres!$A$1:$I$89,5,0)</f>
        <v>344.1490000000004</v>
      </c>
      <c r="CV96" s="14">
        <f t="shared" si="95"/>
        <v>80.356550037589372</v>
      </c>
      <c r="CW96" s="22">
        <f t="shared" si="67"/>
        <v>739.34716631546883</v>
      </c>
      <c r="CX96" s="62">
        <f t="shared" si="68"/>
        <v>1005.3126448033263</v>
      </c>
      <c r="CY96" s="62">
        <f ca="1">AVERAGE(OFFSET($CX$3,0,0,'Données projet'!$E$13+1,1))-AVERAGE(OFFSET($H$3,0,0,'Données projet'!$E$13+1,1))</f>
        <v>530.27599556821826</v>
      </c>
      <c r="CZ96" s="62">
        <f t="shared" si="96"/>
        <v>370.62231794492129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4.9534921853970762E-9</v>
      </c>
      <c r="DI96" s="24">
        <f t="shared" si="69"/>
        <v>4.9534921853970762E-9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306.33720000000005</v>
      </c>
      <c r="DQ96" s="14">
        <f t="shared" si="97"/>
        <v>72.503363402445913</v>
      </c>
      <c r="DR96" s="22">
        <f t="shared" si="70"/>
        <v>659.81398125926</v>
      </c>
      <c r="DS96" s="62">
        <f t="shared" si="71"/>
        <v>925.77945974711747</v>
      </c>
      <c r="DT96" s="62">
        <f ca="1">AVERAGE(OFFSET($DS$3,0,0,'Données projet'!$E$14+1,1))-AVERAGE(OFFSET($H$3,0,0,'Données projet'!$E$14+1,1))</f>
        <v>520.23742527061836</v>
      </c>
      <c r="DU96" s="62">
        <f t="shared" si="98"/>
        <v>321.35925479331274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-1.1882548278663309E-13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435.44444011810265</v>
      </c>
      <c r="EP96" s="62">
        <f t="shared" si="100"/>
        <v>447.15868732689762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</v>
      </c>
      <c r="FE96" s="13">
        <f>IF('Données projet'!$A$218&gt;35,FE95+FD96-FM95,IF(A96&lt;'Données projet'!$A$218,$FB$205^A96,IF(A96='Données projet'!$A$218,'Données projet'!$B$218,FE95+FD96-FM95)))</f>
        <v>319.99999999999994</v>
      </c>
      <c r="FF96" s="18">
        <f>FE96*VLOOKUP('Données projet'!$B$16,Paramètres!$A$1:$I$89,3,0)*VLOOKUP('Données projet'!$B$16,Paramètres!$A$1:$I$89,5,0)</f>
        <v>324.47999999999996</v>
      </c>
      <c r="FG96" s="14">
        <f t="shared" si="101"/>
        <v>76.284749200165507</v>
      </c>
      <c r="FH96" s="22">
        <f t="shared" si="76"/>
        <v>697.99860485695478</v>
      </c>
      <c r="FI96" s="62">
        <f t="shared" si="77"/>
        <v>963.96408334481225</v>
      </c>
      <c r="FJ96" s="62">
        <f ca="1">AVERAGE(OFFSET($FI$3,0,0,'Données projet'!$E$16+1,1))-AVERAGE(OFFSET($H$3,0,0,'Données projet'!$E$16+1,1))</f>
        <v>547.89540791313675</v>
      </c>
      <c r="FK96" s="62">
        <f t="shared" si="102"/>
        <v>345.19555189302378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>
        <f>FZ96*VLOOKUP('Données projet'!$B$17,Paramètres!$A$1:$I$89,3,0)*VLOOKUP('Données projet'!$B$17,Paramètres!$A$1:$I$89,5,0)</f>
        <v>0</v>
      </c>
      <c r="GB96" s="14" t="e">
        <f t="shared" si="103"/>
        <v>#NUM!</v>
      </c>
      <c r="GC96" s="22" t="e">
        <f t="shared" si="79"/>
        <v>#NUM!</v>
      </c>
      <c r="GD96" s="62" t="e">
        <f t="shared" si="80"/>
        <v>#NUM!</v>
      </c>
      <c r="GE96" s="62">
        <f ca="1">AVERAGE(OFFSET($GD$3,0,0,'Données projet'!$E$17+1,1))-AVERAGE(OFFSET($H$3,0,0,'Données projet'!$E$17+1,1))</f>
        <v>409.68685886029164</v>
      </c>
      <c r="GF96" s="62">
        <f t="shared" si="104"/>
        <v>330.8416508650887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8.4729555050128914E-9</v>
      </c>
      <c r="GO96" s="23">
        <f t="shared" si="81"/>
        <v>8.4729555050128914E-9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73.098184695482075</v>
      </c>
      <c r="T97" s="62">
        <f t="shared" si="88"/>
        <v>334.38551711782793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15.417039613031067</v>
      </c>
      <c r="AA97" s="23">
        <f>EXP(-LN(2)/25)*AA96+(1-EXP(-LN(2)/25))/(LN(2)/25)*Calculateur!V97*Calculateur!X97*VLOOKUP('Données projet'!$B$9,Paramètres!$A$1:$I$89,3,0)*0.475*44/12</f>
        <v>2.3304019335241644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17.74744154655523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70.520400819593021</v>
      </c>
      <c r="AO97" s="62">
        <f t="shared" si="90"/>
        <v>321.48616153644309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14.707666624701416</v>
      </c>
      <c r="AV97" s="23">
        <f>EXP(-LN(2)/25)*AV96+(1-EXP(-LN(2)/25))/(LN(2)/25)*Calculateur!AQ97*Calculateur!AS97*VLOOKUP('Données projet'!$B$10,Paramètres!$A$1:$I$89,3,0)*0.475*44/12</f>
        <v>2.223174850693296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16.930841475394711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525</v>
      </c>
      <c r="BB97" s="13">
        <f>VLOOKUP(A97,'Données projet'!$A$87:$I$107,9,0)</f>
        <v>13</v>
      </c>
      <c r="BC97" s="13">
        <f t="array" ref="BC97">INDEX(BB:BB,MIN(IF(ISNUMBER(BB97:BB293),ROW(BB97:BB293),"")))</f>
        <v>13</v>
      </c>
      <c r="BD97" s="13">
        <f>IF('Données projet'!$A$88&gt;35,BD96+BC97-BL96,IF(A97&lt;'Données projet'!$A$88,$BA$205^A97,IF(A97='Données projet'!$A$88,'Données projet'!$B$88,BD96+BC97-BL96)))</f>
        <v>525.00000000000045</v>
      </c>
      <c r="BE97" s="14">
        <f>BD97*VLOOKUP('Données projet'!$B$11,Paramètres!$A$1:$I$89,3,0)*VLOOKUP('Données projet'!$B$11,Paramètres!$A$1:$I$89,5,0)</f>
        <v>245.70000000000022</v>
      </c>
      <c r="BF97" s="14">
        <f t="shared" si="91"/>
        <v>59.66423287821754</v>
      </c>
      <c r="BG97" s="22">
        <f t="shared" si="61"/>
        <v>531.84270559622928</v>
      </c>
      <c r="BH97" s="62">
        <f t="shared" si="62"/>
        <v>798.28295518029847</v>
      </c>
      <c r="BI97" s="62">
        <f ca="1">AVERAGE(OFFSET($BH$3,0,0,'Données projet'!$E$11+1,1))-AVERAGE(OFFSET($H$3,0,0,'Données projet'!$E$11+1,1))</f>
        <v>374.62597460242665</v>
      </c>
      <c r="BJ97" s="62">
        <f t="shared" si="92"/>
        <v>277.50105097454616</v>
      </c>
      <c r="BK97" s="16">
        <f>IF(ISNA(VLOOKUP(A97,'Données projet'!$A$87:$I$107,3,0)),0,VLOOKUP(A97,'Données projet'!$A$87:$I$107,3,0))</f>
        <v>17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5.833333333333333</v>
      </c>
      <c r="BY97" s="13">
        <f>IF('Données projet'!$A$114&gt;35,BY96+BX97-CG96,IF(A97&lt;'Données projet'!$A$114,$BV$205^A97,IF(A97='Données projet'!$A$114,'Données projet'!$B$114,BY96+BX97-CG96)))</f>
        <v>296.66666666666669</v>
      </c>
      <c r="BZ97" s="14">
        <f>BY97*VLOOKUP('Données projet'!$B$12,Paramètres!$A$1:$I$89,3,0)*VLOOKUP('Données projet'!$B$12,Paramètres!$A$1:$I$89,5,0)</f>
        <v>138.84</v>
      </c>
      <c r="CA97" s="14">
        <f t="shared" si="93"/>
        <v>36.031137240112955</v>
      </c>
      <c r="CB97" s="22">
        <f t="shared" si="64"/>
        <v>304.56723069319668</v>
      </c>
      <c r="CC97" s="62">
        <f t="shared" si="65"/>
        <v>571.00748027726581</v>
      </c>
      <c r="CD97" s="62">
        <f ca="1">AVERAGE(OFFSET($CC$3,0,0,'Données projet'!$E$12+1,1))-AVERAGE(OFFSET($H$3,0,0,'Données projet'!$E$12+1,1))</f>
        <v>329.79342219561465</v>
      </c>
      <c r="CE97" s="62">
        <f t="shared" si="94"/>
        <v>144.63206563329757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6.5</v>
      </c>
      <c r="CT97" s="13">
        <f>IF('Données projet'!$A$140&gt;35,CT96+CS97-DB96,IF(A97&lt;'Données projet'!$A$140,$CQ$205^A97,IF(A97='Données projet'!$A$140,'Données projet'!$B$140,CT96+CS97-DB96)))</f>
        <v>582.00000000000068</v>
      </c>
      <c r="CU97" s="18">
        <f>CT97*VLOOKUP('Données projet'!$B$13,Paramètres!$A$1:$I$89,3,0)*VLOOKUP('Données projet'!$B$13,Paramètres!$A$1:$I$89,5,0)</f>
        <v>348.0360000000004</v>
      </c>
      <c r="CV97" s="14">
        <f t="shared" si="95"/>
        <v>81.157970890643924</v>
      </c>
      <c r="CW97" s="22">
        <f t="shared" si="67"/>
        <v>747.51283263453888</v>
      </c>
      <c r="CX97" s="62">
        <f t="shared" si="68"/>
        <v>1013.9530822186081</v>
      </c>
      <c r="CY97" s="62">
        <f ca="1">AVERAGE(OFFSET($CX$3,0,0,'Données projet'!$E$13+1,1))-AVERAGE(OFFSET($H$3,0,0,'Données projet'!$E$13+1,1))</f>
        <v>530.27599556821826</v>
      </c>
      <c r="CZ97" s="62">
        <f t="shared" si="96"/>
        <v>370.62231794492129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3.5026479148488435E-9</v>
      </c>
      <c r="DI97" s="24">
        <f t="shared" si="69"/>
        <v>3.5026479148488435E-9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312.03120000000007</v>
      </c>
      <c r="DQ97" s="14">
        <f t="shared" si="97"/>
        <v>73.69286420555747</v>
      </c>
      <c r="DR97" s="22">
        <f t="shared" si="70"/>
        <v>671.80274515801261</v>
      </c>
      <c r="DS97" s="62">
        <f t="shared" si="71"/>
        <v>938.24299474208181</v>
      </c>
      <c r="DT97" s="62">
        <f ca="1">AVERAGE(OFFSET($DS$3,0,0,'Données projet'!$E$14+1,1))-AVERAGE(OFFSET($H$3,0,0,'Données projet'!$E$14+1,1))</f>
        <v>520.23742527061836</v>
      </c>
      <c r="DU97" s="62">
        <f t="shared" si="98"/>
        <v>321.35925479331274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-1.1882548278663309E-13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435.44444011810265</v>
      </c>
      <c r="EP97" s="62">
        <f t="shared" si="100"/>
        <v>447.15868732689762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</v>
      </c>
      <c r="FE97" s="13">
        <f>IF('Données projet'!$A$218&gt;35,FE96+FD97-FM96,IF(A97&lt;'Données projet'!$A$218,$FB$205^A97,IF(A97='Données projet'!$A$218,'Données projet'!$B$218,FE96+FD97-FM96)))</f>
        <v>325.99999999999994</v>
      </c>
      <c r="FF97" s="18">
        <f>FE97*VLOOKUP('Données projet'!$B$16,Paramètres!$A$1:$I$89,3,0)*VLOOKUP('Données projet'!$B$16,Paramètres!$A$1:$I$89,5,0)</f>
        <v>330.56399999999996</v>
      </c>
      <c r="FG97" s="14">
        <f t="shared" si="101"/>
        <v>77.547227137682853</v>
      </c>
      <c r="FH97" s="22">
        <f t="shared" si="76"/>
        <v>710.79372059813079</v>
      </c>
      <c r="FI97" s="62">
        <f t="shared" si="77"/>
        <v>977.23397018219998</v>
      </c>
      <c r="FJ97" s="62">
        <f ca="1">AVERAGE(OFFSET($FI$3,0,0,'Données projet'!$E$16+1,1))-AVERAGE(OFFSET($H$3,0,0,'Données projet'!$E$16+1,1))</f>
        <v>547.89540791313675</v>
      </c>
      <c r="FK97" s="62">
        <f t="shared" si="102"/>
        <v>345.19555189302378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>
        <f>FZ97*VLOOKUP('Données projet'!$B$17,Paramètres!$A$1:$I$89,3,0)*VLOOKUP('Données projet'!$B$17,Paramètres!$A$1:$I$89,5,0)</f>
        <v>0</v>
      </c>
      <c r="GB97" s="14" t="e">
        <f t="shared" si="103"/>
        <v>#NUM!</v>
      </c>
      <c r="GC97" s="22" t="e">
        <f t="shared" si="79"/>
        <v>#NUM!</v>
      </c>
      <c r="GD97" s="62" t="e">
        <f t="shared" si="80"/>
        <v>#NUM!</v>
      </c>
      <c r="GE97" s="62">
        <f ca="1">AVERAGE(OFFSET($GD$3,0,0,'Données projet'!$E$17+1,1))-AVERAGE(OFFSET($H$3,0,0,'Données projet'!$E$17+1,1))</f>
        <v>409.68685886029164</v>
      </c>
      <c r="GF97" s="62">
        <f t="shared" si="104"/>
        <v>330.8416508650887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5.991284294286504E-9</v>
      </c>
      <c r="GO97" s="23">
        <f t="shared" si="81"/>
        <v>5.991284294286504E-9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73.098184695482075</v>
      </c>
      <c r="T98" s="62">
        <f t="shared" si="88"/>
        <v>334.38551711782793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15.114720869685176</v>
      </c>
      <c r="AA98" s="23">
        <f>EXP(-LN(2)/25)*AA97+(1-EXP(-LN(2)/25))/(LN(2)/25)*Calculateur!V98*Calculateur!X98*VLOOKUP('Données projet'!$B$9,Paramètres!$A$1:$I$89,3,0)*0.475*44/12</f>
        <v>2.2666769701014347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17.381397839786612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70.520400819593021</v>
      </c>
      <c r="AO98" s="62">
        <f t="shared" si="90"/>
        <v>321.48616153644309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14.419258252981869</v>
      </c>
      <c r="AV98" s="23">
        <f>EXP(-LN(2)/25)*AV97+(1-EXP(-LN(2)/25))/(LN(2)/25)*Calculateur!AQ98*Calculateur!AS98*VLOOKUP('Données projet'!$B$10,Paramètres!$A$1:$I$89,3,0)*0.475*44/12</f>
        <v>2.1623820174894037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16.581640270471272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538</v>
      </c>
      <c r="BB98" s="13">
        <f>VLOOKUP(A98,'Données projet'!$A$87:$I$107,9,0)</f>
        <v>13</v>
      </c>
      <c r="BC98" s="13">
        <f t="array" ref="BC98">INDEX(BB:BB,MIN(IF(ISNUMBER(BB98:BB294),ROW(BB98:BB294),"")))</f>
        <v>13</v>
      </c>
      <c r="BD98" s="13">
        <f>IF('Données projet'!$A$88&gt;35,BD97+BC98-BL97,IF(A98&lt;'Données projet'!$A$88,$BA$205^A98,IF(A98='Données projet'!$A$88,'Données projet'!$B$88,BD97+BC98-BL97)))</f>
        <v>538.00000000000045</v>
      </c>
      <c r="BE98" s="14">
        <f>BD98*VLOOKUP('Données projet'!$B$11,Paramètres!$A$1:$I$89,3,0)*VLOOKUP('Données projet'!$B$11,Paramètres!$A$1:$I$89,5,0)</f>
        <v>251.78400000000019</v>
      </c>
      <c r="BF98" s="14">
        <f t="shared" si="91"/>
        <v>60.967799364357568</v>
      </c>
      <c r="BG98" s="22">
        <f t="shared" si="61"/>
        <v>544.70938389292303</v>
      </c>
      <c r="BH98" s="62">
        <f t="shared" si="62"/>
        <v>811.61616835611392</v>
      </c>
      <c r="BI98" s="62">
        <f ca="1">AVERAGE(OFFSET($BH$3,0,0,'Données projet'!$E$11+1,1))-AVERAGE(OFFSET($H$3,0,0,'Données projet'!$E$11+1,1))</f>
        <v>374.62597460242665</v>
      </c>
      <c r="BJ98" s="62">
        <f t="shared" si="92"/>
        <v>277.50105097454616</v>
      </c>
      <c r="BK98" s="16">
        <f>IF(ISNA(VLOOKUP(A98,'Données projet'!$A$87:$I$107,3,0)),0,VLOOKUP(A98,'Données projet'!$A$87:$I$107,3,0))</f>
        <v>18</v>
      </c>
      <c r="BL98" s="16">
        <f>IF(ISNA(VLOOKUP(A98,'Données projet'!$A$87:$I$107,4,0)),0,VLOOKUP(A98,'Données projet'!$A$87:$I$107,4,0))</f>
        <v>269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5.833333333333333</v>
      </c>
      <c r="BY98" s="13">
        <f>IF('Données projet'!$A$114&gt;35,BY97+BX98-CG97,IF(A98&lt;'Données projet'!$A$114,$BV$205^A98,IF(A98='Données projet'!$A$114,'Données projet'!$B$114,BY97+BX98-CG97)))</f>
        <v>302.5</v>
      </c>
      <c r="BZ98" s="14">
        <f>BY98*VLOOKUP('Données projet'!$B$12,Paramètres!$A$1:$I$89,3,0)*VLOOKUP('Données projet'!$B$12,Paramètres!$A$1:$I$89,5,0)</f>
        <v>141.57</v>
      </c>
      <c r="CA98" s="14">
        <f t="shared" si="93"/>
        <v>36.656436679164102</v>
      </c>
      <c r="CB98" s="22">
        <f t="shared" si="64"/>
        <v>310.41104388287744</v>
      </c>
      <c r="CC98" s="62">
        <f t="shared" si="65"/>
        <v>577.31782834606838</v>
      </c>
      <c r="CD98" s="62">
        <f ca="1">AVERAGE(OFFSET($CC$3,0,0,'Données projet'!$E$12+1,1))-AVERAGE(OFFSET($H$3,0,0,'Données projet'!$E$12+1,1))</f>
        <v>329.79342219561465</v>
      </c>
      <c r="CE98" s="62">
        <f t="shared" si="94"/>
        <v>144.63206563329757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6.5</v>
      </c>
      <c r="CT98" s="13">
        <f>IF('Données projet'!$A$140&gt;35,CT97+CS98-DB97,IF(A98&lt;'Données projet'!$A$140,$CQ$205^A98,IF(A98='Données projet'!$A$140,'Données projet'!$B$140,CT97+CS98-DB97)))</f>
        <v>588.50000000000068</v>
      </c>
      <c r="CU98" s="18">
        <f>CT98*VLOOKUP('Données projet'!$B$13,Paramètres!$A$1:$I$89,3,0)*VLOOKUP('Données projet'!$B$13,Paramètres!$A$1:$I$89,5,0)</f>
        <v>351.92300000000046</v>
      </c>
      <c r="CV98" s="14">
        <f t="shared" si="95"/>
        <v>81.958350550606028</v>
      </c>
      <c r="CW98" s="22">
        <f t="shared" si="67"/>
        <v>755.67668554230625</v>
      </c>
      <c r="CX98" s="62">
        <f t="shared" si="68"/>
        <v>1022.5834700054971</v>
      </c>
      <c r="CY98" s="62">
        <f ca="1">AVERAGE(OFFSET($CX$3,0,0,'Données projet'!$E$13+1,1))-AVERAGE(OFFSET($H$3,0,0,'Données projet'!$E$13+1,1))</f>
        <v>530.27599556821826</v>
      </c>
      <c r="CZ98" s="62">
        <f t="shared" si="96"/>
        <v>370.62231794492129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2.4767460926985381E-9</v>
      </c>
      <c r="DI98" s="24">
        <f t="shared" si="69"/>
        <v>2.4767460926985381E-9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317.72520000000009</v>
      </c>
      <c r="DQ98" s="14">
        <f t="shared" si="97"/>
        <v>74.879840938146799</v>
      </c>
      <c r="DR98" s="22">
        <f t="shared" si="70"/>
        <v>683.78711296727249</v>
      </c>
      <c r="DS98" s="62">
        <f t="shared" si="71"/>
        <v>950.69389743046338</v>
      </c>
      <c r="DT98" s="62">
        <f ca="1">AVERAGE(OFFSET($DS$3,0,0,'Données projet'!$E$14+1,1))-AVERAGE(OFFSET($H$3,0,0,'Données projet'!$E$14+1,1))</f>
        <v>520.23742527061836</v>
      </c>
      <c r="DU98" s="62">
        <f t="shared" si="98"/>
        <v>321.35925479331274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-1.1882548278663309E-13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435.44444011810265</v>
      </c>
      <c r="EP98" s="62">
        <f t="shared" si="100"/>
        <v>447.15868732689762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332</v>
      </c>
      <c r="FC98" s="13">
        <f>VLOOKUP(A98,'Données projet'!$A$217:$I$237,9,0)</f>
        <v>6</v>
      </c>
      <c r="FD98" s="13">
        <f t="array" ref="FD98">INDEX(FC:FC,MIN(IF(ISNUMBER(FC98:FC294),ROW(FC98:FC294),"")))</f>
        <v>6</v>
      </c>
      <c r="FE98" s="13">
        <f>IF('Données projet'!$A$218&gt;35,FE97+FD98-FM97,IF(A98&lt;'Données projet'!$A$218,$FB$205^A98,IF(A98='Données projet'!$A$218,'Données projet'!$B$218,FE97+FD98-FM97)))</f>
        <v>331.99999999999994</v>
      </c>
      <c r="FF98" s="18">
        <f>FE98*VLOOKUP('Données projet'!$B$16,Paramètres!$A$1:$I$89,3,0)*VLOOKUP('Données projet'!$B$16,Paramètres!$A$1:$I$89,5,0)</f>
        <v>336.64799999999997</v>
      </c>
      <c r="FG98" s="14">
        <f t="shared" si="101"/>
        <v>78.807003163010378</v>
      </c>
      <c r="FH98" s="22">
        <f t="shared" si="76"/>
        <v>723.58413050890977</v>
      </c>
      <c r="FI98" s="62">
        <f t="shared" si="77"/>
        <v>990.49091497210065</v>
      </c>
      <c r="FJ98" s="62">
        <f ca="1">AVERAGE(OFFSET($FI$3,0,0,'Données projet'!$E$16+1,1))-AVERAGE(OFFSET($H$3,0,0,'Données projet'!$E$16+1,1))</f>
        <v>547.89540791313675</v>
      </c>
      <c r="FK98" s="62">
        <f t="shared" si="102"/>
        <v>345.19555189302378</v>
      </c>
      <c r="FL98" s="16">
        <f>IF(ISNA(VLOOKUP(A98,'Données projet'!$A$217:$I$237,3,0)),0,VLOOKUP(A98,'Données projet'!$A$217:$I$237,3,0))</f>
        <v>16</v>
      </c>
      <c r="FM98" s="16">
        <f>IF(ISNA(VLOOKUP(A98,'Données projet'!$A$217:$I$237,4,0)),0,VLOOKUP(A98,'Données projet'!$A$217:$I$237,4,0))</f>
        <v>28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>
        <f>FZ98*VLOOKUP('Données projet'!$B$17,Paramètres!$A$1:$I$89,3,0)*VLOOKUP('Données projet'!$B$17,Paramètres!$A$1:$I$89,5,0)</f>
        <v>0</v>
      </c>
      <c r="GB98" s="14" t="e">
        <f t="shared" si="103"/>
        <v>#NUM!</v>
      </c>
      <c r="GC98" s="22" t="e">
        <f t="shared" si="79"/>
        <v>#NUM!</v>
      </c>
      <c r="GD98" s="62" t="e">
        <f t="shared" si="80"/>
        <v>#NUM!</v>
      </c>
      <c r="GE98" s="62">
        <f ca="1">AVERAGE(OFFSET($GD$3,0,0,'Données projet'!$E$17+1,1))-AVERAGE(OFFSET($H$3,0,0,'Données projet'!$E$17+1,1))</f>
        <v>409.68685886029164</v>
      </c>
      <c r="GF98" s="62">
        <f t="shared" si="104"/>
        <v>330.8416508650887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4.2364777525064457E-9</v>
      </c>
      <c r="GO98" s="23">
        <f t="shared" si="81"/>
        <v>4.2364777525064457E-9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73.098184695482075</v>
      </c>
      <c r="T99" s="62">
        <f t="shared" si="88"/>
        <v>334.38551711782793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14.818330412500073</v>
      </c>
      <c r="AA99" s="23">
        <f>EXP(-LN(2)/25)*AA98+(1-EXP(-LN(2)/25))/(LN(2)/25)*Calculateur!V99*Calculateur!X99*VLOOKUP('Données projet'!$B$9,Paramètres!$A$1:$I$89,3,0)*0.475*44/12</f>
        <v>2.2046945691546496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17.023024981654721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70.520400819593021</v>
      </c>
      <c r="AO99" s="62">
        <f t="shared" si="90"/>
        <v>321.48616153644309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14.136505393520007</v>
      </c>
      <c r="AV99" s="23">
        <f>EXP(-LN(2)/25)*AV98+(1-EXP(-LN(2)/25))/(LN(2)/25)*Calculateur!AQ99*Calculateur!AS99*VLOOKUP('Données projet'!$B$10,Paramètres!$A$1:$I$89,3,0)*0.475*44/12</f>
        <v>2.1032515675064278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16.239756961026437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280</v>
      </c>
      <c r="BB99" s="13">
        <f>VLOOKUP(A99,'Données projet'!$A$87:$I$107,9,0)</f>
        <v>11</v>
      </c>
      <c r="BC99" s="13">
        <f t="array" ref="BC99">INDEX(BB:BB,MIN(IF(ISNUMBER(BB99:BB295),ROW(BB99:BB295),"")))</f>
        <v>11</v>
      </c>
      <c r="BD99" s="13">
        <f>IF('Données projet'!$A$88&gt;35,BD98+BC99-BL98,IF(A99&lt;'Données projet'!$A$88,$BA$205^A99,IF(A99='Données projet'!$A$88,'Données projet'!$B$88,BD98+BC99-BL98)))</f>
        <v>280.00000000000045</v>
      </c>
      <c r="BE99" s="14">
        <f>BD99*VLOOKUP('Données projet'!$B$11,Paramètres!$A$1:$I$89,3,0)*VLOOKUP('Données projet'!$B$11,Paramètres!$A$1:$I$89,5,0)</f>
        <v>131.04000000000019</v>
      </c>
      <c r="BF99" s="14">
        <f t="shared" si="91"/>
        <v>34.236561238949953</v>
      </c>
      <c r="BG99" s="22">
        <f t="shared" si="61"/>
        <v>287.85667749117147</v>
      </c>
      <c r="BH99" s="62">
        <f t="shared" si="62"/>
        <v>555.22190349634707</v>
      </c>
      <c r="BI99" s="62">
        <f ca="1">AVERAGE(OFFSET($BH$3,0,0,'Données projet'!$E$11+1,1))-AVERAGE(OFFSET($H$3,0,0,'Données projet'!$E$11+1,1))</f>
        <v>374.62597460242665</v>
      </c>
      <c r="BJ99" s="62">
        <f t="shared" si="92"/>
        <v>277.50105097454616</v>
      </c>
      <c r="BK99" s="16">
        <f>IF(ISNA(VLOOKUP(A99,'Données projet'!$A$87:$I$107,3,0)),0,VLOOKUP(A99,'Données projet'!$A$87:$I$107,3,0))</f>
        <v>19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5.833333333333333</v>
      </c>
      <c r="BY99" s="13">
        <f>IF('Données projet'!$A$114&gt;35,BY98+BX99-CG98,IF(A99&lt;'Données projet'!$A$114,$BV$205^A99,IF(A99='Données projet'!$A$114,'Données projet'!$B$114,BY98+BX99-CG98)))</f>
        <v>308.33333333333331</v>
      </c>
      <c r="BZ99" s="14">
        <f>BY99*VLOOKUP('Données projet'!$B$12,Paramètres!$A$1:$I$89,3,0)*VLOOKUP('Données projet'!$B$12,Paramètres!$A$1:$I$89,5,0)</f>
        <v>144.29999999999998</v>
      </c>
      <c r="CA99" s="14">
        <f t="shared" si="93"/>
        <v>37.280334035726824</v>
      </c>
      <c r="CB99" s="22">
        <f t="shared" si="64"/>
        <v>316.25241511222424</v>
      </c>
      <c r="CC99" s="62">
        <f t="shared" si="65"/>
        <v>583.61764111739978</v>
      </c>
      <c r="CD99" s="62">
        <f ca="1">AVERAGE(OFFSET($CC$3,0,0,'Données projet'!$E$12+1,1))-AVERAGE(OFFSET($H$3,0,0,'Données projet'!$E$12+1,1))</f>
        <v>329.79342219561465</v>
      </c>
      <c r="CE99" s="62">
        <f t="shared" si="94"/>
        <v>144.63206563329757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6.5</v>
      </c>
      <c r="CT99" s="13">
        <f>IF('Données projet'!$A$140&gt;35,CT98+CS99-DB98,IF(A99&lt;'Données projet'!$A$140,$CQ$205^A99,IF(A99='Données projet'!$A$140,'Données projet'!$B$140,CT98+CS99-DB98)))</f>
        <v>595.00000000000068</v>
      </c>
      <c r="CU99" s="18">
        <f>CT99*VLOOKUP('Données projet'!$B$13,Paramètres!$A$1:$I$89,3,0)*VLOOKUP('Données projet'!$B$13,Paramètres!$A$1:$I$89,5,0)</f>
        <v>355.81000000000046</v>
      </c>
      <c r="CV99" s="14">
        <f t="shared" si="95"/>
        <v>82.757701848360327</v>
      </c>
      <c r="CW99" s="22">
        <f t="shared" si="67"/>
        <v>763.83874738589509</v>
      </c>
      <c r="CX99" s="62">
        <f t="shared" si="68"/>
        <v>1031.2039733910706</v>
      </c>
      <c r="CY99" s="62">
        <f ca="1">AVERAGE(OFFSET($CX$3,0,0,'Données projet'!$E$13+1,1))-AVERAGE(OFFSET($H$3,0,0,'Données projet'!$E$13+1,1))</f>
        <v>530.27599556821826</v>
      </c>
      <c r="CZ99" s="62">
        <f t="shared" si="96"/>
        <v>370.62231794492129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1.7513239574244218E-9</v>
      </c>
      <c r="DI99" s="24">
        <f t="shared" si="69"/>
        <v>1.7513239574244218E-9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299.2766400000001</v>
      </c>
      <c r="DQ99" s="14">
        <f t="shared" si="97"/>
        <v>71.024798135517841</v>
      </c>
      <c r="DR99" s="22">
        <f t="shared" si="70"/>
        <v>644.94167141936043</v>
      </c>
      <c r="DS99" s="62">
        <f t="shared" si="71"/>
        <v>912.30689742453592</v>
      </c>
      <c r="DT99" s="62">
        <f ca="1">AVERAGE(OFFSET($DS$3,0,0,'Données projet'!$E$14+1,1))-AVERAGE(OFFSET($H$3,0,0,'Données projet'!$E$14+1,1))</f>
        <v>520.23742527061836</v>
      </c>
      <c r="DU99" s="62">
        <f t="shared" si="98"/>
        <v>321.35925479331274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-1.1882548278663309E-13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435.44444011810265</v>
      </c>
      <c r="EP99" s="62">
        <f t="shared" si="100"/>
        <v>447.15868732689762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5.8</v>
      </c>
      <c r="FE99" s="13">
        <f>IF('Données projet'!$A$218&gt;35,FE98+FD99-FM98,IF(A99&lt;'Données projet'!$A$218,$FB$205^A99,IF(A99='Données projet'!$A$218,'Données projet'!$B$218,FE98+FD99-FM98)))</f>
        <v>309.79999999999995</v>
      </c>
      <c r="FF99" s="18">
        <f>FE99*VLOOKUP('Données projet'!$B$16,Paramètres!$A$1:$I$89,3,0)*VLOOKUP('Données projet'!$B$16,Paramètres!$A$1:$I$89,5,0)</f>
        <v>314.13719999999995</v>
      </c>
      <c r="FG99" s="14">
        <f t="shared" si="101"/>
        <v>74.132174405952824</v>
      </c>
      <c r="FH99" s="22">
        <f t="shared" si="76"/>
        <v>676.23582709036771</v>
      </c>
      <c r="FI99" s="62">
        <f t="shared" si="77"/>
        <v>943.60105309554319</v>
      </c>
      <c r="FJ99" s="62">
        <f ca="1">AVERAGE(OFFSET($FI$3,0,0,'Données projet'!$E$16+1,1))-AVERAGE(OFFSET($H$3,0,0,'Données projet'!$E$16+1,1))</f>
        <v>547.89540791313675</v>
      </c>
      <c r="FK99" s="62">
        <f t="shared" si="102"/>
        <v>345.19555189302378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>
        <f>FZ99*VLOOKUP('Données projet'!$B$17,Paramètres!$A$1:$I$89,3,0)*VLOOKUP('Données projet'!$B$17,Paramètres!$A$1:$I$89,5,0)</f>
        <v>0</v>
      </c>
      <c r="GB99" s="14" t="e">
        <f t="shared" si="103"/>
        <v>#NUM!</v>
      </c>
      <c r="GC99" s="22" t="e">
        <f t="shared" si="79"/>
        <v>#NUM!</v>
      </c>
      <c r="GD99" s="62" t="e">
        <f t="shared" si="80"/>
        <v>#NUM!</v>
      </c>
      <c r="GE99" s="62">
        <f ca="1">AVERAGE(OFFSET($GD$3,0,0,'Données projet'!$E$17+1,1))-AVERAGE(OFFSET($H$3,0,0,'Données projet'!$E$17+1,1))</f>
        <v>409.68685886029164</v>
      </c>
      <c r="GF99" s="62">
        <f t="shared" si="104"/>
        <v>330.8416508650887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2.995642147143252E-9</v>
      </c>
      <c r="GO99" s="23">
        <f t="shared" si="81"/>
        <v>2.995642147143252E-9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73.098184695482075</v>
      </c>
      <c r="T100" s="62">
        <f t="shared" si="88"/>
        <v>334.38551711782793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14.527751991400041</v>
      </c>
      <c r="AA100" s="23">
        <f>EXP(-LN(2)/25)*AA99+(1-EXP(-LN(2)/25))/(LN(2)/25)*Calculateur!V100*Calculateur!X100*VLOOKUP('Données projet'!$B$9,Paramètres!$A$1:$I$89,3,0)*0.475*44/12</f>
        <v>2.1444070802212671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16.672159071621309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70.520400819593021</v>
      </c>
      <c r="AO100" s="62">
        <f t="shared" si="90"/>
        <v>321.48616153644309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13.859297145169977</v>
      </c>
      <c r="AV100" s="23">
        <f>EXP(-LN(2)/25)*AV99+(1-EXP(-LN(2)/25))/(LN(2)/25)*Calculateur!AQ100*Calculateur!AS100*VLOOKUP('Données projet'!$B$10,Paramètres!$A$1:$I$89,3,0)*0.475*44/12</f>
        <v>2.0457380427877716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15.905035187957749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8.5555555555555554</v>
      </c>
      <c r="BD100" s="13">
        <f>IF('Données projet'!$A$88&gt;35,BD99+BC100-BL99,IF(A100&lt;'Données projet'!$A$88,$BA$205^A100,IF(A100='Données projet'!$A$88,'Données projet'!$B$88,BD99+BC100-BL99)))</f>
        <v>288.555555555556</v>
      </c>
      <c r="BE100" s="14">
        <f>BD100*VLOOKUP('Données projet'!$B$11,Paramètres!$A$1:$I$89,3,0)*VLOOKUP('Données projet'!$B$11,Paramètres!$A$1:$I$89,5,0)</f>
        <v>135.04400000000021</v>
      </c>
      <c r="BF100" s="14">
        <f t="shared" si="91"/>
        <v>35.159284945629004</v>
      </c>
      <c r="BG100" s="22">
        <f t="shared" si="61"/>
        <v>296.43738794697089</v>
      </c>
      <c r="BH100" s="62">
        <f t="shared" si="62"/>
        <v>564.25310255829936</v>
      </c>
      <c r="BI100" s="62">
        <f ca="1">AVERAGE(OFFSET($BH$3,0,0,'Données projet'!$E$11+1,1))-AVERAGE(OFFSET($H$3,0,0,'Données projet'!$E$11+1,1))</f>
        <v>374.62597460242665</v>
      </c>
      <c r="BJ100" s="62">
        <f t="shared" si="92"/>
        <v>277.50105097454616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5.833333333333333</v>
      </c>
      <c r="BY100" s="13">
        <f>IF('Données projet'!$A$114&gt;35,BY99+BX100-CG99,IF(A100&lt;'Données projet'!$A$114,$BV$205^A100,IF(A100='Données projet'!$A$114,'Données projet'!$B$114,BY99+BX100-CG99)))</f>
        <v>314.16666666666663</v>
      </c>
      <c r="BZ100" s="14">
        <f>BY100*VLOOKUP('Données projet'!$B$12,Paramètres!$A$1:$I$89,3,0)*VLOOKUP('Données projet'!$B$12,Paramètres!$A$1:$I$89,5,0)</f>
        <v>147.02999999999997</v>
      </c>
      <c r="CA100" s="14">
        <f t="shared" si="93"/>
        <v>37.902858894276115</v>
      </c>
      <c r="CB100" s="22">
        <f t="shared" si="64"/>
        <v>322.09139590753085</v>
      </c>
      <c r="CC100" s="62">
        <f t="shared" si="65"/>
        <v>589.90711051885933</v>
      </c>
      <c r="CD100" s="62">
        <f ca="1">AVERAGE(OFFSET($CC$3,0,0,'Données projet'!$E$12+1,1))-AVERAGE(OFFSET($H$3,0,0,'Données projet'!$E$12+1,1))</f>
        <v>329.79342219561465</v>
      </c>
      <c r="CE100" s="62">
        <f t="shared" si="94"/>
        <v>144.63206563329757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6.5</v>
      </c>
      <c r="CT100" s="13">
        <f>IF('Données projet'!$A$140&gt;35,CT99+CS100-DB99,IF(A100&lt;'Données projet'!$A$140,$CQ$205^A100,IF(A100='Données projet'!$A$140,'Données projet'!$B$140,CT99+CS100-DB99)))</f>
        <v>601.50000000000068</v>
      </c>
      <c r="CU100" s="18">
        <f>CT100*VLOOKUP('Données projet'!$B$13,Paramètres!$A$1:$I$89,3,0)*VLOOKUP('Données projet'!$B$13,Paramètres!$A$1:$I$89,5,0)</f>
        <v>359.69700000000046</v>
      </c>
      <c r="CV100" s="14">
        <f t="shared" si="95"/>
        <v>83.5560373183081</v>
      </c>
      <c r="CW100" s="22">
        <f t="shared" si="67"/>
        <v>771.99903999605397</v>
      </c>
      <c r="CX100" s="62">
        <f t="shared" si="68"/>
        <v>1039.8147546073824</v>
      </c>
      <c r="CY100" s="62">
        <f ca="1">AVERAGE(OFFSET($CX$3,0,0,'Données projet'!$E$13+1,1))-AVERAGE(OFFSET($H$3,0,0,'Données projet'!$E$13+1,1))</f>
        <v>530.27599556821826</v>
      </c>
      <c r="CZ100" s="62">
        <f t="shared" si="96"/>
        <v>370.62231794492129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1.2383730463492691E-9</v>
      </c>
      <c r="DI100" s="24">
        <f t="shared" si="69"/>
        <v>1.2383730463492691E-9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304.74288000000007</v>
      </c>
      <c r="DQ100" s="14">
        <f t="shared" si="97"/>
        <v>72.169843772858741</v>
      </c>
      <c r="DR100" s="22">
        <f t="shared" si="70"/>
        <v>656.45632723772906</v>
      </c>
      <c r="DS100" s="62">
        <f t="shared" si="71"/>
        <v>924.27204184905759</v>
      </c>
      <c r="DT100" s="62">
        <f ca="1">AVERAGE(OFFSET($DS$3,0,0,'Données projet'!$E$14+1,1))-AVERAGE(OFFSET($H$3,0,0,'Données projet'!$E$14+1,1))</f>
        <v>520.23742527061836</v>
      </c>
      <c r="DU100" s="62">
        <f t="shared" si="98"/>
        <v>321.35925479331274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-1.1882548278663309E-13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435.44444011810265</v>
      </c>
      <c r="EP100" s="62">
        <f t="shared" si="100"/>
        <v>447.15868732689762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5.8</v>
      </c>
      <c r="FE100" s="13">
        <f>IF('Données projet'!$A$218&gt;35,FE99+FD100-FM99,IF(A100&lt;'Données projet'!$A$218,$FB$205^A100,IF(A100='Données projet'!$A$218,'Données projet'!$B$218,FE99+FD100-FM99)))</f>
        <v>315.59999999999997</v>
      </c>
      <c r="FF100" s="18">
        <f>FE100*VLOOKUP('Données projet'!$B$16,Paramètres!$A$1:$I$89,3,0)*VLOOKUP('Données projet'!$B$16,Paramètres!$A$1:$I$89,5,0)</f>
        <v>320.01839999999999</v>
      </c>
      <c r="FG100" s="14">
        <f t="shared" si="101"/>
        <v>75.357182127856944</v>
      </c>
      <c r="FH100" s="22">
        <f t="shared" si="76"/>
        <v>688.61247220601751</v>
      </c>
      <c r="FI100" s="62">
        <f t="shared" si="77"/>
        <v>956.42818681734605</v>
      </c>
      <c r="FJ100" s="62">
        <f ca="1">AVERAGE(OFFSET($FI$3,0,0,'Données projet'!$E$16+1,1))-AVERAGE(OFFSET($H$3,0,0,'Données projet'!$E$16+1,1))</f>
        <v>547.89540791313675</v>
      </c>
      <c r="FK100" s="62">
        <f t="shared" si="102"/>
        <v>345.19555189302378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>
        <f>FZ100*VLOOKUP('Données projet'!$B$17,Paramètres!$A$1:$I$89,3,0)*VLOOKUP('Données projet'!$B$17,Paramètres!$A$1:$I$89,5,0)</f>
        <v>0</v>
      </c>
      <c r="GB100" s="14" t="e">
        <f t="shared" si="103"/>
        <v>#NUM!</v>
      </c>
      <c r="GC100" s="22" t="e">
        <f t="shared" si="79"/>
        <v>#NUM!</v>
      </c>
      <c r="GD100" s="62" t="e">
        <f t="shared" si="80"/>
        <v>#NUM!</v>
      </c>
      <c r="GE100" s="62">
        <f ca="1">AVERAGE(OFFSET($GD$3,0,0,'Données projet'!$E$17+1,1))-AVERAGE(OFFSET($H$3,0,0,'Données projet'!$E$17+1,1))</f>
        <v>409.68685886029164</v>
      </c>
      <c r="GF100" s="62">
        <f t="shared" si="104"/>
        <v>330.8416508650887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2.1182388762532229E-9</v>
      </c>
      <c r="GO100" s="23">
        <f t="shared" si="81"/>
        <v>2.1182388762532229E-9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73.098184695482075</v>
      </c>
      <c r="T101" s="62">
        <f t="shared" si="88"/>
        <v>334.38551711782793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14.242871635902445</v>
      </c>
      <c r="AA101" s="23">
        <f>EXP(-LN(2)/25)*AA100+(1-EXP(-LN(2)/25))/(LN(2)/25)*Calculateur!V101*Calculateur!X101*VLOOKUP('Données projet'!$B$9,Paramètres!$A$1:$I$89,3,0)*0.475*44/12</f>
        <v>2.0857681558431493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16.328639791745594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70.520400819593021</v>
      </c>
      <c r="AO101" s="62">
        <f t="shared" si="90"/>
        <v>321.48616153644309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13.587524781489755</v>
      </c>
      <c r="AV101" s="23">
        <f>EXP(-LN(2)/25)*AV100+(1-EXP(-LN(2)/25))/(LN(2)/25)*Calculateur!AQ101*Calculateur!AS101*VLOOKUP('Données projet'!$B$10,Paramètres!$A$1:$I$89,3,0)*0.475*44/12</f>
        <v>1.989797228427052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15.577322009916807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8.5555555555555554</v>
      </c>
      <c r="BD101" s="13">
        <f>IF('Données projet'!$A$88&gt;35,BD100+BC101-BL100,IF(A101&lt;'Données projet'!$A$88,$BA$205^A101,IF(A101='Données projet'!$A$88,'Données projet'!$B$88,BD100+BC101-BL100)))</f>
        <v>297.11111111111154</v>
      </c>
      <c r="BE101" s="14">
        <f>BD101*VLOOKUP('Données projet'!$B$11,Paramètres!$A$1:$I$89,3,0)*VLOOKUP('Données projet'!$B$11,Paramètres!$A$1:$I$89,5,0)</f>
        <v>139.0480000000002</v>
      </c>
      <c r="BF101" s="14">
        <f t="shared" si="91"/>
        <v>36.078829132999324</v>
      </c>
      <c r="BG101" s="22">
        <f t="shared" si="61"/>
        <v>305.01256073997416</v>
      </c>
      <c r="BH101" s="62">
        <f t="shared" si="62"/>
        <v>573.27094898728046</v>
      </c>
      <c r="BI101" s="62">
        <f ca="1">AVERAGE(OFFSET($BH$3,0,0,'Données projet'!$E$11+1,1))-AVERAGE(OFFSET($H$3,0,0,'Données projet'!$E$11+1,1))</f>
        <v>374.62597460242665</v>
      </c>
      <c r="BJ101" s="62">
        <f t="shared" si="92"/>
        <v>277.50105097454616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>
        <f>VLOOKUP(A101,'Données projet'!$A$113:$I$133,2,0)</f>
        <v>320</v>
      </c>
      <c r="BW101" s="13">
        <f>VLOOKUP(A101,'Données projet'!$A$113:$I$133,9,0)</f>
        <v>5.833333333333333</v>
      </c>
      <c r="BX101" s="13">
        <f t="array" ref="BX101">INDEX(BW:BW,MIN(IF(ISNUMBER(BW101:BW297),ROW(BW101:BW297),"")))</f>
        <v>5.833333333333333</v>
      </c>
      <c r="BY101" s="13">
        <f>IF('Données projet'!$A$114&gt;35,BY100+BX101-CG100,IF(A101&lt;'Données projet'!$A$114,$BV$205^A101,IF(A101='Données projet'!$A$114,'Données projet'!$B$114,BY100+BX101-CG100)))</f>
        <v>319.99999999999994</v>
      </c>
      <c r="BZ101" s="14">
        <f>BY101*VLOOKUP('Données projet'!$B$12,Paramètres!$A$1:$I$89,3,0)*VLOOKUP('Données projet'!$B$12,Paramètres!$A$1:$I$89,5,0)</f>
        <v>149.75999999999996</v>
      </c>
      <c r="CA101" s="14">
        <f t="shared" si="93"/>
        <v>38.524039677774766</v>
      </c>
      <c r="CB101" s="22">
        <f t="shared" si="64"/>
        <v>327.9280357721243</v>
      </c>
      <c r="CC101" s="62">
        <f t="shared" si="65"/>
        <v>596.18642401943066</v>
      </c>
      <c r="CD101" s="62">
        <f ca="1">AVERAGE(OFFSET($CC$3,0,0,'Données projet'!$E$12+1,1))-AVERAGE(OFFSET($H$3,0,0,'Données projet'!$E$12+1,1))</f>
        <v>329.79342219561465</v>
      </c>
      <c r="CE101" s="62">
        <f t="shared" si="94"/>
        <v>144.63206563329757</v>
      </c>
      <c r="CF101" s="16">
        <f>IF(ISNA(VLOOKUP(A101,'Données projet'!$A$113:$I$133,3,0)),0,VLOOKUP(A101,'Données projet'!$A$113:$I$133,3,0))</f>
        <v>9</v>
      </c>
      <c r="CG101" s="16">
        <f>IF(ISNA(VLOOKUP(A101,'Données projet'!$A$113:$I$133,4,0)),0,VLOOKUP(A101,'Données projet'!$A$113:$I$133,4,0))</f>
        <v>64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6.5</v>
      </c>
      <c r="CT101" s="13">
        <f>IF('Données projet'!$A$140&gt;35,CT100+CS101-DB100,IF(A101&lt;'Données projet'!$A$140,$CQ$205^A101,IF(A101='Données projet'!$A$140,'Données projet'!$B$140,CT100+CS101-DB100)))</f>
        <v>608.00000000000068</v>
      </c>
      <c r="CU101" s="18">
        <f>CT101*VLOOKUP('Données projet'!$B$13,Paramètres!$A$1:$I$89,3,0)*VLOOKUP('Données projet'!$B$13,Paramètres!$A$1:$I$89,5,0)</f>
        <v>363.58400000000046</v>
      </c>
      <c r="CV101" s="14">
        <f t="shared" si="95"/>
        <v>84.353369208346365</v>
      </c>
      <c r="CW101" s="22">
        <f t="shared" si="67"/>
        <v>780.15758470453738</v>
      </c>
      <c r="CX101" s="62">
        <f t="shared" si="68"/>
        <v>1048.4159729518437</v>
      </c>
      <c r="CY101" s="62">
        <f ca="1">AVERAGE(OFFSET($CX$3,0,0,'Données projet'!$E$13+1,1))-AVERAGE(OFFSET($H$3,0,0,'Données projet'!$E$13+1,1))</f>
        <v>530.27599556821826</v>
      </c>
      <c r="CZ101" s="62">
        <f t="shared" si="96"/>
        <v>370.62231794492129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8.7566197871221088E-10</v>
      </c>
      <c r="DI101" s="24">
        <f t="shared" si="69"/>
        <v>8.7566197871221088E-10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310.2091200000001</v>
      </c>
      <c r="DQ101" s="14">
        <f t="shared" si="97"/>
        <v>73.312501036804889</v>
      </c>
      <c r="DR101" s="22">
        <f t="shared" si="70"/>
        <v>667.96682330576868</v>
      </c>
      <c r="DS101" s="62">
        <f t="shared" si="71"/>
        <v>936.22521155307504</v>
      </c>
      <c r="DT101" s="62">
        <f ca="1">AVERAGE(OFFSET($DS$3,0,0,'Données projet'!$E$14+1,1))-AVERAGE(OFFSET($H$3,0,0,'Données projet'!$E$14+1,1))</f>
        <v>520.23742527061836</v>
      </c>
      <c r="DU101" s="62">
        <f t="shared" si="98"/>
        <v>321.35925479331274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-1.1882548278663309E-13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435.44444011810265</v>
      </c>
      <c r="EP101" s="62">
        <f t="shared" si="100"/>
        <v>447.15868732689762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5.8</v>
      </c>
      <c r="FE101" s="13">
        <f>IF('Données projet'!$A$218&gt;35,FE100+FD101-FM100,IF(A101&lt;'Données projet'!$A$218,$FB$205^A101,IF(A101='Données projet'!$A$218,'Données projet'!$B$218,FE100+FD101-FM100)))</f>
        <v>321.39999999999998</v>
      </c>
      <c r="FF101" s="18">
        <f>FE101*VLOOKUP('Données projet'!$B$16,Paramètres!$A$1:$I$89,3,0)*VLOOKUP('Données projet'!$B$16,Paramètres!$A$1:$I$89,5,0)</f>
        <v>325.89960000000002</v>
      </c>
      <c r="FG101" s="14">
        <f t="shared" si="101"/>
        <v>76.579572003009503</v>
      </c>
      <c r="FH101" s="22">
        <f t="shared" si="76"/>
        <v>700.98455790524156</v>
      </c>
      <c r="FI101" s="62">
        <f t="shared" si="77"/>
        <v>969.24294615254792</v>
      </c>
      <c r="FJ101" s="62">
        <f ca="1">AVERAGE(OFFSET($FI$3,0,0,'Données projet'!$E$16+1,1))-AVERAGE(OFFSET($H$3,0,0,'Données projet'!$E$16+1,1))</f>
        <v>547.89540791313675</v>
      </c>
      <c r="FK101" s="62">
        <f t="shared" si="102"/>
        <v>345.19555189302378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>
        <f>FZ101*VLOOKUP('Données projet'!$B$17,Paramètres!$A$1:$I$89,3,0)*VLOOKUP('Données projet'!$B$17,Paramètres!$A$1:$I$89,5,0)</f>
        <v>0</v>
      </c>
      <c r="GB101" s="14" t="e">
        <f t="shared" si="103"/>
        <v>#NUM!</v>
      </c>
      <c r="GC101" s="22" t="e">
        <f t="shared" si="79"/>
        <v>#NUM!</v>
      </c>
      <c r="GD101" s="62" t="e">
        <f t="shared" si="80"/>
        <v>#NUM!</v>
      </c>
      <c r="GE101" s="62">
        <f ca="1">AVERAGE(OFFSET($GD$3,0,0,'Données projet'!$E$17+1,1))-AVERAGE(OFFSET($H$3,0,0,'Données projet'!$E$17+1,1))</f>
        <v>409.68685886029164</v>
      </c>
      <c r="GF101" s="62">
        <f t="shared" si="104"/>
        <v>330.8416508650887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1.497821073571626E-9</v>
      </c>
      <c r="GO101" s="23">
        <f t="shared" si="81"/>
        <v>1.497821073571626E-9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73.098184695482075</v>
      </c>
      <c r="T102" s="62">
        <f t="shared" si="88"/>
        <v>334.38551711782793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13.963577610416296</v>
      </c>
      <c r="AA102" s="23">
        <f>EXP(-LN(2)/25)*AA101+(1-EXP(-LN(2)/25))/(LN(2)/25)*Calculateur!V102*Calculateur!X102*VLOOKUP('Données projet'!$B$9,Paramètres!$A$1:$I$89,3,0)*0.475*44/12</f>
        <v>2.0287327159358384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15.992310326352134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70.520400819593021</v>
      </c>
      <c r="AO102" s="62">
        <f t="shared" si="90"/>
        <v>321.48616153644309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13.321081708096528</v>
      </c>
      <c r="AV102" s="23">
        <f>EXP(-LN(2)/25)*AV101+(1-EXP(-LN(2)/25))/(LN(2)/25)*Calculateur!AQ102*Calculateur!AS102*VLOOKUP('Données projet'!$B$10,Paramètres!$A$1:$I$89,3,0)*0.475*44/12</f>
        <v>1.9353861185768257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15.256467826673354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8.5555555555555554</v>
      </c>
      <c r="BD102" s="13">
        <f>IF('Données projet'!$A$88&gt;35,BD101+BC102-BL101,IF(A102&lt;'Données projet'!$A$88,$BA$205^A102,IF(A102='Données projet'!$A$88,'Données projet'!$B$88,BD101+BC102-BL101)))</f>
        <v>305.66666666666708</v>
      </c>
      <c r="BE102" s="14">
        <f>BD102*VLOOKUP('Données projet'!$B$11,Paramètres!$A$1:$I$89,3,0)*VLOOKUP('Données projet'!$B$11,Paramètres!$A$1:$I$89,5,0)</f>
        <v>143.05200000000019</v>
      </c>
      <c r="BF102" s="14">
        <f t="shared" si="91"/>
        <v>36.995295872593921</v>
      </c>
      <c r="BG102" s="22">
        <f t="shared" si="61"/>
        <v>313.58237364476804</v>
      </c>
      <c r="BH102" s="62">
        <f t="shared" si="62"/>
        <v>582.27575613013801</v>
      </c>
      <c r="BI102" s="62">
        <f ca="1">AVERAGE(OFFSET($BH$3,0,0,'Données projet'!$E$11+1,1))-AVERAGE(OFFSET($H$3,0,0,'Données projet'!$E$11+1,1))</f>
        <v>374.62597460242665</v>
      </c>
      <c r="BJ102" s="62">
        <f t="shared" si="92"/>
        <v>277.50105097454616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5.25</v>
      </c>
      <c r="BY102" s="13">
        <f>IF('Données projet'!$A$114&gt;35,BY101+BX102-CG101,IF(A102&lt;'Données projet'!$A$114,$BV$205^A102,IF(A102='Données projet'!$A$114,'Données projet'!$B$114,BY101+BX102-CG101)))</f>
        <v>261.24999999999994</v>
      </c>
      <c r="BZ102" s="14">
        <f>BY102*VLOOKUP('Données projet'!$B$12,Paramètres!$A$1:$I$89,3,0)*VLOOKUP('Données projet'!$B$12,Paramètres!$A$1:$I$89,5,0)</f>
        <v>122.26499999999999</v>
      </c>
      <c r="CA102" s="14">
        <f t="shared" si="93"/>
        <v>32.202697062302768</v>
      </c>
      <c r="CB102" s="22">
        <f t="shared" si="64"/>
        <v>269.03123905017731</v>
      </c>
      <c r="CC102" s="62">
        <f t="shared" si="65"/>
        <v>537.72462153554727</v>
      </c>
      <c r="CD102" s="62">
        <f ca="1">AVERAGE(OFFSET($CC$3,0,0,'Données projet'!$E$12+1,1))-AVERAGE(OFFSET($H$3,0,0,'Données projet'!$E$12+1,1))</f>
        <v>329.79342219561465</v>
      </c>
      <c r="CE102" s="62">
        <f t="shared" si="94"/>
        <v>144.63206563329757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6.5</v>
      </c>
      <c r="CT102" s="13">
        <f>IF('Données projet'!$A$140&gt;35,CT101+CS102-DB101,IF(A102&lt;'Données projet'!$A$140,$CQ$205^A102,IF(A102='Données projet'!$A$140,'Données projet'!$B$140,CT101+CS102-DB101)))</f>
        <v>614.50000000000068</v>
      </c>
      <c r="CU102" s="18">
        <f>CT102*VLOOKUP('Données projet'!$B$13,Paramètres!$A$1:$I$89,3,0)*VLOOKUP('Données projet'!$B$13,Paramètres!$A$1:$I$89,5,0)</f>
        <v>367.4710000000004</v>
      </c>
      <c r="CV102" s="14">
        <f t="shared" si="95"/>
        <v>85.149709489407996</v>
      </c>
      <c r="CW102" s="22">
        <f t="shared" si="67"/>
        <v>788.31440236071967</v>
      </c>
      <c r="CX102" s="62">
        <f t="shared" si="68"/>
        <v>1057.0077848460896</v>
      </c>
      <c r="CY102" s="62">
        <f ca="1">AVERAGE(OFFSET($CX$3,0,0,'Données projet'!$E$13+1,1))-AVERAGE(OFFSET($H$3,0,0,'Données projet'!$E$13+1,1))</f>
        <v>530.27599556821826</v>
      </c>
      <c r="CZ102" s="62">
        <f t="shared" si="96"/>
        <v>370.62231794492129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6.1918652317463453E-10</v>
      </c>
      <c r="DI102" s="24">
        <f t="shared" si="69"/>
        <v>6.1918652317463453E-10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315.67536000000013</v>
      </c>
      <c r="DQ102" s="14">
        <f t="shared" si="97"/>
        <v>74.452816868772132</v>
      </c>
      <c r="DR102" s="22">
        <f t="shared" si="70"/>
        <v>679.4732413797783</v>
      </c>
      <c r="DS102" s="62">
        <f t="shared" si="71"/>
        <v>948.16662386514827</v>
      </c>
      <c r="DT102" s="62">
        <f ca="1">AVERAGE(OFFSET($DS$3,0,0,'Données projet'!$E$14+1,1))-AVERAGE(OFFSET($H$3,0,0,'Données projet'!$E$14+1,1))</f>
        <v>520.23742527061836</v>
      </c>
      <c r="DU102" s="62">
        <f t="shared" si="98"/>
        <v>321.35925479331274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-1.1882548278663309E-13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435.44444011810265</v>
      </c>
      <c r="EP102" s="62">
        <f t="shared" si="100"/>
        <v>447.15868732689762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5.8</v>
      </c>
      <c r="FE102" s="13">
        <f>IF('Données projet'!$A$218&gt;35,FE101+FD102-FM101,IF(A102&lt;'Données projet'!$A$218,$FB$205^A102,IF(A102='Données projet'!$A$218,'Données projet'!$B$218,FE101+FD102-FM101)))</f>
        <v>327.2</v>
      </c>
      <c r="FF102" s="18">
        <f>FE102*VLOOKUP('Données projet'!$B$16,Paramètres!$A$1:$I$89,3,0)*VLOOKUP('Données projet'!$B$16,Paramètres!$A$1:$I$89,5,0)</f>
        <v>331.7808</v>
      </c>
      <c r="FG102" s="14">
        <f t="shared" si="101"/>
        <v>77.799396722557162</v>
      </c>
      <c r="FH102" s="22">
        <f t="shared" si="76"/>
        <v>713.3521759584537</v>
      </c>
      <c r="FI102" s="62">
        <f t="shared" si="77"/>
        <v>982.04555844382367</v>
      </c>
      <c r="FJ102" s="62">
        <f ca="1">AVERAGE(OFFSET($FI$3,0,0,'Données projet'!$E$16+1,1))-AVERAGE(OFFSET($H$3,0,0,'Données projet'!$E$16+1,1))</f>
        <v>547.89540791313675</v>
      </c>
      <c r="FK102" s="62">
        <f t="shared" si="102"/>
        <v>345.19555189302378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>
        <f>FZ102*VLOOKUP('Données projet'!$B$17,Paramètres!$A$1:$I$89,3,0)*VLOOKUP('Données projet'!$B$17,Paramètres!$A$1:$I$89,5,0)</f>
        <v>0</v>
      </c>
      <c r="GB102" s="14" t="e">
        <f t="shared" si="103"/>
        <v>#NUM!</v>
      </c>
      <c r="GC102" s="22" t="e">
        <f t="shared" si="79"/>
        <v>#NUM!</v>
      </c>
      <c r="GD102" s="62" t="e">
        <f t="shared" si="80"/>
        <v>#NUM!</v>
      </c>
      <c r="GE102" s="62">
        <f ca="1">AVERAGE(OFFSET($GD$3,0,0,'Données projet'!$E$17+1,1))-AVERAGE(OFFSET($H$3,0,0,'Données projet'!$E$17+1,1))</f>
        <v>409.68685886029164</v>
      </c>
      <c r="GF102" s="62">
        <f t="shared" si="104"/>
        <v>330.8416508650887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1.0591194381266114E-9</v>
      </c>
      <c r="GO102" s="23">
        <f t="shared" si="81"/>
        <v>1.0591194381266114E-9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73.098184695482075</v>
      </c>
      <c r="T103" s="62">
        <f t="shared" si="88"/>
        <v>334.38551711782793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13.689760370417396</v>
      </c>
      <c r="AA103" s="23">
        <f>EXP(-LN(2)/25)*AA102+(1-EXP(-LN(2)/25))/(LN(2)/25)*Calculateur!V103*Calculateur!X103*VLOOKUP('Données projet'!$B$9,Paramètres!$A$1:$I$89,3,0)*0.475*44/12</f>
        <v>1.973256913132156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15.663017283549552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70.520400819593021</v>
      </c>
      <c r="AO103" s="62">
        <f t="shared" si="90"/>
        <v>321.48616153644309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13.059863420858315</v>
      </c>
      <c r="AV103" s="23">
        <f>EXP(-LN(2)/25)*AV102+(1-EXP(-LN(2)/25))/(LN(2)/25)*Calculateur!AQ103*Calculateur!AS103*VLOOKUP('Données projet'!$B$10,Paramètres!$A$1:$I$89,3,0)*0.475*44/12</f>
        <v>1.8824628833868098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14.942326304245125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8.5555555555555554</v>
      </c>
      <c r="BD103" s="13">
        <f>IF('Données projet'!$A$88&gt;35,BD102+BC103-BL102,IF(A103&lt;'Données projet'!$A$88,$BA$205^A103,IF(A103='Données projet'!$A$88,'Données projet'!$B$88,BD102+BC103-BL102)))</f>
        <v>314.22222222222263</v>
      </c>
      <c r="BE103" s="14">
        <f>BD103*VLOOKUP('Données projet'!$B$11,Paramètres!$A$1:$I$89,3,0)*VLOOKUP('Données projet'!$B$11,Paramètres!$A$1:$I$89,5,0)</f>
        <v>147.05600000000018</v>
      </c>
      <c r="BF103" s="14">
        <f t="shared" si="91"/>
        <v>37.908781196921652</v>
      </c>
      <c r="BG103" s="22">
        <f t="shared" si="61"/>
        <v>322.14699391797217</v>
      </c>
      <c r="BH103" s="62">
        <f t="shared" si="62"/>
        <v>591.26782446387688</v>
      </c>
      <c r="BI103" s="62">
        <f ca="1">AVERAGE(OFFSET($BH$3,0,0,'Données projet'!$E$11+1,1))-AVERAGE(OFFSET($H$3,0,0,'Données projet'!$E$11+1,1))</f>
        <v>374.62597460242665</v>
      </c>
      <c r="BJ103" s="62">
        <f t="shared" si="92"/>
        <v>277.50105097454616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5.25</v>
      </c>
      <c r="BY103" s="13">
        <f>IF('Données projet'!$A$114&gt;35,BY102+BX103-CG102,IF(A103&lt;'Données projet'!$A$114,$BV$205^A103,IF(A103='Données projet'!$A$114,'Données projet'!$B$114,BY102+BX103-CG102)))</f>
        <v>266.49999999999994</v>
      </c>
      <c r="BZ103" s="14">
        <f>BY103*VLOOKUP('Données projet'!$B$12,Paramètres!$A$1:$I$89,3,0)*VLOOKUP('Données projet'!$B$12,Paramètres!$A$1:$I$89,5,0)</f>
        <v>124.72199999999997</v>
      </c>
      <c r="CA103" s="14">
        <f t="shared" si="93"/>
        <v>32.773842203085991</v>
      </c>
      <c r="CB103" s="22">
        <f t="shared" si="64"/>
        <v>274.30525850370799</v>
      </c>
      <c r="CC103" s="62">
        <f t="shared" si="65"/>
        <v>543.42608904961264</v>
      </c>
      <c r="CD103" s="62">
        <f ca="1">AVERAGE(OFFSET($CC$3,0,0,'Données projet'!$E$12+1,1))-AVERAGE(OFFSET($H$3,0,0,'Données projet'!$E$12+1,1))</f>
        <v>329.79342219561465</v>
      </c>
      <c r="CE103" s="62">
        <f t="shared" si="94"/>
        <v>144.63206563329757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621</v>
      </c>
      <c r="CR103" s="13">
        <f>VLOOKUP(A103,'Données projet'!$A$139:$I$159,9,0)</f>
        <v>6.5</v>
      </c>
      <c r="CS103" s="13">
        <f t="array" ref="CS103">INDEX(CR:CR,MIN(IF(ISNUMBER(CR103:CR299),ROW(CR103:CR299),"")))</f>
        <v>6.5</v>
      </c>
      <c r="CT103" s="13">
        <f>IF('Données projet'!$A$140&gt;35,CT102+CS103-DB102,IF(A103&lt;'Données projet'!$A$140,$CQ$205^A103,IF(A103='Données projet'!$A$140,'Données projet'!$B$140,CT102+CS103-DB102)))</f>
        <v>621.00000000000068</v>
      </c>
      <c r="CU103" s="18">
        <f>CT103*VLOOKUP('Données projet'!$B$13,Paramètres!$A$1:$I$89,3,0)*VLOOKUP('Données projet'!$B$13,Paramètres!$A$1:$I$89,5,0)</f>
        <v>371.3580000000004</v>
      </c>
      <c r="CV103" s="14">
        <f t="shared" si="95"/>
        <v>85.945069864586898</v>
      </c>
      <c r="CW103" s="22">
        <f t="shared" si="67"/>
        <v>796.4695133474894</v>
      </c>
      <c r="CX103" s="62">
        <f t="shared" si="68"/>
        <v>1065.590343893394</v>
      </c>
      <c r="CY103" s="62">
        <f ca="1">AVERAGE(OFFSET($CX$3,0,0,'Données projet'!$E$13+1,1))-AVERAGE(OFFSET($H$3,0,0,'Données projet'!$E$13+1,1))</f>
        <v>530.27599556821826</v>
      </c>
      <c r="CZ103" s="62">
        <f t="shared" si="96"/>
        <v>370.62231794492129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621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4.3783098935610544E-10</v>
      </c>
      <c r="DI103" s="24">
        <f t="shared" si="69"/>
        <v>4.3783098935610544E-10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321.1416000000001</v>
      </c>
      <c r="DQ103" s="14">
        <f t="shared" si="97"/>
        <v>75.590836491360662</v>
      </c>
      <c r="DR103" s="22">
        <f t="shared" si="70"/>
        <v>690.97566022245337</v>
      </c>
      <c r="DS103" s="62">
        <f t="shared" si="71"/>
        <v>960.09649076835808</v>
      </c>
      <c r="DT103" s="62">
        <f ca="1">AVERAGE(OFFSET($DS$3,0,0,'Données projet'!$E$14+1,1))-AVERAGE(OFFSET($H$3,0,0,'Données projet'!$E$14+1,1))</f>
        <v>520.23742527061836</v>
      </c>
      <c r="DU103" s="62">
        <f t="shared" si="98"/>
        <v>321.35925479331274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-1.1882548278663309E-13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435.44444011810265</v>
      </c>
      <c r="EP103" s="62">
        <f t="shared" si="100"/>
        <v>447.15868732689762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333</v>
      </c>
      <c r="FC103" s="13">
        <f>VLOOKUP(A103,'Données projet'!$A$217:$I$237,9,0)</f>
        <v>5.8</v>
      </c>
      <c r="FD103" s="13">
        <f t="array" ref="FD103">INDEX(FC:FC,MIN(IF(ISNUMBER(FC103:FC299),ROW(FC103:FC299),"")))</f>
        <v>5.8</v>
      </c>
      <c r="FE103" s="13">
        <f>IF('Données projet'!$A$218&gt;35,FE102+FD103-FM102,IF(A103&lt;'Données projet'!$A$218,$FB$205^A103,IF(A103='Données projet'!$A$218,'Données projet'!$B$218,FE102+FD103-FM102)))</f>
        <v>333</v>
      </c>
      <c r="FF103" s="18">
        <f>FE103*VLOOKUP('Données projet'!$B$16,Paramètres!$A$1:$I$89,3,0)*VLOOKUP('Données projet'!$B$16,Paramètres!$A$1:$I$89,5,0)</f>
        <v>337.66200000000003</v>
      </c>
      <c r="FG103" s="14">
        <f t="shared" si="101"/>
        <v>79.016707002632685</v>
      </c>
      <c r="FH103" s="22">
        <f t="shared" si="76"/>
        <v>725.71541469625208</v>
      </c>
      <c r="FI103" s="62">
        <f t="shared" si="77"/>
        <v>994.83624524215679</v>
      </c>
      <c r="FJ103" s="62">
        <f ca="1">AVERAGE(OFFSET($FI$3,0,0,'Données projet'!$E$16+1,1))-AVERAGE(OFFSET($H$3,0,0,'Données projet'!$E$16+1,1))</f>
        <v>547.89540791313675</v>
      </c>
      <c r="FK103" s="62">
        <f t="shared" si="102"/>
        <v>345.19555189302378</v>
      </c>
      <c r="FL103" s="16">
        <f>IF(ISNA(VLOOKUP(A103,'Données projet'!$A$217:$I$237,3,0)),0,VLOOKUP(A103,'Données projet'!$A$217:$I$237,3,0))</f>
        <v>17</v>
      </c>
      <c r="FM103" s="16">
        <f>IF(ISNA(VLOOKUP(A103,'Données projet'!$A$217:$I$237,4,0)),0,VLOOKUP(A103,'Données projet'!$A$217:$I$237,4,0))</f>
        <v>27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>
        <f>FZ103*VLOOKUP('Données projet'!$B$17,Paramètres!$A$1:$I$89,3,0)*VLOOKUP('Données projet'!$B$17,Paramètres!$A$1:$I$89,5,0)</f>
        <v>0</v>
      </c>
      <c r="GB103" s="14" t="e">
        <f t="shared" si="103"/>
        <v>#NUM!</v>
      </c>
      <c r="GC103" s="22" t="e">
        <f t="shared" si="79"/>
        <v>#NUM!</v>
      </c>
      <c r="GD103" s="62" t="e">
        <f t="shared" si="80"/>
        <v>#NUM!</v>
      </c>
      <c r="GE103" s="62">
        <f ca="1">AVERAGE(OFFSET($GD$3,0,0,'Données projet'!$E$17+1,1))-AVERAGE(OFFSET($H$3,0,0,'Données projet'!$E$17+1,1))</f>
        <v>409.68685886029164</v>
      </c>
      <c r="GF103" s="62">
        <f t="shared" si="104"/>
        <v>330.8416508650887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7.48910536785813E-10</v>
      </c>
      <c r="GO103" s="23">
        <f t="shared" si="81"/>
        <v>7.48910536785813E-10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73.098184695482075</v>
      </c>
      <c r="T104" s="62">
        <f t="shared" si="88"/>
        <v>334.38551711782793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13.42131251948285</v>
      </c>
      <c r="AA104" s="23">
        <f>EXP(-LN(2)/25)*AA103+(1-EXP(-LN(2)/25))/(LN(2)/25)*Calculateur!V104*Calculateur!X104*VLOOKUP('Données projet'!$B$9,Paramètres!$A$1:$I$89,3,0)*0.475*44/12</f>
        <v>1.919298099073486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15.340610618556337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70.520400819593021</v>
      </c>
      <c r="AO104" s="62">
        <f t="shared" si="90"/>
        <v>321.48616153644309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12.80376746490542</v>
      </c>
      <c r="AV104" s="23">
        <f>EXP(-LN(2)/25)*AV103+(1-EXP(-LN(2)/25))/(LN(2)/25)*Calculateur!AQ104*Calculateur!AS104*VLOOKUP('Données projet'!$B$10,Paramètres!$A$1:$I$89,3,0)*0.475*44/12</f>
        <v>1.8309868368461768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14.634754301751597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8.5555555555555554</v>
      </c>
      <c r="BD104" s="13">
        <f>IF('Données projet'!$A$88&gt;35,BD103+BC104-BL103,IF(A104&lt;'Données projet'!$A$88,$BA$205^A104,IF(A104='Données projet'!$A$88,'Données projet'!$B$88,BD103+BC104-BL103)))</f>
        <v>322.77777777777817</v>
      </c>
      <c r="BE104" s="14">
        <f>BD104*VLOOKUP('Données projet'!$B$11,Paramètres!$A$1:$I$89,3,0)*VLOOKUP('Données projet'!$B$11,Paramètres!$A$1:$I$89,5,0)</f>
        <v>151.06000000000017</v>
      </c>
      <c r="BF104" s="14">
        <f t="shared" si="91"/>
        <v>38.819375611338231</v>
      </c>
      <c r="BG104" s="22">
        <f t="shared" si="61"/>
        <v>330.70657918974769</v>
      </c>
      <c r="BH104" s="62">
        <f t="shared" si="62"/>
        <v>600.24744252796745</v>
      </c>
      <c r="BI104" s="62">
        <f ca="1">AVERAGE(OFFSET($BH$3,0,0,'Données projet'!$E$11+1,1))-AVERAGE(OFFSET($H$3,0,0,'Données projet'!$E$11+1,1))</f>
        <v>374.62597460242665</v>
      </c>
      <c r="BJ104" s="62">
        <f t="shared" si="92"/>
        <v>277.50105097454616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5.25</v>
      </c>
      <c r="BY104" s="13">
        <f>IF('Données projet'!$A$114&gt;35,BY103+BX104-CG103,IF(A104&lt;'Données projet'!$A$114,$BV$205^A104,IF(A104='Données projet'!$A$114,'Données projet'!$B$114,BY103+BX104-CG103)))</f>
        <v>271.74999999999994</v>
      </c>
      <c r="BZ104" s="14">
        <f>BY104*VLOOKUP('Données projet'!$B$12,Paramètres!$A$1:$I$89,3,0)*VLOOKUP('Données projet'!$B$12,Paramètres!$A$1:$I$89,5,0)</f>
        <v>127.17899999999996</v>
      </c>
      <c r="CA104" s="14">
        <f t="shared" si="93"/>
        <v>33.343679085820121</v>
      </c>
      <c r="CB104" s="22">
        <f t="shared" si="64"/>
        <v>279.57699940780327</v>
      </c>
      <c r="CC104" s="62">
        <f t="shared" si="65"/>
        <v>549.11786274602298</v>
      </c>
      <c r="CD104" s="62">
        <f ca="1">AVERAGE(OFFSET($CC$3,0,0,'Données projet'!$E$12+1,1))-AVERAGE(OFFSET($H$3,0,0,'Données projet'!$E$12+1,1))</f>
        <v>329.79342219561465</v>
      </c>
      <c r="CE104" s="62">
        <f t="shared" si="94"/>
        <v>144.63206563329757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6.8212102632969618E-13</v>
      </c>
      <c r="CU104" s="18">
        <f>CT104*VLOOKUP('Données projet'!$B$13,Paramètres!$A$1:$I$89,3,0)*VLOOKUP('Données projet'!$B$13,Paramètres!$A$1:$I$89,5,0)</f>
        <v>4.0790837374515837E-13</v>
      </c>
      <c r="CV104" s="14">
        <f t="shared" si="95"/>
        <v>5.2028966193600884E-12</v>
      </c>
      <c r="CW104" s="22">
        <f t="shared" si="67"/>
        <v>9.7721520296583044E-12</v>
      </c>
      <c r="CX104" s="62">
        <f t="shared" si="68"/>
        <v>269.54086333822949</v>
      </c>
      <c r="CY104" s="62">
        <f ca="1">AVERAGE(OFFSET($CX$3,0,0,'Données projet'!$E$13+1,1))-AVERAGE(OFFSET($H$3,0,0,'Données projet'!$E$13+1,1))</f>
        <v>530.27599556821826</v>
      </c>
      <c r="CZ104" s="62">
        <f t="shared" si="96"/>
        <v>370.62231794492129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3.0959326158731726E-10</v>
      </c>
      <c r="DI104" s="24">
        <f t="shared" si="69"/>
        <v>3.0959326158731726E-10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302.23752000000013</v>
      </c>
      <c r="DQ104" s="14">
        <f t="shared" si="97"/>
        <v>71.645330561253473</v>
      </c>
      <c r="DR104" s="22">
        <f t="shared" si="70"/>
        <v>651.17929806084999</v>
      </c>
      <c r="DS104" s="62">
        <f t="shared" si="71"/>
        <v>920.72016139906964</v>
      </c>
      <c r="DT104" s="62">
        <f ca="1">AVERAGE(OFFSET($DS$3,0,0,'Données projet'!$E$14+1,1))-AVERAGE(OFFSET($H$3,0,0,'Données projet'!$E$14+1,1))</f>
        <v>520.23742527061836</v>
      </c>
      <c r="DU104" s="62">
        <f t="shared" si="98"/>
        <v>321.35925479331274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-1.1882548278663309E-13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435.44444011810265</v>
      </c>
      <c r="EP104" s="62">
        <f t="shared" si="100"/>
        <v>447.15868732689762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5.4</v>
      </c>
      <c r="FE104" s="13">
        <f>IF('Données projet'!$A$218&gt;35,FE103+FD104-FM103,IF(A104&lt;'Données projet'!$A$218,$FB$205^A104,IF(A104='Données projet'!$A$218,'Données projet'!$B$218,FE103+FD104-FM103)))</f>
        <v>311.39999999999998</v>
      </c>
      <c r="FF104" s="18">
        <f>FE104*VLOOKUP('Données projet'!$B$16,Paramètres!$A$1:$I$89,3,0)*VLOOKUP('Données projet'!$B$16,Paramètres!$A$1:$I$89,5,0)</f>
        <v>315.75959999999998</v>
      </c>
      <c r="FG104" s="14">
        <f t="shared" si="101"/>
        <v>74.470372149154613</v>
      </c>
      <c r="FH104" s="22">
        <f t="shared" si="76"/>
        <v>679.6505348264443</v>
      </c>
      <c r="FI104" s="62">
        <f t="shared" si="77"/>
        <v>949.19139816466395</v>
      </c>
      <c r="FJ104" s="62">
        <f ca="1">AVERAGE(OFFSET($FI$3,0,0,'Données projet'!$E$16+1,1))-AVERAGE(OFFSET($H$3,0,0,'Données projet'!$E$16+1,1))</f>
        <v>547.89540791313675</v>
      </c>
      <c r="FK104" s="62">
        <f t="shared" si="102"/>
        <v>345.19555189302378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>
        <f>FZ104*VLOOKUP('Données projet'!$B$17,Paramètres!$A$1:$I$89,3,0)*VLOOKUP('Données projet'!$B$17,Paramètres!$A$1:$I$89,5,0)</f>
        <v>0</v>
      </c>
      <c r="GB104" s="14" t="e">
        <f t="shared" si="103"/>
        <v>#NUM!</v>
      </c>
      <c r="GC104" s="22" t="e">
        <f t="shared" si="79"/>
        <v>#NUM!</v>
      </c>
      <c r="GD104" s="62" t="e">
        <f t="shared" si="80"/>
        <v>#NUM!</v>
      </c>
      <c r="GE104" s="62">
        <f ca="1">AVERAGE(OFFSET($GD$3,0,0,'Données projet'!$E$17+1,1))-AVERAGE(OFFSET($H$3,0,0,'Données projet'!$E$17+1,1))</f>
        <v>409.68685886029164</v>
      </c>
      <c r="GF104" s="62">
        <f t="shared" si="104"/>
        <v>330.8416508650887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5.2955971906330571E-10</v>
      </c>
      <c r="GO104" s="23">
        <f t="shared" si="81"/>
        <v>5.2955971906330571E-10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73.098184695482075</v>
      </c>
      <c r="T105" s="62">
        <f t="shared" si="88"/>
        <v>334.38551711782793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13.158128767168108</v>
      </c>
      <c r="AA105" s="23">
        <f>EXP(-LN(2)/25)*AA104+(1-EXP(-LN(2)/25))/(LN(2)/25)*Calculateur!V105*Calculateur!X105*VLOOKUP('Données projet'!$B$9,Paramètres!$A$1:$I$89,3,0)*0.475*44/12</f>
        <v>1.866814791622821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15.024943558790929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70.520400819593021</v>
      </c>
      <c r="AO105" s="62">
        <f t="shared" si="90"/>
        <v>321.48616153644309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12.552693394445651</v>
      </c>
      <c r="AV105" s="23">
        <f>EXP(-LN(2)/25)*AV104+(1-EXP(-LN(2)/25))/(LN(2)/25)*Calculateur!AQ105*Calculateur!AS105*VLOOKUP('Données projet'!$B$10,Paramètres!$A$1:$I$89,3,0)*0.475*44/12</f>
        <v>1.7809184055052052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14.333611799950855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8.5555555555555554</v>
      </c>
      <c r="BD105" s="13">
        <f>IF('Données projet'!$A$88&gt;35,BD104+BC105-BL104,IF(A105&lt;'Données projet'!$A$88,$BA$205^A105,IF(A105='Données projet'!$A$88,'Données projet'!$B$88,BD104+BC105-BL104)))</f>
        <v>331.33333333333371</v>
      </c>
      <c r="BE105" s="14">
        <f>BD105*VLOOKUP('Données projet'!$B$11,Paramètres!$A$1:$I$89,3,0)*VLOOKUP('Données projet'!$B$11,Paramètres!$A$1:$I$89,5,0)</f>
        <v>155.06400000000016</v>
      </c>
      <c r="BF105" s="14">
        <f t="shared" si="91"/>
        <v>39.727164550120129</v>
      </c>
      <c r="BG105" s="22">
        <f t="shared" si="61"/>
        <v>339.2612782581262</v>
      </c>
      <c r="BH105" s="62">
        <f t="shared" si="62"/>
        <v>609.21488775876696</v>
      </c>
      <c r="BI105" s="62">
        <f ca="1">AVERAGE(OFFSET($BH$3,0,0,'Données projet'!$E$11+1,1))-AVERAGE(OFFSET($H$3,0,0,'Données projet'!$E$11+1,1))</f>
        <v>374.62597460242665</v>
      </c>
      <c r="BJ105" s="62">
        <f t="shared" si="92"/>
        <v>277.50105097454616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>
        <f>VLOOKUP(A105,'Données projet'!$A$113:$I$133,2,0)</f>
        <v>277</v>
      </c>
      <c r="BW105" s="13">
        <f>VLOOKUP(A105,'Données projet'!$A$113:$I$133,9,0)</f>
        <v>5.25</v>
      </c>
      <c r="BX105" s="13">
        <f t="array" ref="BX105">INDEX(BW:BW,MIN(IF(ISNUMBER(BW105:BW301),ROW(BW105:BW301),"")))</f>
        <v>5.25</v>
      </c>
      <c r="BY105" s="13">
        <f>IF('Données projet'!$A$114&gt;35,BY104+BX105-CG104,IF(A105&lt;'Données projet'!$A$114,$BV$205^A105,IF(A105='Données projet'!$A$114,'Données projet'!$B$114,BY104+BX105-CG104)))</f>
        <v>276.99999999999994</v>
      </c>
      <c r="BZ105" s="14">
        <f>BY105*VLOOKUP('Données projet'!$B$12,Paramètres!$A$1:$I$89,3,0)*VLOOKUP('Données projet'!$B$12,Paramètres!$A$1:$I$89,5,0)</f>
        <v>129.63599999999997</v>
      </c>
      <c r="CA105" s="14">
        <f t="shared" si="93"/>
        <v>33.912235898830978</v>
      </c>
      <c r="CB105" s="22">
        <f t="shared" si="64"/>
        <v>284.84651085713057</v>
      </c>
      <c r="CC105" s="62">
        <f t="shared" si="65"/>
        <v>554.80012035777133</v>
      </c>
      <c r="CD105" s="62">
        <f ca="1">AVERAGE(OFFSET($CC$3,0,0,'Données projet'!$E$12+1,1))-AVERAGE(OFFSET($H$3,0,0,'Données projet'!$E$12+1,1))</f>
        <v>329.79342219561465</v>
      </c>
      <c r="CE105" s="62">
        <f t="shared" si="94"/>
        <v>144.63206563329757</v>
      </c>
      <c r="CF105" s="16">
        <f>IF(ISNA(VLOOKUP(A105,'Données projet'!$A$113:$I$133,3,0)),0,VLOOKUP(A105,'Données projet'!$A$113:$I$133,3,0))</f>
        <v>10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6.8212102632969618E-13</v>
      </c>
      <c r="CU105" s="18">
        <f>CT105*VLOOKUP('Données projet'!$B$13,Paramètres!$A$1:$I$89,3,0)*VLOOKUP('Données projet'!$B$13,Paramètres!$A$1:$I$89,5,0)</f>
        <v>4.0790837374515837E-13</v>
      </c>
      <c r="CV105" s="14">
        <f t="shared" si="95"/>
        <v>5.2028966193600884E-12</v>
      </c>
      <c r="CW105" s="22">
        <f t="shared" si="67"/>
        <v>9.7721520296583044E-12</v>
      </c>
      <c r="CX105" s="62">
        <f t="shared" si="68"/>
        <v>269.95360950065054</v>
      </c>
      <c r="CY105" s="62">
        <f ca="1">AVERAGE(OFFSET($CX$3,0,0,'Données projet'!$E$13+1,1))-AVERAGE(OFFSET($H$3,0,0,'Données projet'!$E$13+1,1))</f>
        <v>530.27599556821826</v>
      </c>
      <c r="CZ105" s="62">
        <f t="shared" si="96"/>
        <v>370.62231794492129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2.1891549467805272E-10</v>
      </c>
      <c r="DI105" s="24">
        <f t="shared" si="69"/>
        <v>2.1891549467805272E-10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307.24824000000007</v>
      </c>
      <c r="DQ105" s="14">
        <f t="shared" si="97"/>
        <v>72.693855285301751</v>
      </c>
      <c r="DR105" s="22">
        <f t="shared" si="70"/>
        <v>661.73248262190066</v>
      </c>
      <c r="DS105" s="62">
        <f t="shared" si="71"/>
        <v>931.68609212254137</v>
      </c>
      <c r="DT105" s="62">
        <f ca="1">AVERAGE(OFFSET($DS$3,0,0,'Données projet'!$E$14+1,1))-AVERAGE(OFFSET($H$3,0,0,'Données projet'!$E$14+1,1))</f>
        <v>520.23742527061836</v>
      </c>
      <c r="DU105" s="62">
        <f t="shared" si="98"/>
        <v>321.35925479331274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-1.1882548278663309E-13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435.44444011810265</v>
      </c>
      <c r="EP105" s="62">
        <f t="shared" si="100"/>
        <v>447.15868732689762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5.4</v>
      </c>
      <c r="FE105" s="13">
        <f>IF('Données projet'!$A$218&gt;35,FE104+FD105-FM104,IF(A105&lt;'Données projet'!$A$218,$FB$205^A105,IF(A105='Données projet'!$A$218,'Données projet'!$B$218,FE104+FD105-FM104)))</f>
        <v>316.79999999999995</v>
      </c>
      <c r="FF105" s="18">
        <f>FE105*VLOOKUP('Données projet'!$B$16,Paramètres!$A$1:$I$89,3,0)*VLOOKUP('Données projet'!$B$16,Paramètres!$A$1:$I$89,5,0)</f>
        <v>321.23519999999996</v>
      </c>
      <c r="FG105" s="14">
        <f t="shared" si="101"/>
        <v>75.610303390297929</v>
      </c>
      <c r="FH105" s="22">
        <f t="shared" si="76"/>
        <v>691.17258507143549</v>
      </c>
      <c r="FI105" s="62">
        <f t="shared" si="77"/>
        <v>961.1261945720762</v>
      </c>
      <c r="FJ105" s="62">
        <f ca="1">AVERAGE(OFFSET($FI$3,0,0,'Données projet'!$E$16+1,1))-AVERAGE(OFFSET($H$3,0,0,'Données projet'!$E$16+1,1))</f>
        <v>547.89540791313675</v>
      </c>
      <c r="FK105" s="62">
        <f t="shared" si="102"/>
        <v>345.19555189302378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>
        <f>FZ105*VLOOKUP('Données projet'!$B$17,Paramètres!$A$1:$I$89,3,0)*VLOOKUP('Données projet'!$B$17,Paramètres!$A$1:$I$89,5,0)</f>
        <v>0</v>
      </c>
      <c r="GB105" s="14" t="e">
        <f t="shared" si="103"/>
        <v>#NUM!</v>
      </c>
      <c r="GC105" s="22" t="e">
        <f t="shared" si="79"/>
        <v>#NUM!</v>
      </c>
      <c r="GD105" s="62" t="e">
        <f t="shared" si="80"/>
        <v>#NUM!</v>
      </c>
      <c r="GE105" s="62">
        <f ca="1">AVERAGE(OFFSET($GD$3,0,0,'Données projet'!$E$17+1,1))-AVERAGE(OFFSET($H$3,0,0,'Données projet'!$E$17+1,1))</f>
        <v>409.68685886029164</v>
      </c>
      <c r="GF105" s="62">
        <f t="shared" si="104"/>
        <v>330.8416508650887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3.744552683929065E-10</v>
      </c>
      <c r="GO105" s="23">
        <f t="shared" si="81"/>
        <v>3.744552683929065E-10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73.098184695482075</v>
      </c>
      <c r="T106" s="62">
        <f t="shared" si="88"/>
        <v>334.38551711782793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12.900105887710021</v>
      </c>
      <c r="AA106" s="23">
        <f>EXP(-LN(2)/25)*AA105+(1-EXP(-LN(2)/25))/(LN(2)/25)*Calculateur!V106*Calculateur!X106*VLOOKUP('Données projet'!$B$9,Paramètres!$A$1:$I$89,3,0)*0.475*44/12</f>
        <v>1.8157666429743717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14.715872530684393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70.520400819593021</v>
      </c>
      <c r="AO106" s="62">
        <f t="shared" si="90"/>
        <v>321.48616153644309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12.306542733367538</v>
      </c>
      <c r="AV106" s="23">
        <f>EXP(-LN(2)/25)*AV105+(1-EXP(-LN(2)/25))/(LN(2)/25)*Calculateur!AQ106*Calculateur!AS106*VLOOKUP('Données projet'!$B$10,Paramètres!$A$1:$I$89,3,0)*0.475*44/12</f>
        <v>1.7322190980522367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14.038761831419775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8.5555555555555554</v>
      </c>
      <c r="BD106" s="13">
        <f>IF('Données projet'!$A$88&gt;35,BD105+BC106-BL105,IF(A106&lt;'Données projet'!$A$88,$BA$205^A106,IF(A106='Données projet'!$A$88,'Données projet'!$B$88,BD105+BC106-BL105)))</f>
        <v>339.88888888888926</v>
      </c>
      <c r="BE106" s="14">
        <f>BD106*VLOOKUP('Données projet'!$B$11,Paramètres!$A$1:$I$89,3,0)*VLOOKUP('Données projet'!$B$11,Paramètres!$A$1:$I$89,5,0)</f>
        <v>159.06800000000018</v>
      </c>
      <c r="BF106" s="14">
        <f t="shared" si="91"/>
        <v>40.632228784106786</v>
      </c>
      <c r="BG106" s="22">
        <f t="shared" si="61"/>
        <v>347.81123179898628</v>
      </c>
      <c r="BH106" s="62">
        <f t="shared" si="62"/>
        <v>618.17042723889222</v>
      </c>
      <c r="BI106" s="62">
        <f ca="1">AVERAGE(OFFSET($BH$3,0,0,'Données projet'!$E$11+1,1))-AVERAGE(OFFSET($H$3,0,0,'Données projet'!$E$11+1,1))</f>
        <v>374.62597460242665</v>
      </c>
      <c r="BJ106" s="62">
        <f t="shared" si="92"/>
        <v>277.50105097454616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5.125</v>
      </c>
      <c r="BY106" s="13">
        <f>IF('Données projet'!$A$114&gt;35,BY105+BX106-CG105,IF(A106&lt;'Données projet'!$A$114,$BV$205^A106,IF(A106='Données projet'!$A$114,'Données projet'!$B$114,BY105+BX106-CG105)))</f>
        <v>282.12499999999994</v>
      </c>
      <c r="BZ106" s="14">
        <f>BY106*VLOOKUP('Données projet'!$B$12,Paramètres!$A$1:$I$89,3,0)*VLOOKUP('Données projet'!$B$12,Paramètres!$A$1:$I$89,5,0)</f>
        <v>132.03449999999995</v>
      </c>
      <c r="CA106" s="14">
        <f t="shared" si="93"/>
        <v>34.466046828038273</v>
      </c>
      <c r="CB106" s="22">
        <f t="shared" si="64"/>
        <v>289.98845239216661</v>
      </c>
      <c r="CC106" s="62">
        <f t="shared" si="65"/>
        <v>560.34764783207265</v>
      </c>
      <c r="CD106" s="62">
        <f ca="1">AVERAGE(OFFSET($CC$3,0,0,'Données projet'!$E$12+1,1))-AVERAGE(OFFSET($H$3,0,0,'Données projet'!$E$12+1,1))</f>
        <v>329.79342219561465</v>
      </c>
      <c r="CE106" s="62">
        <f t="shared" si="94"/>
        <v>144.63206563329757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6.8212102632969618E-13</v>
      </c>
      <c r="CU106" s="18">
        <f>CT106*VLOOKUP('Données projet'!$B$13,Paramètres!$A$1:$I$89,3,0)*VLOOKUP('Données projet'!$B$13,Paramètres!$A$1:$I$89,5,0)</f>
        <v>4.0790837374515837E-13</v>
      </c>
      <c r="CV106" s="14">
        <f t="shared" si="95"/>
        <v>5.2028966193600884E-12</v>
      </c>
      <c r="CW106" s="22">
        <f t="shared" si="67"/>
        <v>9.7721520296583044E-12</v>
      </c>
      <c r="CX106" s="62">
        <f t="shared" si="68"/>
        <v>270.35919543991577</v>
      </c>
      <c r="CY106" s="62">
        <f ca="1">AVERAGE(OFFSET($CX$3,0,0,'Données projet'!$E$13+1,1))-AVERAGE(OFFSET($H$3,0,0,'Données projet'!$E$13+1,1))</f>
        <v>530.27599556821826</v>
      </c>
      <c r="CZ106" s="62">
        <f t="shared" si="96"/>
        <v>370.62231794492129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1.5479663079365863E-10</v>
      </c>
      <c r="DI106" s="24">
        <f t="shared" si="69"/>
        <v>1.5479663079365863E-10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312.25896000000006</v>
      </c>
      <c r="DQ106" s="14">
        <f t="shared" si="97"/>
        <v>73.740391394873711</v>
      </c>
      <c r="DR106" s="22">
        <f t="shared" si="70"/>
        <v>672.28220367940514</v>
      </c>
      <c r="DS106" s="62">
        <f t="shared" si="71"/>
        <v>942.64139911931113</v>
      </c>
      <c r="DT106" s="62">
        <f ca="1">AVERAGE(OFFSET($DS$3,0,0,'Données projet'!$E$14+1,1))-AVERAGE(OFFSET($H$3,0,0,'Données projet'!$E$14+1,1))</f>
        <v>520.23742527061836</v>
      </c>
      <c r="DU106" s="62">
        <f t="shared" si="98"/>
        <v>321.35925479331274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-1.1882548278663309E-13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435.44444011810265</v>
      </c>
      <c r="EP106" s="62">
        <f t="shared" si="100"/>
        <v>447.15868732689762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5.4</v>
      </c>
      <c r="FE106" s="13">
        <f>IF('Données projet'!$A$218&gt;35,FE105+FD106-FM105,IF(A106&lt;'Données projet'!$A$218,$FB$205^A106,IF(A106='Données projet'!$A$218,'Données projet'!$B$218,FE105+FD106-FM105)))</f>
        <v>322.19999999999993</v>
      </c>
      <c r="FF106" s="18">
        <f>FE106*VLOOKUP('Données projet'!$B$16,Paramètres!$A$1:$I$89,3,0)*VLOOKUP('Données projet'!$B$16,Paramètres!$A$1:$I$89,5,0)</f>
        <v>326.71079999999995</v>
      </c>
      <c r="FG106" s="14">
        <f t="shared" si="101"/>
        <v>76.747975030799893</v>
      </c>
      <c r="FH106" s="22">
        <f t="shared" si="76"/>
        <v>702.69069984530972</v>
      </c>
      <c r="FI106" s="62">
        <f t="shared" si="77"/>
        <v>973.04989528521571</v>
      </c>
      <c r="FJ106" s="62">
        <f ca="1">AVERAGE(OFFSET($FI$3,0,0,'Données projet'!$E$16+1,1))-AVERAGE(OFFSET($H$3,0,0,'Données projet'!$E$16+1,1))</f>
        <v>547.89540791313675</v>
      </c>
      <c r="FK106" s="62">
        <f t="shared" si="102"/>
        <v>345.19555189302378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>
        <f>FZ106*VLOOKUP('Données projet'!$B$17,Paramètres!$A$1:$I$89,3,0)*VLOOKUP('Données projet'!$B$17,Paramètres!$A$1:$I$89,5,0)</f>
        <v>0</v>
      </c>
      <c r="GB106" s="14" t="e">
        <f t="shared" si="103"/>
        <v>#NUM!</v>
      </c>
      <c r="GC106" s="22" t="e">
        <f t="shared" si="79"/>
        <v>#NUM!</v>
      </c>
      <c r="GD106" s="62" t="e">
        <f t="shared" si="80"/>
        <v>#NUM!</v>
      </c>
      <c r="GE106" s="62">
        <f ca="1">AVERAGE(OFFSET($GD$3,0,0,'Données projet'!$E$17+1,1))-AVERAGE(OFFSET($H$3,0,0,'Données projet'!$E$17+1,1))</f>
        <v>409.68685886029164</v>
      </c>
      <c r="GF106" s="62">
        <f t="shared" si="104"/>
        <v>330.8416508650887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2.6477985953165286E-10</v>
      </c>
      <c r="GO106" s="23">
        <f t="shared" si="81"/>
        <v>2.6477985953165286E-10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73.098184695482075</v>
      </c>
      <c r="T107" s="62">
        <f t="shared" si="88"/>
        <v>334.38551711782793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12.647142679539691</v>
      </c>
      <c r="AA107" s="23">
        <f>EXP(-LN(2)/25)*AA106+(1-EXP(-LN(2)/25))/(LN(2)/25)*Calculateur!V107*Calculateur!X107*VLOOKUP('Données projet'!$B$9,Paramètres!$A$1:$I$89,3,0)*0.475*44/12</f>
        <v>1.7661144086352198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14.413257088174911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70.520400819593021</v>
      </c>
      <c r="AO107" s="62">
        <f t="shared" si="90"/>
        <v>321.48616153644309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12.065218936616088</v>
      </c>
      <c r="AV107" s="23">
        <f>EXP(-LN(2)/25)*AV106+(1-EXP(-LN(2)/25))/(LN(2)/25)*Calculateur!AQ107*Calculateur!AS107*VLOOKUP('Données projet'!$B$10,Paramètres!$A$1:$I$89,3,0)*0.475*44/12</f>
        <v>1.684851475722555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13.750070412338642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8.5555555555555554</v>
      </c>
      <c r="BD107" s="13">
        <f>IF('Données projet'!$A$88&gt;35,BD106+BC107-BL106,IF(A107&lt;'Données projet'!$A$88,$BA$205^A107,IF(A107='Données projet'!$A$88,'Données projet'!$B$88,BD106+BC107-BL106)))</f>
        <v>348.4444444444448</v>
      </c>
      <c r="BE107" s="14">
        <f>BD107*VLOOKUP('Données projet'!$B$11,Paramètres!$A$1:$I$89,3,0)*VLOOKUP('Données projet'!$B$11,Paramètres!$A$1:$I$89,5,0)</f>
        <v>163.07200000000017</v>
      </c>
      <c r="BF107" s="14">
        <f t="shared" si="91"/>
        <v>41.53464478614341</v>
      </c>
      <c r="BG107" s="22">
        <f t="shared" si="61"/>
        <v>356.35657300253342</v>
      </c>
      <c r="BH107" s="62">
        <f t="shared" si="62"/>
        <v>627.11431837241275</v>
      </c>
      <c r="BI107" s="62">
        <f ca="1">AVERAGE(OFFSET($BH$3,0,0,'Données projet'!$E$11+1,1))-AVERAGE(OFFSET($H$3,0,0,'Données projet'!$E$11+1,1))</f>
        <v>374.62597460242665</v>
      </c>
      <c r="BJ107" s="62">
        <f t="shared" si="92"/>
        <v>277.50105097454616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5.125</v>
      </c>
      <c r="BY107" s="13">
        <f>IF('Données projet'!$A$114&gt;35,BY106+BX107-CG106,IF(A107&lt;'Données projet'!$A$114,$BV$205^A107,IF(A107='Données projet'!$A$114,'Données projet'!$B$114,BY106+BX107-CG106)))</f>
        <v>287.24999999999994</v>
      </c>
      <c r="BZ107" s="14">
        <f>BY107*VLOOKUP('Données projet'!$B$12,Paramètres!$A$1:$I$89,3,0)*VLOOKUP('Données projet'!$B$12,Paramètres!$A$1:$I$89,5,0)</f>
        <v>134.43299999999999</v>
      </c>
      <c r="CA107" s="14">
        <f t="shared" si="93"/>
        <v>35.018687899708247</v>
      </c>
      <c r="CB107" s="22">
        <f t="shared" si="64"/>
        <v>295.12835642532519</v>
      </c>
      <c r="CC107" s="62">
        <f t="shared" si="65"/>
        <v>565.88610179520447</v>
      </c>
      <c r="CD107" s="62">
        <f ca="1">AVERAGE(OFFSET($CC$3,0,0,'Données projet'!$E$12+1,1))-AVERAGE(OFFSET($H$3,0,0,'Données projet'!$E$12+1,1))</f>
        <v>329.79342219561465</v>
      </c>
      <c r="CE107" s="62">
        <f t="shared" si="94"/>
        <v>144.63206563329757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6.8212102632969618E-13</v>
      </c>
      <c r="CU107" s="18">
        <f>CT107*VLOOKUP('Données projet'!$B$13,Paramètres!$A$1:$I$89,3,0)*VLOOKUP('Données projet'!$B$13,Paramètres!$A$1:$I$89,5,0)</f>
        <v>4.0790837374515837E-13</v>
      </c>
      <c r="CV107" s="14">
        <f t="shared" si="95"/>
        <v>5.2028966193600884E-12</v>
      </c>
      <c r="CW107" s="22">
        <f t="shared" si="67"/>
        <v>9.7721520296583044E-12</v>
      </c>
      <c r="CX107" s="62">
        <f t="shared" si="68"/>
        <v>270.75774536988905</v>
      </c>
      <c r="CY107" s="62">
        <f ca="1">AVERAGE(OFFSET($CX$3,0,0,'Données projet'!$E$13+1,1))-AVERAGE(OFFSET($H$3,0,0,'Données projet'!$E$13+1,1))</f>
        <v>530.27599556821826</v>
      </c>
      <c r="CZ107" s="62">
        <f t="shared" si="96"/>
        <v>370.62231794492129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1.0945774733902636E-10</v>
      </c>
      <c r="DI107" s="24">
        <f t="shared" si="69"/>
        <v>1.0945774733902636E-10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317.26968000000005</v>
      </c>
      <c r="DQ107" s="14">
        <f t="shared" si="97"/>
        <v>74.784974484860228</v>
      </c>
      <c r="DR107" s="22">
        <f t="shared" si="70"/>
        <v>682.82852322779843</v>
      </c>
      <c r="DS107" s="62">
        <f t="shared" si="71"/>
        <v>953.58626859767764</v>
      </c>
      <c r="DT107" s="62">
        <f ca="1">AVERAGE(OFFSET($DS$3,0,0,'Données projet'!$E$14+1,1))-AVERAGE(OFFSET($H$3,0,0,'Données projet'!$E$14+1,1))</f>
        <v>520.23742527061836</v>
      </c>
      <c r="DU107" s="62">
        <f t="shared" si="98"/>
        <v>321.35925479331274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-1.1882548278663309E-13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435.44444011810265</v>
      </c>
      <c r="EP107" s="62">
        <f t="shared" si="100"/>
        <v>447.15868732689762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5.4</v>
      </c>
      <c r="FE107" s="13">
        <f>IF('Données projet'!$A$218&gt;35,FE106+FD107-FM106,IF(A107&lt;'Données projet'!$A$218,$FB$205^A107,IF(A107='Données projet'!$A$218,'Données projet'!$B$218,FE106+FD107-FM106)))</f>
        <v>327.59999999999991</v>
      </c>
      <c r="FF107" s="18">
        <f>FE107*VLOOKUP('Données projet'!$B$16,Paramètres!$A$1:$I$89,3,0)*VLOOKUP('Données projet'!$B$16,Paramètres!$A$1:$I$89,5,0)</f>
        <v>332.18639999999994</v>
      </c>
      <c r="FG107" s="14">
        <f t="shared" si="101"/>
        <v>77.88342931194974</v>
      </c>
      <c r="FH107" s="22">
        <f t="shared" si="76"/>
        <v>714.20495271831226</v>
      </c>
      <c r="FI107" s="62">
        <f t="shared" si="77"/>
        <v>984.96269808819147</v>
      </c>
      <c r="FJ107" s="62">
        <f ca="1">AVERAGE(OFFSET($FI$3,0,0,'Données projet'!$E$16+1,1))-AVERAGE(OFFSET($H$3,0,0,'Données projet'!$E$16+1,1))</f>
        <v>547.89540791313675</v>
      </c>
      <c r="FK107" s="62">
        <f t="shared" si="102"/>
        <v>345.19555189302378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>
        <f>FZ107*VLOOKUP('Données projet'!$B$17,Paramètres!$A$1:$I$89,3,0)*VLOOKUP('Données projet'!$B$17,Paramètres!$A$1:$I$89,5,0)</f>
        <v>0</v>
      </c>
      <c r="GB107" s="14" t="e">
        <f t="shared" si="103"/>
        <v>#NUM!</v>
      </c>
      <c r="GC107" s="22" t="e">
        <f t="shared" si="79"/>
        <v>#NUM!</v>
      </c>
      <c r="GD107" s="62" t="e">
        <f t="shared" si="80"/>
        <v>#NUM!</v>
      </c>
      <c r="GE107" s="62">
        <f ca="1">AVERAGE(OFFSET($GD$3,0,0,'Données projet'!$E$17+1,1))-AVERAGE(OFFSET($H$3,0,0,'Données projet'!$E$17+1,1))</f>
        <v>409.68685886029164</v>
      </c>
      <c r="GF107" s="62">
        <f t="shared" si="104"/>
        <v>330.8416508650887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1.8722763419645325E-10</v>
      </c>
      <c r="GO107" s="23">
        <f t="shared" si="81"/>
        <v>1.8722763419645325E-10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73.098184695482075</v>
      </c>
      <c r="T108" s="62">
        <f t="shared" si="88"/>
        <v>334.38551711782793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12.399139925589258</v>
      </c>
      <c r="AA108" s="23">
        <f>EXP(-LN(2)/25)*AA107+(1-EXP(-LN(2)/25))/(LN(2)/25)*Calculateur!V108*Calculateur!X108*VLOOKUP('Données projet'!$B$9,Paramètres!$A$1:$I$89,3,0)*0.475*44/12</f>
        <v>1.7178199172551696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14.116959842844429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70.520400819593021</v>
      </c>
      <c r="AO108" s="62">
        <f t="shared" si="90"/>
        <v>321.48616153644309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11.828627352325951</v>
      </c>
      <c r="AV108" s="23">
        <f>EXP(-LN(2)/25)*AV107+(1-EXP(-LN(2)/25))/(LN(2)/25)*Calculateur!AQ108*Calculateur!AS108*VLOOKUP('Données projet'!$B$10,Paramètres!$A$1:$I$89,3,0)*0.475*44/12</f>
        <v>1.6387791235164335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13.467406475842385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357</v>
      </c>
      <c r="BB108" s="13">
        <f>VLOOKUP(A108,'Données projet'!$A$87:$I$107,9,0)</f>
        <v>8.5555555555555554</v>
      </c>
      <c r="BC108" s="13">
        <f t="array" ref="BC108">INDEX(BB:BB,MIN(IF(ISNUMBER(BB108:BB304),ROW(BB108:BB304),"")))</f>
        <v>8.5555555555555554</v>
      </c>
      <c r="BD108" s="13">
        <f>IF('Données projet'!$A$88&gt;35,BD107+BC108-BL107,IF(A108&lt;'Données projet'!$A$88,$BA$205^A108,IF(A108='Données projet'!$A$88,'Données projet'!$B$88,BD107+BC108-BL107)))</f>
        <v>357.00000000000034</v>
      </c>
      <c r="BE108" s="14">
        <f>BD108*VLOOKUP('Données projet'!$B$11,Paramètres!$A$1:$I$89,3,0)*VLOOKUP('Données projet'!$B$11,Paramètres!$A$1:$I$89,5,0)</f>
        <v>167.07600000000016</v>
      </c>
      <c r="BF108" s="14">
        <f t="shared" si="91"/>
        <v>42.434485059621714</v>
      </c>
      <c r="BG108" s="22">
        <f t="shared" si="61"/>
        <v>364.89742814550806</v>
      </c>
      <c r="BH108" s="62">
        <f t="shared" si="62"/>
        <v>636.04680949509975</v>
      </c>
      <c r="BI108" s="62">
        <f ca="1">AVERAGE(OFFSET($BH$3,0,0,'Données projet'!$E$11+1,1))-AVERAGE(OFFSET($H$3,0,0,'Données projet'!$E$11+1,1))</f>
        <v>374.62597460242665</v>
      </c>
      <c r="BJ108" s="62">
        <f t="shared" si="92"/>
        <v>277.50105097454616</v>
      </c>
      <c r="BK108" s="16">
        <f>IF(ISNA(VLOOKUP(A108,'Données projet'!$A$87:$I$107,3,0)),0,VLOOKUP(A108,'Données projet'!$A$87:$I$107,3,0))</f>
        <v>20</v>
      </c>
      <c r="BL108" s="16">
        <f>IF(ISNA(VLOOKUP(A108,'Données projet'!$A$87:$I$107,4,0)),0,VLOOKUP(A108,'Données projet'!$A$87:$I$107,4,0))</f>
        <v>357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5.125</v>
      </c>
      <c r="BY108" s="13">
        <f>IF('Données projet'!$A$114&gt;35,BY107+BX108-CG107,IF(A108&lt;'Données projet'!$A$114,$BV$205^A108,IF(A108='Données projet'!$A$114,'Données projet'!$B$114,BY107+BX108-CG107)))</f>
        <v>292.37499999999994</v>
      </c>
      <c r="BZ108" s="14">
        <f>BY108*VLOOKUP('Données projet'!$B$12,Paramètres!$A$1:$I$89,3,0)*VLOOKUP('Données projet'!$B$12,Paramètres!$A$1:$I$89,5,0)</f>
        <v>136.83149999999998</v>
      </c>
      <c r="CA108" s="14">
        <f t="shared" si="93"/>
        <v>35.57018239379989</v>
      </c>
      <c r="CB108" s="22">
        <f t="shared" si="64"/>
        <v>300.26626350253474</v>
      </c>
      <c r="CC108" s="62">
        <f t="shared" si="65"/>
        <v>571.41564485212643</v>
      </c>
      <c r="CD108" s="62">
        <f ca="1">AVERAGE(OFFSET($CC$3,0,0,'Données projet'!$E$12+1,1))-AVERAGE(OFFSET($H$3,0,0,'Données projet'!$E$12+1,1))</f>
        <v>329.79342219561465</v>
      </c>
      <c r="CE108" s="62">
        <f t="shared" si="94"/>
        <v>144.63206563329757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6.8212102632969618E-13</v>
      </c>
      <c r="CU108" s="18">
        <f>CT108*VLOOKUP('Données projet'!$B$13,Paramètres!$A$1:$I$89,3,0)*VLOOKUP('Données projet'!$B$13,Paramètres!$A$1:$I$89,5,0)</f>
        <v>4.0790837374515837E-13</v>
      </c>
      <c r="CV108" s="14">
        <f t="shared" si="95"/>
        <v>5.2028966193600884E-12</v>
      </c>
      <c r="CW108" s="22">
        <f t="shared" si="67"/>
        <v>9.7721520296583044E-12</v>
      </c>
      <c r="CX108" s="62">
        <f t="shared" si="68"/>
        <v>271.14938134960147</v>
      </c>
      <c r="CY108" s="62">
        <f ca="1">AVERAGE(OFFSET($CX$3,0,0,'Données projet'!$E$13+1,1))-AVERAGE(OFFSET($H$3,0,0,'Données projet'!$E$13+1,1))</f>
        <v>530.27599556821826</v>
      </c>
      <c r="CZ108" s="62">
        <f t="shared" si="96"/>
        <v>370.62231794492129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7.7398315396829316E-11</v>
      </c>
      <c r="DI108" s="24">
        <f t="shared" si="69"/>
        <v>7.7398315396829316E-11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322.28040000000004</v>
      </c>
      <c r="DQ108" s="14">
        <f t="shared" si="97"/>
        <v>75.827638961344363</v>
      </c>
      <c r="DR108" s="22">
        <f t="shared" si="70"/>
        <v>693.37150119100806</v>
      </c>
      <c r="DS108" s="62">
        <f t="shared" si="71"/>
        <v>964.52088254059981</v>
      </c>
      <c r="DT108" s="62">
        <f ca="1">AVERAGE(OFFSET($DS$3,0,0,'Données projet'!$E$14+1,1))-AVERAGE(OFFSET($H$3,0,0,'Données projet'!$E$14+1,1))</f>
        <v>520.23742527061836</v>
      </c>
      <c r="DU108" s="62">
        <f t="shared" si="98"/>
        <v>321.35925479331274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-1.1882548278663309E-13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435.44444011810265</v>
      </c>
      <c r="EP108" s="62">
        <f t="shared" si="100"/>
        <v>447.15868732689762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333</v>
      </c>
      <c r="FC108" s="13">
        <f>VLOOKUP(A108,'Données projet'!$A$217:$I$237,9,0)</f>
        <v>5.4</v>
      </c>
      <c r="FD108" s="13">
        <f t="array" ref="FD108">INDEX(FC:FC,MIN(IF(ISNUMBER(FC108:FC304),ROW(FC108:FC304),"")))</f>
        <v>5.4</v>
      </c>
      <c r="FE108" s="13">
        <f>IF('Données projet'!$A$218&gt;35,FE107+FD108-FM107,IF(A108&lt;'Données projet'!$A$218,$FB$205^A108,IF(A108='Données projet'!$A$218,'Données projet'!$B$218,FE107+FD108-FM107)))</f>
        <v>332.99999999999989</v>
      </c>
      <c r="FF108" s="18">
        <f>FE108*VLOOKUP('Données projet'!$B$16,Paramètres!$A$1:$I$89,3,0)*VLOOKUP('Données projet'!$B$16,Paramètres!$A$1:$I$89,5,0)</f>
        <v>337.66199999999992</v>
      </c>
      <c r="FG108" s="14">
        <f t="shared" si="101"/>
        <v>79.016707002632685</v>
      </c>
      <c r="FH108" s="22">
        <f t="shared" si="76"/>
        <v>725.71541469625174</v>
      </c>
      <c r="FI108" s="62">
        <f t="shared" si="77"/>
        <v>996.86479604584338</v>
      </c>
      <c r="FJ108" s="62">
        <f ca="1">AVERAGE(OFFSET($FI$3,0,0,'Données projet'!$E$16+1,1))-AVERAGE(OFFSET($H$3,0,0,'Données projet'!$E$16+1,1))</f>
        <v>547.89540791313675</v>
      </c>
      <c r="FK108" s="62">
        <f t="shared" si="102"/>
        <v>345.19555189302378</v>
      </c>
      <c r="FL108" s="16">
        <f>IF(ISNA(VLOOKUP(A108,'Données projet'!$A$217:$I$237,3,0)),0,VLOOKUP(A108,'Données projet'!$A$217:$I$237,3,0))</f>
        <v>18</v>
      </c>
      <c r="FM108" s="16">
        <f>IF(ISNA(VLOOKUP(A108,'Données projet'!$A$217:$I$237,4,0)),0,VLOOKUP(A108,'Données projet'!$A$217:$I$237,4,0))</f>
        <v>26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>
        <f>FZ108*VLOOKUP('Données projet'!$B$17,Paramètres!$A$1:$I$89,3,0)*VLOOKUP('Données projet'!$B$17,Paramètres!$A$1:$I$89,5,0)</f>
        <v>0</v>
      </c>
      <c r="GB108" s="14" t="e">
        <f t="shared" si="103"/>
        <v>#NUM!</v>
      </c>
      <c r="GC108" s="22" t="e">
        <f t="shared" si="79"/>
        <v>#NUM!</v>
      </c>
      <c r="GD108" s="62" t="e">
        <f t="shared" si="80"/>
        <v>#NUM!</v>
      </c>
      <c r="GE108" s="62">
        <f ca="1">AVERAGE(OFFSET($GD$3,0,0,'Données projet'!$E$17+1,1))-AVERAGE(OFFSET($H$3,0,0,'Données projet'!$E$17+1,1))</f>
        <v>409.68685886029164</v>
      </c>
      <c r="GF108" s="62">
        <f t="shared" si="104"/>
        <v>330.8416508650887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1.3238992976582643E-10</v>
      </c>
      <c r="GO108" s="23">
        <f t="shared" si="81"/>
        <v>1.3238992976582643E-10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73.098184695482075</v>
      </c>
      <c r="T109" s="62">
        <f t="shared" si="88"/>
        <v>334.38551711782793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12.156000354377051</v>
      </c>
      <c r="AA109" s="23">
        <f>EXP(-LN(2)/25)*AA108+(1-EXP(-LN(2)/25))/(LN(2)/25)*Calculateur!V109*Calculateur!X109*VLOOKUP('Données projet'!$B$9,Paramètres!$A$1:$I$89,3,0)*0.475*44/12</f>
        <v>1.6708460412816037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13.826846395658654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70.520400819593021</v>
      </c>
      <c r="AO109" s="62">
        <f t="shared" si="90"/>
        <v>321.48616153644309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11.596675184697126</v>
      </c>
      <c r="AV109" s="23">
        <f>EXP(-LN(2)/25)*AV108+(1-EXP(-LN(2)/25))/(LN(2)/25)*Calculateur!AQ109*Calculateur!AS109*VLOOKUP('Données projet'!$B$10,Paramètres!$A$1:$I$89,3,0)*0.475*44/12</f>
        <v>1.5939666222042279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13.190641806901354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1.5961632016114892E-13</v>
      </c>
      <c r="BF109" s="14">
        <f t="shared" si="91"/>
        <v>2.2708641912150958E-12</v>
      </c>
      <c r="BG109" s="22">
        <f t="shared" si="61"/>
        <v>4.2330868906469593E-12</v>
      </c>
      <c r="BH109" s="62">
        <f t="shared" si="62"/>
        <v>271.53422332062718</v>
      </c>
      <c r="BI109" s="62">
        <f ca="1">AVERAGE(OFFSET($BH$3,0,0,'Données projet'!$E$11+1,1))-AVERAGE(OFFSET($H$3,0,0,'Données projet'!$E$11+1,1))</f>
        <v>374.62597460242665</v>
      </c>
      <c r="BJ109" s="62">
        <f t="shared" si="92"/>
        <v>277.50105097454616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5.125</v>
      </c>
      <c r="BY109" s="13">
        <f>IF('Données projet'!$A$114&gt;35,BY108+BX109-CG108,IF(A109&lt;'Données projet'!$A$114,$BV$205^A109,IF(A109='Données projet'!$A$114,'Données projet'!$B$114,BY108+BX109-CG108)))</f>
        <v>297.49999999999994</v>
      </c>
      <c r="BZ109" s="14">
        <f>BY109*VLOOKUP('Données projet'!$B$12,Paramètres!$A$1:$I$89,3,0)*VLOOKUP('Données projet'!$B$12,Paramètres!$A$1:$I$89,5,0)</f>
        <v>139.22999999999999</v>
      </c>
      <c r="CA109" s="14">
        <f t="shared" si="93"/>
        <v>36.120552727378737</v>
      </c>
      <c r="CB109" s="22">
        <f t="shared" si="64"/>
        <v>305.40221266685126</v>
      </c>
      <c r="CC109" s="62">
        <f t="shared" si="65"/>
        <v>576.93643598747417</v>
      </c>
      <c r="CD109" s="62">
        <f ca="1">AVERAGE(OFFSET($CC$3,0,0,'Données projet'!$E$12+1,1))-AVERAGE(OFFSET($H$3,0,0,'Données projet'!$E$12+1,1))</f>
        <v>329.79342219561465</v>
      </c>
      <c r="CE109" s="62">
        <f t="shared" si="94"/>
        <v>144.63206563329757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6.8212102632969618E-13</v>
      </c>
      <c r="CU109" s="18">
        <f>CT109*VLOOKUP('Données projet'!$B$13,Paramètres!$A$1:$I$89,3,0)*VLOOKUP('Données projet'!$B$13,Paramètres!$A$1:$I$89,5,0)</f>
        <v>4.0790837374515837E-13</v>
      </c>
      <c r="CV109" s="14">
        <f t="shared" si="95"/>
        <v>5.2028966193600884E-12</v>
      </c>
      <c r="CW109" s="22">
        <f t="shared" si="67"/>
        <v>9.7721520296583044E-12</v>
      </c>
      <c r="CX109" s="62">
        <f t="shared" si="68"/>
        <v>271.53422332063275</v>
      </c>
      <c r="CY109" s="62">
        <f ca="1">AVERAGE(OFFSET($CX$3,0,0,'Données projet'!$E$13+1,1))-AVERAGE(OFFSET($H$3,0,0,'Données projet'!$E$13+1,1))</f>
        <v>530.27599556821826</v>
      </c>
      <c r="CZ109" s="62">
        <f t="shared" si="96"/>
        <v>370.62231794492129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5.472887366951318E-11</v>
      </c>
      <c r="DI109" s="24">
        <f t="shared" si="69"/>
        <v>5.472887366951318E-11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304.28735999999998</v>
      </c>
      <c r="DQ109" s="14">
        <f t="shared" si="97"/>
        <v>72.074515185882774</v>
      </c>
      <c r="DR109" s="22">
        <f t="shared" si="70"/>
        <v>655.49693261541245</v>
      </c>
      <c r="DS109" s="62">
        <f t="shared" si="71"/>
        <v>927.03115593603547</v>
      </c>
      <c r="DT109" s="62">
        <f ca="1">AVERAGE(OFFSET($DS$3,0,0,'Données projet'!$E$14+1,1))-AVERAGE(OFFSET($H$3,0,0,'Données projet'!$E$14+1,1))</f>
        <v>520.23742527061836</v>
      </c>
      <c r="DU109" s="62">
        <f t="shared" si="98"/>
        <v>321.35925479331274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-1.1882548278663309E-13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435.44444011810265</v>
      </c>
      <c r="EP109" s="62">
        <f t="shared" si="100"/>
        <v>447.15868732689762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5</v>
      </c>
      <c r="FE109" s="13">
        <f>IF('Données projet'!$A$218&gt;35,FE108+FD109-FM108,IF(A109&lt;'Données projet'!$A$218,$FB$205^A109,IF(A109='Données projet'!$A$218,'Données projet'!$B$218,FE108+FD109-FM108)))</f>
        <v>311.99999999999989</v>
      </c>
      <c r="FF109" s="18">
        <f>FE109*VLOOKUP('Données projet'!$B$16,Paramètres!$A$1:$I$89,3,0)*VLOOKUP('Données projet'!$B$16,Paramètres!$A$1:$I$89,5,0)</f>
        <v>316.36799999999988</v>
      </c>
      <c r="FG109" s="14">
        <f t="shared" si="101"/>
        <v>74.597144109003438</v>
      </c>
      <c r="FH109" s="22">
        <f t="shared" si="76"/>
        <v>680.93095932318067</v>
      </c>
      <c r="FI109" s="62">
        <f t="shared" si="77"/>
        <v>952.4651826438037</v>
      </c>
      <c r="FJ109" s="62">
        <f ca="1">AVERAGE(OFFSET($FI$3,0,0,'Données projet'!$E$16+1,1))-AVERAGE(OFFSET($H$3,0,0,'Données projet'!$E$16+1,1))</f>
        <v>547.89540791313675</v>
      </c>
      <c r="FK109" s="62">
        <f t="shared" si="102"/>
        <v>345.19555189302378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>
        <f>FZ109*VLOOKUP('Données projet'!$B$17,Paramètres!$A$1:$I$89,3,0)*VLOOKUP('Données projet'!$B$17,Paramètres!$A$1:$I$89,5,0)</f>
        <v>0</v>
      </c>
      <c r="GB109" s="14" t="e">
        <f t="shared" si="103"/>
        <v>#NUM!</v>
      </c>
      <c r="GC109" s="22" t="e">
        <f t="shared" si="79"/>
        <v>#NUM!</v>
      </c>
      <c r="GD109" s="62" t="e">
        <f t="shared" si="80"/>
        <v>#NUM!</v>
      </c>
      <c r="GE109" s="62">
        <f ca="1">AVERAGE(OFFSET($GD$3,0,0,'Données projet'!$E$17+1,1))-AVERAGE(OFFSET($H$3,0,0,'Données projet'!$E$17+1,1))</f>
        <v>409.68685886029164</v>
      </c>
      <c r="GF109" s="62">
        <f t="shared" si="104"/>
        <v>330.8416508650887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9.3613817098226625E-11</v>
      </c>
      <c r="GO109" s="23">
        <f t="shared" si="81"/>
        <v>9.3613817098226625E-11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73.098184695482075</v>
      </c>
      <c r="T110" s="62">
        <f t="shared" si="88"/>
        <v>334.38551711782793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11.917628601855819</v>
      </c>
      <c r="AA110" s="23">
        <f>EXP(-LN(2)/25)*AA109+(1-EXP(-LN(2)/25))/(LN(2)/25)*Calculateur!V110*Calculateur!X110*VLOOKUP('Données projet'!$B$9,Paramètres!$A$1:$I$89,3,0)*0.475*44/12</f>
        <v>1.6251566684167837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13.542785270272603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70.520400819593021</v>
      </c>
      <c r="AO110" s="62">
        <f t="shared" si="90"/>
        <v>321.48616153644309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11.36927145759865</v>
      </c>
      <c r="AV110" s="23">
        <f>EXP(-LN(2)/25)*AV109+(1-EXP(-LN(2)/25))/(LN(2)/25)*Calculateur!AQ110*Calculateur!AS110*VLOOKUP('Données projet'!$B$10,Paramètres!$A$1:$I$89,3,0)*0.475*44/12</f>
        <v>1.5503795210969917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12.919650978695643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1.5961632016114892E-13</v>
      </c>
      <c r="BF110" s="14">
        <f t="shared" si="91"/>
        <v>2.2708641912150958E-12</v>
      </c>
      <c r="BG110" s="22">
        <f t="shared" si="61"/>
        <v>4.2330868906469593E-12</v>
      </c>
      <c r="BH110" s="62">
        <f t="shared" si="62"/>
        <v>271.91238914383882</v>
      </c>
      <c r="BI110" s="62">
        <f ca="1">AVERAGE(OFFSET($BH$3,0,0,'Données projet'!$E$11+1,1))-AVERAGE(OFFSET($H$3,0,0,'Données projet'!$E$11+1,1))</f>
        <v>374.62597460242665</v>
      </c>
      <c r="BJ110" s="62">
        <f t="shared" si="92"/>
        <v>277.50105097454616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5.125</v>
      </c>
      <c r="BY110" s="13">
        <f>IF('Données projet'!$A$114&gt;35,BY109+BX110-CG109,IF(A110&lt;'Données projet'!$A$114,$BV$205^A110,IF(A110='Données projet'!$A$114,'Données projet'!$B$114,BY109+BX110-CG109)))</f>
        <v>302.62499999999994</v>
      </c>
      <c r="BZ110" s="14">
        <f>BY110*VLOOKUP('Données projet'!$B$12,Paramètres!$A$1:$I$89,3,0)*VLOOKUP('Données projet'!$B$12,Paramètres!$A$1:$I$89,5,0)</f>
        <v>141.62849999999997</v>
      </c>
      <c r="CA110" s="14">
        <f t="shared" si="93"/>
        <v>36.669820500904727</v>
      </c>
      <c r="CB110" s="22">
        <f t="shared" si="64"/>
        <v>310.53624153907566</v>
      </c>
      <c r="CC110" s="62">
        <f t="shared" si="65"/>
        <v>582.44863068291033</v>
      </c>
      <c r="CD110" s="62">
        <f ca="1">AVERAGE(OFFSET($CC$3,0,0,'Données projet'!$E$12+1,1))-AVERAGE(OFFSET($H$3,0,0,'Données projet'!$E$12+1,1))</f>
        <v>329.79342219561465</v>
      </c>
      <c r="CE110" s="62">
        <f t="shared" si="94"/>
        <v>144.63206563329757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6.8212102632969618E-13</v>
      </c>
      <c r="CU110" s="18">
        <f>CT110*VLOOKUP('Données projet'!$B$13,Paramètres!$A$1:$I$89,3,0)*VLOOKUP('Données projet'!$B$13,Paramètres!$A$1:$I$89,5,0)</f>
        <v>4.0790837374515837E-13</v>
      </c>
      <c r="CV110" s="14">
        <f t="shared" si="95"/>
        <v>5.2028966193600884E-12</v>
      </c>
      <c r="CW110" s="22">
        <f t="shared" si="67"/>
        <v>9.7721520296583044E-12</v>
      </c>
      <c r="CX110" s="62">
        <f t="shared" si="68"/>
        <v>271.91238914384439</v>
      </c>
      <c r="CY110" s="62">
        <f ca="1">AVERAGE(OFFSET($CX$3,0,0,'Données projet'!$E$13+1,1))-AVERAGE(OFFSET($H$3,0,0,'Données projet'!$E$13+1,1))</f>
        <v>530.27599556821826</v>
      </c>
      <c r="CZ110" s="62">
        <f t="shared" si="96"/>
        <v>370.62231794492129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3.8699157698414658E-11</v>
      </c>
      <c r="DI110" s="24">
        <f t="shared" si="69"/>
        <v>3.8699157698414658E-11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309.07031999999998</v>
      </c>
      <c r="DQ110" s="14">
        <f t="shared" si="97"/>
        <v>73.074642059961803</v>
      </c>
      <c r="DR110" s="22">
        <f t="shared" si="70"/>
        <v>665.56914225443347</v>
      </c>
      <c r="DS110" s="62">
        <f t="shared" si="71"/>
        <v>937.48153139826809</v>
      </c>
      <c r="DT110" s="62">
        <f ca="1">AVERAGE(OFFSET($DS$3,0,0,'Données projet'!$E$14+1,1))-AVERAGE(OFFSET($H$3,0,0,'Données projet'!$E$14+1,1))</f>
        <v>520.23742527061836</v>
      </c>
      <c r="DU110" s="62">
        <f t="shared" si="98"/>
        <v>321.35925479331274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-1.1882548278663309E-13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435.44444011810265</v>
      </c>
      <c r="EP110" s="62">
        <f t="shared" si="100"/>
        <v>447.15868732689762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5</v>
      </c>
      <c r="FE110" s="13">
        <f>IF('Données projet'!$A$218&gt;35,FE109+FD110-FM109,IF(A110&lt;'Données projet'!$A$218,$FB$205^A110,IF(A110='Données projet'!$A$218,'Données projet'!$B$218,FE109+FD110-FM109)))</f>
        <v>316.99999999999989</v>
      </c>
      <c r="FF110" s="18">
        <f>FE110*VLOOKUP('Données projet'!$B$16,Paramètres!$A$1:$I$89,3,0)*VLOOKUP('Données projet'!$B$16,Paramètres!$A$1:$I$89,5,0)</f>
        <v>321.43799999999987</v>
      </c>
      <c r="FG110" s="14">
        <f t="shared" si="101"/>
        <v>75.652479406660177</v>
      </c>
      <c r="FH110" s="22">
        <f t="shared" si="76"/>
        <v>691.59925163326625</v>
      </c>
      <c r="FI110" s="62">
        <f t="shared" si="77"/>
        <v>963.51164077710087</v>
      </c>
      <c r="FJ110" s="62">
        <f ca="1">AVERAGE(OFFSET($FI$3,0,0,'Données projet'!$E$16+1,1))-AVERAGE(OFFSET($H$3,0,0,'Données projet'!$E$16+1,1))</f>
        <v>547.89540791313675</v>
      </c>
      <c r="FK110" s="62">
        <f t="shared" si="102"/>
        <v>345.19555189302378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>
        <f>FZ110*VLOOKUP('Données projet'!$B$17,Paramètres!$A$1:$I$89,3,0)*VLOOKUP('Données projet'!$B$17,Paramètres!$A$1:$I$89,5,0)</f>
        <v>0</v>
      </c>
      <c r="GB110" s="14" t="e">
        <f t="shared" si="103"/>
        <v>#NUM!</v>
      </c>
      <c r="GC110" s="22" t="e">
        <f t="shared" si="79"/>
        <v>#NUM!</v>
      </c>
      <c r="GD110" s="62" t="e">
        <f t="shared" si="80"/>
        <v>#NUM!</v>
      </c>
      <c r="GE110" s="62">
        <f ca="1">AVERAGE(OFFSET($GD$3,0,0,'Données projet'!$E$17+1,1))-AVERAGE(OFFSET($H$3,0,0,'Données projet'!$E$17+1,1))</f>
        <v>409.68685886029164</v>
      </c>
      <c r="GF110" s="62">
        <f t="shared" si="104"/>
        <v>330.8416508650887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6.6194964882913214E-11</v>
      </c>
      <c r="GO110" s="23">
        <f t="shared" si="81"/>
        <v>6.6194964882913214E-11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73.098184695482075</v>
      </c>
      <c r="T111" s="62">
        <f t="shared" si="88"/>
        <v>334.38551711782793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11.683931174009116</v>
      </c>
      <c r="AA111" s="23">
        <f>EXP(-LN(2)/25)*AA110+(1-EXP(-LN(2)/25))/(LN(2)/25)*Calculateur!V111*Calculateur!X111*VLOOKUP('Données projet'!$B$9,Paramètres!$A$1:$I$89,3,0)*0.475*44/12</f>
        <v>1.580716673855652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13.264647847864769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70.520400819593021</v>
      </c>
      <c r="AO111" s="62">
        <f t="shared" si="90"/>
        <v>321.48616153644309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11.146326978885998</v>
      </c>
      <c r="AV111" s="23">
        <f>EXP(-LN(2)/25)*AV110+(1-EXP(-LN(2)/25))/(LN(2)/25)*Calculateur!AQ111*Calculateur!AS111*VLOOKUP('Données projet'!$B$10,Paramètres!$A$1:$I$89,3,0)*0.475*44/12</f>
        <v>1.5079843115616789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12.654311290447676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1.5961632016114892E-13</v>
      </c>
      <c r="BF111" s="14">
        <f t="shared" si="91"/>
        <v>2.2708641912150958E-12</v>
      </c>
      <c r="BG111" s="22">
        <f t="shared" si="61"/>
        <v>4.2330868906469593E-12</v>
      </c>
      <c r="BH111" s="62">
        <f t="shared" si="62"/>
        <v>272.28399463546992</v>
      </c>
      <c r="BI111" s="62">
        <f ca="1">AVERAGE(OFFSET($BH$3,0,0,'Données projet'!$E$11+1,1))-AVERAGE(OFFSET($H$3,0,0,'Données projet'!$E$11+1,1))</f>
        <v>374.62597460242665</v>
      </c>
      <c r="BJ111" s="62">
        <f t="shared" si="92"/>
        <v>277.50105097454616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5.125</v>
      </c>
      <c r="BY111" s="13">
        <f>IF('Données projet'!$A$114&gt;35,BY110+BX111-CG110,IF(A111&lt;'Données projet'!$A$114,$BV$205^A111,IF(A111='Données projet'!$A$114,'Données projet'!$B$114,BY110+BX111-CG110)))</f>
        <v>307.74999999999994</v>
      </c>
      <c r="BZ111" s="14">
        <f>BY111*VLOOKUP('Données projet'!$B$12,Paramètres!$A$1:$I$89,3,0)*VLOOKUP('Données projet'!$B$12,Paramètres!$A$1:$I$89,5,0)</f>
        <v>144.02699999999999</v>
      </c>
      <c r="CA111" s="14">
        <f t="shared" si="93"/>
        <v>37.218006541295885</v>
      </c>
      <c r="CB111" s="22">
        <f t="shared" si="64"/>
        <v>315.66838639275699</v>
      </c>
      <c r="CC111" s="62">
        <f t="shared" si="65"/>
        <v>587.9523810282227</v>
      </c>
      <c r="CD111" s="62">
        <f ca="1">AVERAGE(OFFSET($CC$3,0,0,'Données projet'!$E$12+1,1))-AVERAGE(OFFSET($H$3,0,0,'Données projet'!$E$12+1,1))</f>
        <v>329.79342219561465</v>
      </c>
      <c r="CE111" s="62">
        <f t="shared" si="94"/>
        <v>144.63206563329757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6.8212102632969618E-13</v>
      </c>
      <c r="CU111" s="18">
        <f>CT111*VLOOKUP('Données projet'!$B$13,Paramètres!$A$1:$I$89,3,0)*VLOOKUP('Données projet'!$B$13,Paramètres!$A$1:$I$89,5,0)</f>
        <v>4.0790837374515837E-13</v>
      </c>
      <c r="CV111" s="14">
        <f t="shared" si="95"/>
        <v>5.2028966193600884E-12</v>
      </c>
      <c r="CW111" s="22">
        <f t="shared" si="67"/>
        <v>9.7721520296583044E-12</v>
      </c>
      <c r="CX111" s="62">
        <f t="shared" si="68"/>
        <v>272.28399463547549</v>
      </c>
      <c r="CY111" s="62">
        <f ca="1">AVERAGE(OFFSET($CX$3,0,0,'Données projet'!$E$13+1,1))-AVERAGE(OFFSET($H$3,0,0,'Données projet'!$E$13+1,1))</f>
        <v>530.27599556821826</v>
      </c>
      <c r="CZ111" s="62">
        <f t="shared" si="96"/>
        <v>370.62231794492129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2.736443683475659E-11</v>
      </c>
      <c r="DI111" s="24">
        <f t="shared" si="69"/>
        <v>2.736443683475659E-11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313.85327999999993</v>
      </c>
      <c r="DQ111" s="14">
        <f t="shared" si="97"/>
        <v>74.072968924700987</v>
      </c>
      <c r="DR111" s="22">
        <f t="shared" si="70"/>
        <v>675.63821687718735</v>
      </c>
      <c r="DS111" s="62">
        <f t="shared" si="71"/>
        <v>947.92221151265312</v>
      </c>
      <c r="DT111" s="62">
        <f ca="1">AVERAGE(OFFSET($DS$3,0,0,'Données projet'!$E$14+1,1))-AVERAGE(OFFSET($H$3,0,0,'Données projet'!$E$14+1,1))</f>
        <v>520.23742527061836</v>
      </c>
      <c r="DU111" s="62">
        <f t="shared" si="98"/>
        <v>321.35925479331274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-1.1882548278663309E-13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435.44444011810265</v>
      </c>
      <c r="EP111" s="62">
        <f t="shared" si="100"/>
        <v>447.15868732689762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5</v>
      </c>
      <c r="FE111" s="13">
        <f>IF('Données projet'!$A$218&gt;35,FE110+FD111-FM110,IF(A111&lt;'Données projet'!$A$218,$FB$205^A111,IF(A111='Données projet'!$A$218,'Données projet'!$B$218,FE110+FD111-FM110)))</f>
        <v>321.99999999999989</v>
      </c>
      <c r="FF111" s="18">
        <f>FE111*VLOOKUP('Données projet'!$B$16,Paramètres!$A$1:$I$89,3,0)*VLOOKUP('Données projet'!$B$16,Paramètres!$A$1:$I$89,5,0)</f>
        <v>326.50799999999987</v>
      </c>
      <c r="FG111" s="14">
        <f t="shared" si="101"/>
        <v>76.705878841344258</v>
      </c>
      <c r="FH111" s="22">
        <f t="shared" si="76"/>
        <v>702.26417231534106</v>
      </c>
      <c r="FI111" s="62">
        <f t="shared" si="77"/>
        <v>974.54816695080672</v>
      </c>
      <c r="FJ111" s="62">
        <f ca="1">AVERAGE(OFFSET($FI$3,0,0,'Données projet'!$E$16+1,1))-AVERAGE(OFFSET($H$3,0,0,'Données projet'!$E$16+1,1))</f>
        <v>547.89540791313675</v>
      </c>
      <c r="FK111" s="62">
        <f t="shared" si="102"/>
        <v>345.19555189302378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>
        <f>FZ111*VLOOKUP('Données projet'!$B$17,Paramètres!$A$1:$I$89,3,0)*VLOOKUP('Données projet'!$B$17,Paramètres!$A$1:$I$89,5,0)</f>
        <v>0</v>
      </c>
      <c r="GB111" s="14" t="e">
        <f t="shared" si="103"/>
        <v>#NUM!</v>
      </c>
      <c r="GC111" s="22" t="e">
        <f t="shared" si="79"/>
        <v>#NUM!</v>
      </c>
      <c r="GD111" s="62" t="e">
        <f t="shared" si="80"/>
        <v>#NUM!</v>
      </c>
      <c r="GE111" s="62">
        <f ca="1">AVERAGE(OFFSET($GD$3,0,0,'Données projet'!$E$17+1,1))-AVERAGE(OFFSET($H$3,0,0,'Données projet'!$E$17+1,1))</f>
        <v>409.68685886029164</v>
      </c>
      <c r="GF111" s="62">
        <f t="shared" si="104"/>
        <v>330.8416508650887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4.6806908549113313E-11</v>
      </c>
      <c r="GO111" s="23">
        <f t="shared" si="81"/>
        <v>4.6806908549113313E-11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73.098184695482075</v>
      </c>
      <c r="T112" s="62">
        <f t="shared" si="88"/>
        <v>334.38551711782793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11.454816410181131</v>
      </c>
      <c r="AA112" s="23">
        <f>EXP(-LN(2)/25)*AA111+(1-EXP(-LN(2)/25))/(LN(2)/25)*Calculateur!V112*Calculateur!X112*VLOOKUP('Données projet'!$B$9,Paramètres!$A$1:$I$89,3,0)*0.475*44/12</f>
        <v>1.5374918932827921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12.992308303463924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70.520400819593021</v>
      </c>
      <c r="AO112" s="62">
        <f t="shared" si="90"/>
        <v>321.48616153644309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10.927754305418196</v>
      </c>
      <c r="AV112" s="23">
        <f>EXP(-LN(2)/25)*AV111+(1-EXP(-LN(2)/25))/(LN(2)/25)*Calculateur!AQ112*Calculateur!AS112*VLOOKUP('Données projet'!$B$10,Paramètres!$A$1:$I$89,3,0)*0.475*44/12</f>
        <v>1.4667484012605765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12.394502706678772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1.5961632016114892E-13</v>
      </c>
      <c r="BF112" s="14">
        <f t="shared" si="91"/>
        <v>2.2708641912150958E-12</v>
      </c>
      <c r="BG112" s="22">
        <f t="shared" si="61"/>
        <v>4.2330868906469593E-12</v>
      </c>
      <c r="BH112" s="62">
        <f t="shared" si="62"/>
        <v>272.64915360260653</v>
      </c>
      <c r="BI112" s="62">
        <f ca="1">AVERAGE(OFFSET($BH$3,0,0,'Données projet'!$E$11+1,1))-AVERAGE(OFFSET($H$3,0,0,'Données projet'!$E$11+1,1))</f>
        <v>374.62597460242665</v>
      </c>
      <c r="BJ112" s="62">
        <f t="shared" si="92"/>
        <v>277.50105097454616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5.125</v>
      </c>
      <c r="BY112" s="13">
        <f>IF('Données projet'!$A$114&gt;35,BY111+BX112-CG111,IF(A112&lt;'Données projet'!$A$114,$BV$205^A112,IF(A112='Données projet'!$A$114,'Données projet'!$B$114,BY111+BX112-CG111)))</f>
        <v>312.87499999999994</v>
      </c>
      <c r="BZ112" s="14">
        <f>BY112*VLOOKUP('Données projet'!$B$12,Paramètres!$A$1:$I$89,3,0)*VLOOKUP('Données projet'!$B$12,Paramètres!$A$1:$I$89,5,0)</f>
        <v>146.42549999999997</v>
      </c>
      <c r="CA112" s="14">
        <f t="shared" si="93"/>
        <v>37.765130942041765</v>
      </c>
      <c r="CB112" s="22">
        <f t="shared" si="64"/>
        <v>320.79868222405599</v>
      </c>
      <c r="CC112" s="62">
        <f t="shared" si="65"/>
        <v>593.44783582665832</v>
      </c>
      <c r="CD112" s="62">
        <f ca="1">AVERAGE(OFFSET($CC$3,0,0,'Données projet'!$E$12+1,1))-AVERAGE(OFFSET($H$3,0,0,'Données projet'!$E$12+1,1))</f>
        <v>329.79342219561465</v>
      </c>
      <c r="CE112" s="62">
        <f t="shared" si="94"/>
        <v>144.63206563329757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6.8212102632969618E-13</v>
      </c>
      <c r="CU112" s="18">
        <f>CT112*VLOOKUP('Données projet'!$B$13,Paramètres!$A$1:$I$89,3,0)*VLOOKUP('Données projet'!$B$13,Paramètres!$A$1:$I$89,5,0)</f>
        <v>4.0790837374515837E-13</v>
      </c>
      <c r="CV112" s="14">
        <f t="shared" si="95"/>
        <v>5.2028966193600884E-12</v>
      </c>
      <c r="CW112" s="22">
        <f t="shared" si="67"/>
        <v>9.7721520296583044E-12</v>
      </c>
      <c r="CX112" s="62">
        <f t="shared" si="68"/>
        <v>272.6491536026121</v>
      </c>
      <c r="CY112" s="62">
        <f ca="1">AVERAGE(OFFSET($CX$3,0,0,'Données projet'!$E$13+1,1))-AVERAGE(OFFSET($H$3,0,0,'Données projet'!$E$13+1,1))</f>
        <v>530.27599556821826</v>
      </c>
      <c r="CZ112" s="62">
        <f t="shared" si="96"/>
        <v>370.62231794492129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1.9349578849207329E-11</v>
      </c>
      <c r="DI112" s="24">
        <f t="shared" si="69"/>
        <v>1.9349578849207329E-11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318.63623999999993</v>
      </c>
      <c r="DQ112" s="14">
        <f t="shared" si="97"/>
        <v>75.069526379533471</v>
      </c>
      <c r="DR112" s="22">
        <f t="shared" si="70"/>
        <v>685.70420977768742</v>
      </c>
      <c r="DS112" s="62">
        <f t="shared" si="71"/>
        <v>958.35336338028969</v>
      </c>
      <c r="DT112" s="62">
        <f ca="1">AVERAGE(OFFSET($DS$3,0,0,'Données projet'!$E$14+1,1))-AVERAGE(OFFSET($H$3,0,0,'Données projet'!$E$14+1,1))</f>
        <v>520.23742527061836</v>
      </c>
      <c r="DU112" s="62">
        <f t="shared" si="98"/>
        <v>321.35925479331274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-1.1882548278663309E-13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435.44444011810265</v>
      </c>
      <c r="EP112" s="62">
        <f t="shared" si="100"/>
        <v>447.15868732689762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5</v>
      </c>
      <c r="FE112" s="13">
        <f>IF('Données projet'!$A$218&gt;35,FE111+FD112-FM111,IF(A112&lt;'Données projet'!$A$218,$FB$205^A112,IF(A112='Données projet'!$A$218,'Données projet'!$B$218,FE111+FD112-FM111)))</f>
        <v>326.99999999999989</v>
      </c>
      <c r="FF112" s="18">
        <f>FE112*VLOOKUP('Données projet'!$B$16,Paramètres!$A$1:$I$89,3,0)*VLOOKUP('Données projet'!$B$16,Paramètres!$A$1:$I$89,5,0)</f>
        <v>331.57799999999992</v>
      </c>
      <c r="FG112" s="14">
        <f t="shared" si="101"/>
        <v>77.75737594442586</v>
      </c>
      <c r="FH112" s="22">
        <f t="shared" si="76"/>
        <v>712.92577976987479</v>
      </c>
      <c r="FI112" s="62">
        <f t="shared" si="77"/>
        <v>985.57493337247706</v>
      </c>
      <c r="FJ112" s="62">
        <f ca="1">AVERAGE(OFFSET($FI$3,0,0,'Données projet'!$E$16+1,1))-AVERAGE(OFFSET($H$3,0,0,'Données projet'!$E$16+1,1))</f>
        <v>547.89540791313675</v>
      </c>
      <c r="FK112" s="62">
        <f t="shared" si="102"/>
        <v>345.19555189302378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>
        <f>FZ112*VLOOKUP('Données projet'!$B$17,Paramètres!$A$1:$I$89,3,0)*VLOOKUP('Données projet'!$B$17,Paramètres!$A$1:$I$89,5,0)</f>
        <v>0</v>
      </c>
      <c r="GB112" s="14" t="e">
        <f t="shared" si="103"/>
        <v>#NUM!</v>
      </c>
      <c r="GC112" s="22" t="e">
        <f t="shared" si="79"/>
        <v>#NUM!</v>
      </c>
      <c r="GD112" s="62" t="e">
        <f t="shared" si="80"/>
        <v>#NUM!</v>
      </c>
      <c r="GE112" s="62">
        <f ca="1">AVERAGE(OFFSET($GD$3,0,0,'Données projet'!$E$17+1,1))-AVERAGE(OFFSET($H$3,0,0,'Données projet'!$E$17+1,1))</f>
        <v>409.68685886029164</v>
      </c>
      <c r="GF112" s="62">
        <f t="shared" si="104"/>
        <v>330.8416508650887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3.3097482441456607E-11</v>
      </c>
      <c r="GO112" s="23">
        <f t="shared" si="81"/>
        <v>3.3097482441456607E-11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73.098184695482075</v>
      </c>
      <c r="T113" s="62">
        <f t="shared" si="88"/>
        <v>334.38551711782793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11.230194447125605</v>
      </c>
      <c r="AA113" s="23">
        <f>EXP(-LN(2)/25)*AA112+(1-EXP(-LN(2)/25))/(LN(2)/25)*Calculateur!V113*Calculateur!X113*VLOOKUP('Données projet'!$B$9,Paramètres!$A$1:$I$89,3,0)*0.475*44/12</f>
        <v>1.4954490966077896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12.725643543733394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70.520400819593021</v>
      </c>
      <c r="AO113" s="62">
        <f t="shared" si="90"/>
        <v>321.48616153644309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10.71346770876093</v>
      </c>
      <c r="AV113" s="23">
        <f>EXP(-LN(2)/25)*AV112+(1-EXP(-LN(2)/25))/(LN(2)/25)*Calculateur!AQ113*Calculateur!AS113*VLOOKUP('Données projet'!$B$10,Paramètres!$A$1:$I$89,3,0)*0.475*44/12</f>
        <v>1.4266400890951598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12.140107797856091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1.5961632016114892E-13</v>
      </c>
      <c r="BF113" s="14">
        <f t="shared" si="91"/>
        <v>2.2708641912150958E-12</v>
      </c>
      <c r="BG113" s="22">
        <f t="shared" si="61"/>
        <v>4.2330868906469593E-12</v>
      </c>
      <c r="BH113" s="62">
        <f t="shared" si="62"/>
        <v>273.00797787803657</v>
      </c>
      <c r="BI113" s="62">
        <f ca="1">AVERAGE(OFFSET($BH$3,0,0,'Données projet'!$E$11+1,1))-AVERAGE(OFFSET($H$3,0,0,'Données projet'!$E$11+1,1))</f>
        <v>374.62597460242665</v>
      </c>
      <c r="BJ113" s="62">
        <f t="shared" si="92"/>
        <v>277.50105097454616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318</v>
      </c>
      <c r="BW113" s="13">
        <f>VLOOKUP(A113,'Données projet'!$A$113:$I$133,9,0)</f>
        <v>5.125</v>
      </c>
      <c r="BX113" s="13">
        <f t="array" ref="BX113">INDEX(BW:BW,MIN(IF(ISNUMBER(BW113:BW309),ROW(BW113:BW309),"")))</f>
        <v>5.125</v>
      </c>
      <c r="BY113" s="13">
        <f>IF('Données projet'!$A$114&gt;35,BY112+BX113-CG112,IF(A113&lt;'Données projet'!$A$114,$BV$205^A113,IF(A113='Données projet'!$A$114,'Données projet'!$B$114,BY112+BX113-CG112)))</f>
        <v>317.99999999999994</v>
      </c>
      <c r="BZ113" s="14">
        <f>BY113*VLOOKUP('Données projet'!$B$12,Paramètres!$A$1:$I$89,3,0)*VLOOKUP('Données projet'!$B$12,Paramètres!$A$1:$I$89,5,0)</f>
        <v>148.82399999999998</v>
      </c>
      <c r="CA113" s="14">
        <f t="shared" si="93"/>
        <v>38.311213100614353</v>
      </c>
      <c r="CB113" s="22">
        <f t="shared" si="64"/>
        <v>325.92716281690332</v>
      </c>
      <c r="CC113" s="62">
        <f t="shared" si="65"/>
        <v>598.93514069493563</v>
      </c>
      <c r="CD113" s="62">
        <f ca="1">AVERAGE(OFFSET($CC$3,0,0,'Données projet'!$E$12+1,1))-AVERAGE(OFFSET($H$3,0,0,'Données projet'!$E$12+1,1))</f>
        <v>329.79342219561465</v>
      </c>
      <c r="CE113" s="62">
        <f t="shared" si="94"/>
        <v>144.63206563329757</v>
      </c>
      <c r="CF113" s="16">
        <f>IF(ISNA(VLOOKUP(A113,'Données projet'!$A$113:$I$133,3,0)),0,VLOOKUP(A113,'Données projet'!$A$113:$I$133,3,0))</f>
        <v>11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6.8212102632969618E-13</v>
      </c>
      <c r="CU113" s="18">
        <f>CT113*VLOOKUP('Données projet'!$B$13,Paramètres!$A$1:$I$89,3,0)*VLOOKUP('Données projet'!$B$13,Paramètres!$A$1:$I$89,5,0)</f>
        <v>4.0790837374515837E-13</v>
      </c>
      <c r="CV113" s="14">
        <f t="shared" si="95"/>
        <v>5.2028966193600884E-12</v>
      </c>
      <c r="CW113" s="22">
        <f t="shared" si="67"/>
        <v>9.7721520296583044E-12</v>
      </c>
      <c r="CX113" s="62">
        <f t="shared" si="68"/>
        <v>273.00797787804214</v>
      </c>
      <c r="CY113" s="62">
        <f ca="1">AVERAGE(OFFSET($CX$3,0,0,'Données projet'!$E$13+1,1))-AVERAGE(OFFSET($H$3,0,0,'Données projet'!$E$13+1,1))</f>
        <v>530.27599556821826</v>
      </c>
      <c r="CZ113" s="62">
        <f t="shared" si="96"/>
        <v>370.62231794492129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1.3682218417378295E-11</v>
      </c>
      <c r="DI113" s="24">
        <f t="shared" si="69"/>
        <v>1.3682218417378295E-11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323.41919999999993</v>
      </c>
      <c r="DQ113" s="14">
        <f t="shared" si="97"/>
        <v>76.06434405252827</v>
      </c>
      <c r="DR113" s="22">
        <f t="shared" si="70"/>
        <v>695.76717255815322</v>
      </c>
      <c r="DS113" s="62">
        <f t="shared" si="71"/>
        <v>968.77515043618564</v>
      </c>
      <c r="DT113" s="62">
        <f ca="1">AVERAGE(OFFSET($DS$3,0,0,'Données projet'!$E$14+1,1))-AVERAGE(OFFSET($H$3,0,0,'Données projet'!$E$14+1,1))</f>
        <v>520.23742527061836</v>
      </c>
      <c r="DU113" s="62">
        <f t="shared" si="98"/>
        <v>321.35925479331274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-1.1882548278663309E-13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435.44444011810265</v>
      </c>
      <c r="EP113" s="62">
        <f t="shared" si="100"/>
        <v>447.15868732689762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332</v>
      </c>
      <c r="FC113" s="13">
        <f>VLOOKUP(A113,'Données projet'!$A$217:$I$237,9,0)</f>
        <v>5</v>
      </c>
      <c r="FD113" s="13">
        <f t="array" ref="FD113">INDEX(FC:FC,MIN(IF(ISNUMBER(FC113:FC309),ROW(FC113:FC309),"")))</f>
        <v>5</v>
      </c>
      <c r="FE113" s="13">
        <f>IF('Données projet'!$A$218&gt;35,FE112+FD113-FM112,IF(A113&lt;'Données projet'!$A$218,$FB$205^A113,IF(A113='Données projet'!$A$218,'Données projet'!$B$218,FE112+FD113-FM112)))</f>
        <v>331.99999999999989</v>
      </c>
      <c r="FF113" s="18">
        <f>FE113*VLOOKUP('Données projet'!$B$16,Paramètres!$A$1:$I$89,3,0)*VLOOKUP('Données projet'!$B$16,Paramètres!$A$1:$I$89,5,0)</f>
        <v>336.64799999999991</v>
      </c>
      <c r="FG113" s="14">
        <f t="shared" si="101"/>
        <v>78.807003163010307</v>
      </c>
      <c r="FH113" s="22">
        <f t="shared" si="76"/>
        <v>723.58413050890942</v>
      </c>
      <c r="FI113" s="62">
        <f t="shared" si="77"/>
        <v>996.59210838694185</v>
      </c>
      <c r="FJ113" s="62">
        <f ca="1">AVERAGE(OFFSET($FI$3,0,0,'Données projet'!$E$16+1,1))-AVERAGE(OFFSET($H$3,0,0,'Données projet'!$E$16+1,1))</f>
        <v>547.89540791313675</v>
      </c>
      <c r="FK113" s="62">
        <f t="shared" si="102"/>
        <v>345.19555189302378</v>
      </c>
      <c r="FL113" s="16">
        <f>IF(ISNA(VLOOKUP(A113,'Données projet'!$A$217:$I$237,3,0)),0,VLOOKUP(A113,'Données projet'!$A$217:$I$237,3,0))</f>
        <v>19</v>
      </c>
      <c r="FM113" s="16">
        <f>IF(ISNA(VLOOKUP(A113,'Données projet'!$A$217:$I$237,4,0)),0,VLOOKUP(A113,'Données projet'!$A$217:$I$237,4,0))</f>
        <v>25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>
        <f>FZ113*VLOOKUP('Données projet'!$B$17,Paramètres!$A$1:$I$89,3,0)*VLOOKUP('Données projet'!$B$17,Paramètres!$A$1:$I$89,5,0)</f>
        <v>0</v>
      </c>
      <c r="GB113" s="14" t="e">
        <f t="shared" si="103"/>
        <v>#NUM!</v>
      </c>
      <c r="GC113" s="22" t="e">
        <f t="shared" si="79"/>
        <v>#NUM!</v>
      </c>
      <c r="GD113" s="62" t="e">
        <f t="shared" si="80"/>
        <v>#NUM!</v>
      </c>
      <c r="GE113" s="62">
        <f ca="1">AVERAGE(OFFSET($GD$3,0,0,'Données projet'!$E$17+1,1))-AVERAGE(OFFSET($H$3,0,0,'Données projet'!$E$17+1,1))</f>
        <v>409.68685886029164</v>
      </c>
      <c r="GF113" s="62">
        <f t="shared" si="104"/>
        <v>330.8416508650887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2.3403454274556656E-11</v>
      </c>
      <c r="GO113" s="23">
        <f t="shared" si="81"/>
        <v>2.3403454274556656E-11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73.098184695482075</v>
      </c>
      <c r="T114" s="62">
        <f t="shared" si="88"/>
        <v>334.38551711782793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11.009977183759728</v>
      </c>
      <c r="AA114" s="23">
        <f>EXP(-LN(2)/25)*AA113+(1-EXP(-LN(2)/25))/(LN(2)/25)*Calculateur!V114*Calculateur!X114*VLOOKUP('Données projet'!$B$9,Paramètres!$A$1:$I$89,3,0)*0.475*44/12</f>
        <v>1.4545559624187994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12.464533146178528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70.520400819593021</v>
      </c>
      <c r="AO114" s="62">
        <f t="shared" si="90"/>
        <v>321.48616153644309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10.503383141562196</v>
      </c>
      <c r="AV114" s="23">
        <f>EXP(-LN(2)/25)*AV113+(1-EXP(-LN(2)/25))/(LN(2)/25)*Calculateur!AQ114*Calculateur!AS114*VLOOKUP('Données projet'!$B$10,Paramètres!$A$1:$I$89,3,0)*0.475*44/12</f>
        <v>1.387628540835111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11.891011682397307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1.5961632016114892E-13</v>
      </c>
      <c r="BF114" s="14">
        <f t="shared" si="91"/>
        <v>2.2708641912150958E-12</v>
      </c>
      <c r="BG114" s="22">
        <f t="shared" si="61"/>
        <v>4.2330868906469593E-12</v>
      </c>
      <c r="BH114" s="62">
        <f t="shared" si="62"/>
        <v>273.36057735449873</v>
      </c>
      <c r="BI114" s="62">
        <f ca="1">AVERAGE(OFFSET($BH$3,0,0,'Données projet'!$E$11+1,1))-AVERAGE(OFFSET($H$3,0,0,'Données projet'!$E$11+1,1))</f>
        <v>374.62597460242665</v>
      </c>
      <c r="BJ114" s="62">
        <f t="shared" si="92"/>
        <v>277.50105097454616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</v>
      </c>
      <c r="BY114" s="13">
        <f>IF('Données projet'!$A$114&gt;35,BY113+BX114-CG113,IF(A114&lt;'Données projet'!$A$114,$BV$205^A114,IF(A114='Données projet'!$A$114,'Données projet'!$B$114,BY113+BX114-CG113)))</f>
        <v>322.99999999999994</v>
      </c>
      <c r="BZ114" s="14">
        <f>BY114*VLOOKUP('Données projet'!$B$12,Paramètres!$A$1:$I$89,3,0)*VLOOKUP('Données projet'!$B$12,Paramètres!$A$1:$I$89,5,0)</f>
        <v>151.16399999999996</v>
      </c>
      <c r="CA114" s="14">
        <f t="shared" si="93"/>
        <v>38.842989674159945</v>
      </c>
      <c r="CB114" s="22">
        <f t="shared" si="64"/>
        <v>330.92884034916182</v>
      </c>
      <c r="CC114" s="62">
        <f t="shared" si="65"/>
        <v>604.28941770365634</v>
      </c>
      <c r="CD114" s="62">
        <f ca="1">AVERAGE(OFFSET($CC$3,0,0,'Données projet'!$E$12+1,1))-AVERAGE(OFFSET($H$3,0,0,'Données projet'!$E$12+1,1))</f>
        <v>329.79342219561465</v>
      </c>
      <c r="CE114" s="62">
        <f t="shared" si="94"/>
        <v>144.63206563329757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6.8212102632969618E-13</v>
      </c>
      <c r="CU114" s="18">
        <f>CT114*VLOOKUP('Données projet'!$B$13,Paramètres!$A$1:$I$89,3,0)*VLOOKUP('Données projet'!$B$13,Paramètres!$A$1:$I$89,5,0)</f>
        <v>4.0790837374515837E-13</v>
      </c>
      <c r="CV114" s="14">
        <f t="shared" si="95"/>
        <v>5.2028966193600884E-12</v>
      </c>
      <c r="CW114" s="22">
        <f t="shared" si="67"/>
        <v>9.7721520296583044E-12</v>
      </c>
      <c r="CX114" s="62">
        <f t="shared" si="68"/>
        <v>273.3605773545043</v>
      </c>
      <c r="CY114" s="62">
        <f ca="1">AVERAGE(OFFSET($CX$3,0,0,'Données projet'!$E$13+1,1))-AVERAGE(OFFSET($H$3,0,0,'Données projet'!$E$13+1,1))</f>
        <v>530.27599556821826</v>
      </c>
      <c r="CZ114" s="62">
        <f t="shared" si="96"/>
        <v>370.62231794492129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9.6747894246036645E-12</v>
      </c>
      <c r="DI114" s="24">
        <f t="shared" si="69"/>
        <v>9.6747894246036645E-12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306.10943999999995</v>
      </c>
      <c r="DQ114" s="14">
        <f t="shared" si="97"/>
        <v>72.455730134932253</v>
      </c>
      <c r="DR114" s="22">
        <f t="shared" si="70"/>
        <v>659.33433798500698</v>
      </c>
      <c r="DS114" s="62">
        <f t="shared" si="71"/>
        <v>932.69491533950145</v>
      </c>
      <c r="DT114" s="62">
        <f ca="1">AVERAGE(OFFSET($DS$3,0,0,'Données projet'!$E$14+1,1))-AVERAGE(OFFSET($H$3,0,0,'Données projet'!$E$14+1,1))</f>
        <v>520.23742527061836</v>
      </c>
      <c r="DU114" s="62">
        <f t="shared" si="98"/>
        <v>321.35925479331274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-1.1882548278663309E-13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435.44444011810265</v>
      </c>
      <c r="EP114" s="62">
        <f t="shared" si="100"/>
        <v>447.15868732689762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4.5999999999999996</v>
      </c>
      <c r="FE114" s="13">
        <f>IF('Données projet'!$A$218&gt;35,FE113+FD114-FM113,IF(A114&lt;'Données projet'!$A$218,$FB$205^A114,IF(A114='Données projet'!$A$218,'Données projet'!$B$218,FE113+FD114-FM113)))</f>
        <v>311.59999999999991</v>
      </c>
      <c r="FF114" s="18">
        <f>FE114*VLOOKUP('Données projet'!$B$16,Paramètres!$A$1:$I$89,3,0)*VLOOKUP('Données projet'!$B$16,Paramètres!$A$1:$I$89,5,0)</f>
        <v>315.96239999999989</v>
      </c>
      <c r="FG114" s="14">
        <f t="shared" si="101"/>
        <v>74.512632625562503</v>
      </c>
      <c r="FH114" s="22">
        <f t="shared" si="76"/>
        <v>680.07734848952111</v>
      </c>
      <c r="FI114" s="62">
        <f t="shared" si="77"/>
        <v>953.43792584401558</v>
      </c>
      <c r="FJ114" s="62">
        <f ca="1">AVERAGE(OFFSET($FI$3,0,0,'Données projet'!$E$16+1,1))-AVERAGE(OFFSET($H$3,0,0,'Données projet'!$E$16+1,1))</f>
        <v>547.89540791313675</v>
      </c>
      <c r="FK114" s="62">
        <f t="shared" si="102"/>
        <v>345.19555189302378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>
        <f>FZ114*VLOOKUP('Données projet'!$B$17,Paramètres!$A$1:$I$89,3,0)*VLOOKUP('Données projet'!$B$17,Paramètres!$A$1:$I$89,5,0)</f>
        <v>0</v>
      </c>
      <c r="GB114" s="14" t="e">
        <f t="shared" si="103"/>
        <v>#NUM!</v>
      </c>
      <c r="GC114" s="22" t="e">
        <f t="shared" si="79"/>
        <v>#NUM!</v>
      </c>
      <c r="GD114" s="62" t="e">
        <f t="shared" si="80"/>
        <v>#NUM!</v>
      </c>
      <c r="GE114" s="62">
        <f ca="1">AVERAGE(OFFSET($GD$3,0,0,'Données projet'!$E$17+1,1))-AVERAGE(OFFSET($H$3,0,0,'Données projet'!$E$17+1,1))</f>
        <v>409.68685886029164</v>
      </c>
      <c r="GF114" s="62">
        <f t="shared" si="104"/>
        <v>330.8416508650887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1.6548741220728304E-11</v>
      </c>
      <c r="GO114" s="23">
        <f t="shared" si="81"/>
        <v>1.6548741220728304E-11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73.098184695482075</v>
      </c>
      <c r="T115" s="62">
        <f t="shared" si="88"/>
        <v>334.38551711782793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10.794078246609189</v>
      </c>
      <c r="AA115" s="23">
        <f>EXP(-LN(2)/25)*AA114+(1-EXP(-LN(2)/25))/(LN(2)/25)*Calculateur!V115*Calculateur!X115*VLOOKUP('Données projet'!$B$9,Paramètres!$A$1:$I$89,3,0)*0.475*44/12</f>
        <v>1.4147810531346836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12.208859299743873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70.520400819593021</v>
      </c>
      <c r="AO115" s="62">
        <f t="shared" si="90"/>
        <v>321.48616153644309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10.297418204587295</v>
      </c>
      <c r="AV115" s="23">
        <f>EXP(-LN(2)/25)*AV114+(1-EXP(-LN(2)/25))/(LN(2)/25)*Calculateur!AQ115*Calculateur!AS115*VLOOKUP('Données projet'!$B$10,Paramètres!$A$1:$I$89,3,0)*0.475*44/12</f>
        <v>1.3496837654137614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11.647101970001057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1.5961632016114892E-13</v>
      </c>
      <c r="BF115" s="14">
        <f t="shared" si="91"/>
        <v>2.2708641912150958E-12</v>
      </c>
      <c r="BG115" s="22">
        <f t="shared" si="61"/>
        <v>4.2330868906469593E-12</v>
      </c>
      <c r="BH115" s="62">
        <f t="shared" si="62"/>
        <v>273.70706001833861</v>
      </c>
      <c r="BI115" s="62">
        <f ca="1">AVERAGE(OFFSET($BH$3,0,0,'Données projet'!$E$11+1,1))-AVERAGE(OFFSET($H$3,0,0,'Données projet'!$E$11+1,1))</f>
        <v>374.62597460242665</v>
      </c>
      <c r="BJ115" s="62">
        <f t="shared" si="92"/>
        <v>277.50105097454616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</v>
      </c>
      <c r="BY115" s="13">
        <f>IF('Données projet'!$A$114&gt;35,BY114+BX115-CG114,IF(A115&lt;'Données projet'!$A$114,$BV$205^A115,IF(A115='Données projet'!$A$114,'Données projet'!$B$114,BY114+BX115-CG114)))</f>
        <v>327.99999999999994</v>
      </c>
      <c r="BZ115" s="14">
        <f>BY115*VLOOKUP('Données projet'!$B$12,Paramètres!$A$1:$I$89,3,0)*VLOOKUP('Données projet'!$B$12,Paramètres!$A$1:$I$89,5,0)</f>
        <v>153.50399999999996</v>
      </c>
      <c r="CA115" s="14">
        <f t="shared" si="93"/>
        <v>39.373808884365609</v>
      </c>
      <c r="CB115" s="22">
        <f t="shared" si="64"/>
        <v>335.92885047360335</v>
      </c>
      <c r="CC115" s="62">
        <f t="shared" si="65"/>
        <v>609.63591049193769</v>
      </c>
      <c r="CD115" s="62">
        <f ca="1">AVERAGE(OFFSET($CC$3,0,0,'Données projet'!$E$12+1,1))-AVERAGE(OFFSET($H$3,0,0,'Données projet'!$E$12+1,1))</f>
        <v>329.79342219561465</v>
      </c>
      <c r="CE115" s="62">
        <f t="shared" si="94"/>
        <v>144.63206563329757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6.8212102632969618E-13</v>
      </c>
      <c r="CU115" s="18">
        <f>CT115*VLOOKUP('Données projet'!$B$13,Paramètres!$A$1:$I$89,3,0)*VLOOKUP('Données projet'!$B$13,Paramètres!$A$1:$I$89,5,0)</f>
        <v>4.0790837374515837E-13</v>
      </c>
      <c r="CV115" s="14">
        <f t="shared" si="95"/>
        <v>5.2028966193600884E-12</v>
      </c>
      <c r="CW115" s="22">
        <f t="shared" si="67"/>
        <v>9.7721520296583044E-12</v>
      </c>
      <c r="CX115" s="62">
        <f t="shared" si="68"/>
        <v>273.70706001834418</v>
      </c>
      <c r="CY115" s="62">
        <f ca="1">AVERAGE(OFFSET($CX$3,0,0,'Données projet'!$E$13+1,1))-AVERAGE(OFFSET($H$3,0,0,'Données projet'!$E$13+1,1))</f>
        <v>530.27599556821826</v>
      </c>
      <c r="CZ115" s="62">
        <f t="shared" si="96"/>
        <v>370.62231794492129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6.8411092086891475E-12</v>
      </c>
      <c r="DI115" s="24">
        <f t="shared" si="69"/>
        <v>6.8411092086891475E-12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310.43687999999997</v>
      </c>
      <c r="DQ115" s="14">
        <f t="shared" si="97"/>
        <v>73.360060624606533</v>
      </c>
      <c r="DR115" s="22">
        <f t="shared" si="70"/>
        <v>668.44633825452308</v>
      </c>
      <c r="DS115" s="62">
        <f t="shared" si="71"/>
        <v>942.15339827285743</v>
      </c>
      <c r="DT115" s="62">
        <f ca="1">AVERAGE(OFFSET($DS$3,0,0,'Données projet'!$E$14+1,1))-AVERAGE(OFFSET($H$3,0,0,'Données projet'!$E$14+1,1))</f>
        <v>520.23742527061836</v>
      </c>
      <c r="DU115" s="62">
        <f t="shared" si="98"/>
        <v>321.35925479331274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-1.1882548278663309E-13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435.44444011810265</v>
      </c>
      <c r="EP115" s="62">
        <f t="shared" si="100"/>
        <v>447.15868732689762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4.5999999999999996</v>
      </c>
      <c r="FE115" s="13">
        <f>IF('Données projet'!$A$218&gt;35,FE114+FD115-FM114,IF(A115&lt;'Données projet'!$A$218,$FB$205^A115,IF(A115='Données projet'!$A$218,'Données projet'!$B$218,FE114+FD115-FM114)))</f>
        <v>316.19999999999993</v>
      </c>
      <c r="FF115" s="18">
        <f>FE115*VLOOKUP('Données projet'!$B$16,Paramètres!$A$1:$I$89,3,0)*VLOOKUP('Données projet'!$B$16,Paramètres!$A$1:$I$89,5,0)</f>
        <v>320.62679999999995</v>
      </c>
      <c r="FG115" s="14">
        <f t="shared" si="101"/>
        <v>75.483756735990909</v>
      </c>
      <c r="FH115" s="22">
        <f t="shared" si="76"/>
        <v>689.89255298185071</v>
      </c>
      <c r="FI115" s="62">
        <f t="shared" si="77"/>
        <v>963.59961300018517</v>
      </c>
      <c r="FJ115" s="62">
        <f ca="1">AVERAGE(OFFSET($FI$3,0,0,'Données projet'!$E$16+1,1))-AVERAGE(OFFSET($H$3,0,0,'Données projet'!$E$16+1,1))</f>
        <v>547.89540791313675</v>
      </c>
      <c r="FK115" s="62">
        <f t="shared" si="102"/>
        <v>345.19555189302378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>
        <f>FZ115*VLOOKUP('Données projet'!$B$17,Paramètres!$A$1:$I$89,3,0)*VLOOKUP('Données projet'!$B$17,Paramètres!$A$1:$I$89,5,0)</f>
        <v>0</v>
      </c>
      <c r="GB115" s="14" t="e">
        <f t="shared" si="103"/>
        <v>#NUM!</v>
      </c>
      <c r="GC115" s="22" t="e">
        <f t="shared" si="79"/>
        <v>#NUM!</v>
      </c>
      <c r="GD115" s="62" t="e">
        <f t="shared" si="80"/>
        <v>#NUM!</v>
      </c>
      <c r="GE115" s="62">
        <f ca="1">AVERAGE(OFFSET($GD$3,0,0,'Données projet'!$E$17+1,1))-AVERAGE(OFFSET($H$3,0,0,'Données projet'!$E$17+1,1))</f>
        <v>409.68685886029164</v>
      </c>
      <c r="GF115" s="62">
        <f t="shared" si="104"/>
        <v>330.8416508650887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1.1701727137278328E-11</v>
      </c>
      <c r="GO115" s="23">
        <f t="shared" si="81"/>
        <v>1.1701727137278328E-11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73.098184695482075</v>
      </c>
      <c r="T116" s="62">
        <f t="shared" si="88"/>
        <v>334.38551711782793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10.582412955930822</v>
      </c>
      <c r="AA116" s="23">
        <f>EXP(-LN(2)/25)*AA115+(1-EXP(-LN(2)/25))/(LN(2)/25)*Calculateur!V116*Calculateur!X116*VLOOKUP('Données projet'!$B$9,Paramètres!$A$1:$I$89,3,0)*0.475*44/12</f>
        <v>1.3760937908366135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11.958506746767435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70.520400819593021</v>
      </c>
      <c r="AO116" s="62">
        <f t="shared" si="90"/>
        <v>321.48616153644309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10.095492114400265</v>
      </c>
      <c r="AV116" s="23">
        <f>EXP(-LN(2)/25)*AV115+(1-EXP(-LN(2)/25))/(LN(2)/25)*Calculateur!AQ116*Calculateur!AS116*VLOOKUP('Données projet'!$B$10,Paramètres!$A$1:$I$89,3,0)*0.475*44/12</f>
        <v>1.3127765918717376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11.408268706272002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1.5961632016114892E-13</v>
      </c>
      <c r="BF116" s="14">
        <f t="shared" si="91"/>
        <v>2.2708641912150958E-12</v>
      </c>
      <c r="BG116" s="22">
        <f t="shared" si="61"/>
        <v>4.2330868906469593E-12</v>
      </c>
      <c r="BH116" s="62">
        <f t="shared" si="62"/>
        <v>274.04753198258004</v>
      </c>
      <c r="BI116" s="62">
        <f ca="1">AVERAGE(OFFSET($BH$3,0,0,'Données projet'!$E$11+1,1))-AVERAGE(OFFSET($H$3,0,0,'Données projet'!$E$11+1,1))</f>
        <v>374.62597460242665</v>
      </c>
      <c r="BJ116" s="62">
        <f t="shared" si="92"/>
        <v>277.50105097454616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</v>
      </c>
      <c r="BY116" s="13">
        <f>IF('Données projet'!$A$114&gt;35,BY115+BX116-CG115,IF(A116&lt;'Données projet'!$A$114,$BV$205^A116,IF(A116='Données projet'!$A$114,'Données projet'!$B$114,BY115+BX116-CG115)))</f>
        <v>332.99999999999994</v>
      </c>
      <c r="BZ116" s="14">
        <f>BY116*VLOOKUP('Données projet'!$B$12,Paramètres!$A$1:$I$89,3,0)*VLOOKUP('Données projet'!$B$12,Paramètres!$A$1:$I$89,5,0)</f>
        <v>155.84399999999999</v>
      </c>
      <c r="CA116" s="14">
        <f t="shared" si="93"/>
        <v>39.903687010744221</v>
      </c>
      <c r="CB116" s="22">
        <f t="shared" si="64"/>
        <v>340.92722154371285</v>
      </c>
      <c r="CC116" s="62">
        <f t="shared" si="65"/>
        <v>614.97475352628862</v>
      </c>
      <c r="CD116" s="62">
        <f ca="1">AVERAGE(OFFSET($CC$3,0,0,'Données projet'!$E$12+1,1))-AVERAGE(OFFSET($H$3,0,0,'Données projet'!$E$12+1,1))</f>
        <v>329.79342219561465</v>
      </c>
      <c r="CE116" s="62">
        <f t="shared" si="94"/>
        <v>144.63206563329757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6.8212102632969618E-13</v>
      </c>
      <c r="CU116" s="18">
        <f>CT116*VLOOKUP('Données projet'!$B$13,Paramètres!$A$1:$I$89,3,0)*VLOOKUP('Données projet'!$B$13,Paramètres!$A$1:$I$89,5,0)</f>
        <v>4.0790837374515837E-13</v>
      </c>
      <c r="CV116" s="14">
        <f t="shared" si="95"/>
        <v>5.2028966193600884E-12</v>
      </c>
      <c r="CW116" s="22">
        <f t="shared" si="67"/>
        <v>9.7721520296583044E-12</v>
      </c>
      <c r="CX116" s="62">
        <f t="shared" si="68"/>
        <v>274.04753198258561</v>
      </c>
      <c r="CY116" s="62">
        <f ca="1">AVERAGE(OFFSET($CX$3,0,0,'Données projet'!$E$13+1,1))-AVERAGE(OFFSET($H$3,0,0,'Données projet'!$E$13+1,1))</f>
        <v>530.27599556821826</v>
      </c>
      <c r="CZ116" s="62">
        <f t="shared" si="96"/>
        <v>370.62231794492129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4.8373947123018322E-12</v>
      </c>
      <c r="DI116" s="24">
        <f t="shared" si="69"/>
        <v>4.8373947123018322E-12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314.76432</v>
      </c>
      <c r="DQ116" s="14">
        <f t="shared" si="97"/>
        <v>74.262924889765188</v>
      </c>
      <c r="DR116" s="22">
        <f t="shared" si="70"/>
        <v>677.5557848496743</v>
      </c>
      <c r="DS116" s="62">
        <f t="shared" si="71"/>
        <v>951.60331683225013</v>
      </c>
      <c r="DT116" s="62">
        <f ca="1">AVERAGE(OFFSET($DS$3,0,0,'Données projet'!$E$14+1,1))-AVERAGE(OFFSET($H$3,0,0,'Données projet'!$E$14+1,1))</f>
        <v>520.23742527061836</v>
      </c>
      <c r="DU116" s="62">
        <f t="shared" si="98"/>
        <v>321.35925479331274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-1.1882548278663309E-13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435.44444011810265</v>
      </c>
      <c r="EP116" s="62">
        <f t="shared" si="100"/>
        <v>447.15868732689762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4.5999999999999996</v>
      </c>
      <c r="FE116" s="13">
        <f>IF('Données projet'!$A$218&gt;35,FE115+FD116-FM115,IF(A116&lt;'Données projet'!$A$218,$FB$205^A116,IF(A116='Données projet'!$A$218,'Données projet'!$B$218,FE115+FD116-FM115)))</f>
        <v>320.79999999999995</v>
      </c>
      <c r="FF116" s="18">
        <f>FE116*VLOOKUP('Données projet'!$B$16,Paramètres!$A$1:$I$89,3,0)*VLOOKUP('Données projet'!$B$16,Paramètres!$A$1:$I$89,5,0)</f>
        <v>325.2912</v>
      </c>
      <c r="FG116" s="14">
        <f t="shared" si="101"/>
        <v>76.453237715285965</v>
      </c>
      <c r="FH116" s="22">
        <f t="shared" si="76"/>
        <v>699.70489568745631</v>
      </c>
      <c r="FI116" s="62">
        <f t="shared" si="77"/>
        <v>973.75242767003215</v>
      </c>
      <c r="FJ116" s="62">
        <f ca="1">AVERAGE(OFFSET($FI$3,0,0,'Données projet'!$E$16+1,1))-AVERAGE(OFFSET($H$3,0,0,'Données projet'!$E$16+1,1))</f>
        <v>547.89540791313675</v>
      </c>
      <c r="FK116" s="62">
        <f t="shared" si="102"/>
        <v>345.19555189302378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>
        <f>FZ116*VLOOKUP('Données projet'!$B$17,Paramètres!$A$1:$I$89,3,0)*VLOOKUP('Données projet'!$B$17,Paramètres!$A$1:$I$89,5,0)</f>
        <v>0</v>
      </c>
      <c r="GB116" s="14" t="e">
        <f t="shared" si="103"/>
        <v>#NUM!</v>
      </c>
      <c r="GC116" s="22" t="e">
        <f t="shared" si="79"/>
        <v>#NUM!</v>
      </c>
      <c r="GD116" s="62" t="e">
        <f t="shared" si="80"/>
        <v>#NUM!</v>
      </c>
      <c r="GE116" s="62">
        <f ca="1">AVERAGE(OFFSET($GD$3,0,0,'Données projet'!$E$17+1,1))-AVERAGE(OFFSET($H$3,0,0,'Données projet'!$E$17+1,1))</f>
        <v>409.68685886029164</v>
      </c>
      <c r="GF116" s="62">
        <f t="shared" si="104"/>
        <v>330.8416508650887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8.2743706103641518E-12</v>
      </c>
      <c r="GO116" s="23">
        <f t="shared" si="81"/>
        <v>8.2743706103641518E-12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73.098184695482075</v>
      </c>
      <c r="T117" s="62">
        <f t="shared" si="88"/>
        <v>334.38551711782793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10.37489829249958</v>
      </c>
      <c r="AA117" s="23">
        <f>EXP(-LN(2)/25)*AA116+(1-EXP(-LN(2)/25))/(LN(2)/25)*Calculateur!V117*Calculateur!X117*VLOOKUP('Données projet'!$B$9,Paramètres!$A$1:$I$89,3,0)*0.475*44/12</f>
        <v>1.3384644337605589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11.713362726260138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70.520400819593021</v>
      </c>
      <c r="AO117" s="62">
        <f t="shared" si="90"/>
        <v>321.48616153644309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9.8975256716790501</v>
      </c>
      <c r="AV117" s="23">
        <f>EXP(-LN(2)/25)*AV116+(1-EXP(-LN(2)/25))/(LN(2)/25)*Calculateur!AQ117*Calculateur!AS117*VLOOKUP('Données projet'!$B$10,Paramètres!$A$1:$I$89,3,0)*0.475*44/12</f>
        <v>1.2768786469310842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11.174404318610135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1.5961632016114892E-13</v>
      </c>
      <c r="BF117" s="14">
        <f t="shared" si="91"/>
        <v>2.2708641912150958E-12</v>
      </c>
      <c r="BG117" s="22">
        <f t="shared" si="61"/>
        <v>4.2330868906469593E-12</v>
      </c>
      <c r="BH117" s="62">
        <f t="shared" si="62"/>
        <v>274.38209751942321</v>
      </c>
      <c r="BI117" s="62">
        <f ca="1">AVERAGE(OFFSET($BH$3,0,0,'Données projet'!$E$11+1,1))-AVERAGE(OFFSET($H$3,0,0,'Données projet'!$E$11+1,1))</f>
        <v>374.62597460242665</v>
      </c>
      <c r="BJ117" s="62">
        <f t="shared" si="92"/>
        <v>277.50105097454616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5</v>
      </c>
      <c r="BY117" s="13">
        <f>IF('Données projet'!$A$114&gt;35,BY116+BX117-CG116,IF(A117&lt;'Données projet'!$A$114,$BV$205^A117,IF(A117='Données projet'!$A$114,'Données projet'!$B$114,BY116+BX117-CG116)))</f>
        <v>337.99999999999994</v>
      </c>
      <c r="BZ117" s="14">
        <f>BY117*VLOOKUP('Données projet'!$B$12,Paramètres!$A$1:$I$89,3,0)*VLOOKUP('Données projet'!$B$12,Paramètres!$A$1:$I$89,5,0)</f>
        <v>158.18399999999997</v>
      </c>
      <c r="CA117" s="14">
        <f t="shared" si="93"/>
        <v>40.432639815875881</v>
      </c>
      <c r="CB117" s="22">
        <f t="shared" si="64"/>
        <v>345.92398101265047</v>
      </c>
      <c r="CC117" s="62">
        <f t="shared" si="65"/>
        <v>620.30607853206948</v>
      </c>
      <c r="CD117" s="62">
        <f ca="1">AVERAGE(OFFSET($CC$3,0,0,'Données projet'!$E$12+1,1))-AVERAGE(OFFSET($H$3,0,0,'Données projet'!$E$12+1,1))</f>
        <v>329.79342219561465</v>
      </c>
      <c r="CE117" s="62">
        <f t="shared" si="94"/>
        <v>144.63206563329757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6.8212102632969618E-13</v>
      </c>
      <c r="CU117" s="18">
        <f>CT117*VLOOKUP('Données projet'!$B$13,Paramètres!$A$1:$I$89,3,0)*VLOOKUP('Données projet'!$B$13,Paramètres!$A$1:$I$89,5,0)</f>
        <v>4.0790837374515837E-13</v>
      </c>
      <c r="CV117" s="14">
        <f t="shared" si="95"/>
        <v>5.2028966193600884E-12</v>
      </c>
      <c r="CW117" s="22">
        <f t="shared" si="67"/>
        <v>9.7721520296583044E-12</v>
      </c>
      <c r="CX117" s="62">
        <f t="shared" si="68"/>
        <v>274.38209751942878</v>
      </c>
      <c r="CY117" s="62">
        <f ca="1">AVERAGE(OFFSET($CX$3,0,0,'Données projet'!$E$13+1,1))-AVERAGE(OFFSET($H$3,0,0,'Données projet'!$E$13+1,1))</f>
        <v>530.27599556821826</v>
      </c>
      <c r="CZ117" s="62">
        <f t="shared" si="96"/>
        <v>370.62231794492129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3.4205546043445737E-12</v>
      </c>
      <c r="DI117" s="24">
        <f t="shared" si="69"/>
        <v>3.4205546043445737E-12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319.09176000000002</v>
      </c>
      <c r="DQ117" s="14">
        <f t="shared" si="97"/>
        <v>75.164345418155065</v>
      </c>
      <c r="DR117" s="22">
        <f t="shared" si="70"/>
        <v>686.66271693662009</v>
      </c>
      <c r="DS117" s="62">
        <f t="shared" si="71"/>
        <v>961.04481445603915</v>
      </c>
      <c r="DT117" s="62">
        <f ca="1">AVERAGE(OFFSET($DS$3,0,0,'Données projet'!$E$14+1,1))-AVERAGE(OFFSET($H$3,0,0,'Données projet'!$E$14+1,1))</f>
        <v>520.23742527061836</v>
      </c>
      <c r="DU117" s="62">
        <f t="shared" si="98"/>
        <v>321.35925479331274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-1.1882548278663309E-13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435.44444011810265</v>
      </c>
      <c r="EP117" s="62">
        <f t="shared" si="100"/>
        <v>447.15868732689762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4.5999999999999996</v>
      </c>
      <c r="FE117" s="13">
        <f>IF('Données projet'!$A$218&gt;35,FE116+FD117-FM116,IF(A117&lt;'Données projet'!$A$218,$FB$205^A117,IF(A117='Données projet'!$A$218,'Données projet'!$B$218,FE116+FD117-FM116)))</f>
        <v>325.39999999999998</v>
      </c>
      <c r="FF117" s="18">
        <f>FE117*VLOOKUP('Données projet'!$B$16,Paramètres!$A$1:$I$89,3,0)*VLOOKUP('Données projet'!$B$16,Paramètres!$A$1:$I$89,5,0)</f>
        <v>329.9556</v>
      </c>
      <c r="FG117" s="14">
        <f t="shared" si="101"/>
        <v>77.421101846941795</v>
      </c>
      <c r="FH117" s="22">
        <f t="shared" si="76"/>
        <v>709.51442238342361</v>
      </c>
      <c r="FI117" s="62">
        <f t="shared" si="77"/>
        <v>983.89651990284256</v>
      </c>
      <c r="FJ117" s="62">
        <f ca="1">AVERAGE(OFFSET($FI$3,0,0,'Données projet'!$E$16+1,1))-AVERAGE(OFFSET($H$3,0,0,'Données projet'!$E$16+1,1))</f>
        <v>547.89540791313675</v>
      </c>
      <c r="FK117" s="62">
        <f t="shared" si="102"/>
        <v>345.19555189302378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>
        <f>FZ117*VLOOKUP('Données projet'!$B$17,Paramètres!$A$1:$I$89,3,0)*VLOOKUP('Données projet'!$B$17,Paramètres!$A$1:$I$89,5,0)</f>
        <v>0</v>
      </c>
      <c r="GB117" s="14" t="e">
        <f t="shared" si="103"/>
        <v>#NUM!</v>
      </c>
      <c r="GC117" s="22" t="e">
        <f t="shared" si="79"/>
        <v>#NUM!</v>
      </c>
      <c r="GD117" s="62" t="e">
        <f t="shared" si="80"/>
        <v>#NUM!</v>
      </c>
      <c r="GE117" s="62">
        <f ca="1">AVERAGE(OFFSET($GD$3,0,0,'Données projet'!$E$17+1,1))-AVERAGE(OFFSET($H$3,0,0,'Données projet'!$E$17+1,1))</f>
        <v>409.68685886029164</v>
      </c>
      <c r="GF117" s="62">
        <f t="shared" si="104"/>
        <v>330.8416508650887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5.8508635686391641E-12</v>
      </c>
      <c r="GO117" s="23">
        <f t="shared" si="81"/>
        <v>5.8508635686391641E-12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73.098184695482075</v>
      </c>
      <c r="T118" s="62">
        <f t="shared" si="88"/>
        <v>334.38551711782793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10.171452865046778</v>
      </c>
      <c r="AA118" s="23">
        <f>EXP(-LN(2)/25)*AA117+(1-EXP(-LN(2)/25))/(LN(2)/25)*Calculateur!V118*Calculateur!X118*VLOOKUP('Données projet'!$B$9,Paramètres!$A$1:$I$89,3,0)*0.475*44/12</f>
        <v>1.3018640534325909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11.47331691847937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70.520400819593021</v>
      </c>
      <c r="AO118" s="62">
        <f t="shared" si="90"/>
        <v>321.48616153644309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9.7034412301519897</v>
      </c>
      <c r="AV118" s="23">
        <f>EXP(-LN(2)/25)*AV117+(1-EXP(-LN(2)/25))/(LN(2)/25)*Calculateur!AQ118*Calculateur!AS118*VLOOKUP('Données projet'!$B$10,Paramètres!$A$1:$I$89,3,0)*0.475*44/12</f>
        <v>1.2419623331826239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10.945403563334613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1.5961632016114892E-13</v>
      </c>
      <c r="BF118" s="14">
        <f t="shared" si="91"/>
        <v>2.2708641912150958E-12</v>
      </c>
      <c r="BG118" s="22">
        <f t="shared" si="61"/>
        <v>4.2330868906469593E-12</v>
      </c>
      <c r="BH118" s="62">
        <f t="shared" si="62"/>
        <v>274.71085909217862</v>
      </c>
      <c r="BI118" s="62">
        <f ca="1">AVERAGE(OFFSET($BH$3,0,0,'Données projet'!$E$11+1,1))-AVERAGE(OFFSET($H$3,0,0,'Données projet'!$E$11+1,1))</f>
        <v>374.62597460242665</v>
      </c>
      <c r="BJ118" s="62">
        <f t="shared" si="92"/>
        <v>277.50105097454616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343</v>
      </c>
      <c r="BW118" s="13">
        <f>VLOOKUP(A118,'Données projet'!$A$113:$I$133,9,0)</f>
        <v>5</v>
      </c>
      <c r="BX118" s="13">
        <f t="array" ref="BX118">INDEX(BW:BW,MIN(IF(ISNUMBER(BW118:BW314),ROW(BW118:BW314),"")))</f>
        <v>5</v>
      </c>
      <c r="BY118" s="13">
        <f>IF('Données projet'!$A$114&gt;35,BY117+BX118-CG117,IF(A118&lt;'Données projet'!$A$114,$BV$205^A118,IF(A118='Données projet'!$A$114,'Données projet'!$B$114,BY117+BX118-CG117)))</f>
        <v>342.99999999999994</v>
      </c>
      <c r="BZ118" s="14">
        <f>BY118*VLOOKUP('Données projet'!$B$12,Paramètres!$A$1:$I$89,3,0)*VLOOKUP('Données projet'!$B$12,Paramètres!$A$1:$I$89,5,0)</f>
        <v>160.52399999999997</v>
      </c>
      <c r="CA118" s="14">
        <f t="shared" si="93"/>
        <v>40.960682569221582</v>
      </c>
      <c r="CB118" s="22">
        <f t="shared" si="64"/>
        <v>350.91915547472746</v>
      </c>
      <c r="CC118" s="62">
        <f t="shared" si="65"/>
        <v>625.63001456690188</v>
      </c>
      <c r="CD118" s="62">
        <f ca="1">AVERAGE(OFFSET($CC$3,0,0,'Données projet'!$E$12+1,1))-AVERAGE(OFFSET($H$3,0,0,'Données projet'!$E$12+1,1))</f>
        <v>329.79342219561465</v>
      </c>
      <c r="CE118" s="62">
        <f t="shared" si="94"/>
        <v>144.63206563329757</v>
      </c>
      <c r="CF118" s="16">
        <f>IF(ISNA(VLOOKUP(A118,'Données projet'!$A$113:$I$133,3,0)),0,VLOOKUP(A118,'Données projet'!$A$113:$I$133,3,0))</f>
        <v>12</v>
      </c>
      <c r="CG118" s="16">
        <f>IF(ISNA(VLOOKUP(A118,'Données projet'!$A$113:$I$133,4,0)),0,VLOOKUP(A118,'Données projet'!$A$113:$I$133,4,0))</f>
        <v>65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6.8212102632969618E-13</v>
      </c>
      <c r="CU118" s="18">
        <f>CT118*VLOOKUP('Données projet'!$B$13,Paramètres!$A$1:$I$89,3,0)*VLOOKUP('Données projet'!$B$13,Paramètres!$A$1:$I$89,5,0)</f>
        <v>4.0790837374515837E-13</v>
      </c>
      <c r="CV118" s="14">
        <f t="shared" si="95"/>
        <v>5.2028966193600884E-12</v>
      </c>
      <c r="CW118" s="22">
        <f t="shared" si="67"/>
        <v>9.7721520296583044E-12</v>
      </c>
      <c r="CX118" s="62">
        <f t="shared" si="68"/>
        <v>274.71085909218419</v>
      </c>
      <c r="CY118" s="62">
        <f ca="1">AVERAGE(OFFSET($CX$3,0,0,'Données projet'!$E$13+1,1))-AVERAGE(OFFSET($H$3,0,0,'Données projet'!$E$13+1,1))</f>
        <v>530.27599556821826</v>
      </c>
      <c r="CZ118" s="62">
        <f t="shared" si="96"/>
        <v>370.62231794492129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2.4186973561509161E-12</v>
      </c>
      <c r="DI118" s="24">
        <f t="shared" si="69"/>
        <v>2.4186973561509161E-12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323.41919999999999</v>
      </c>
      <c r="DQ118" s="14">
        <f t="shared" si="97"/>
        <v>76.06434405252827</v>
      </c>
      <c r="DR118" s="22">
        <f t="shared" si="70"/>
        <v>695.76717255815345</v>
      </c>
      <c r="DS118" s="62">
        <f t="shared" si="71"/>
        <v>970.47803165032792</v>
      </c>
      <c r="DT118" s="62">
        <f ca="1">AVERAGE(OFFSET($DS$3,0,0,'Données projet'!$E$14+1,1))-AVERAGE(OFFSET($H$3,0,0,'Données projet'!$E$14+1,1))</f>
        <v>520.23742527061836</v>
      </c>
      <c r="DU118" s="62">
        <f t="shared" si="98"/>
        <v>321.35925479331274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-1.1882548278663309E-13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435.44444011810265</v>
      </c>
      <c r="EP118" s="62">
        <f t="shared" si="100"/>
        <v>447.15868732689762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>
        <f>VLOOKUP(A118,'Données projet'!$A$217:$I$237,2,0)</f>
        <v>330</v>
      </c>
      <c r="FC118" s="13">
        <f>VLOOKUP(A118,'Données projet'!$A$217:$I$237,9,0)</f>
        <v>4.5999999999999996</v>
      </c>
      <c r="FD118" s="13">
        <f t="array" ref="FD118">INDEX(FC:FC,MIN(IF(ISNUMBER(FC118:FC314),ROW(FC118:FC314),"")))</f>
        <v>4.5999999999999996</v>
      </c>
      <c r="FE118" s="13">
        <f>IF('Données projet'!$A$218&gt;35,FE117+FD118-FM117,IF(A118&lt;'Données projet'!$A$218,$FB$205^A118,IF(A118='Données projet'!$A$218,'Données projet'!$B$218,FE117+FD118-FM117)))</f>
        <v>330</v>
      </c>
      <c r="FF118" s="18">
        <f>FE118*VLOOKUP('Données projet'!$B$16,Paramètres!$A$1:$I$89,3,0)*VLOOKUP('Données projet'!$B$16,Paramètres!$A$1:$I$89,5,0)</f>
        <v>334.62</v>
      </c>
      <c r="FG118" s="14">
        <f t="shared" si="101"/>
        <v>78.387374628661505</v>
      </c>
      <c r="FH118" s="22">
        <f t="shared" si="76"/>
        <v>719.32117747825214</v>
      </c>
      <c r="FI118" s="62">
        <f t="shared" si="77"/>
        <v>994.0320365704265</v>
      </c>
      <c r="FJ118" s="62">
        <f ca="1">AVERAGE(OFFSET($FI$3,0,0,'Données projet'!$E$16+1,1))-AVERAGE(OFFSET($H$3,0,0,'Données projet'!$E$16+1,1))</f>
        <v>547.89540791313675</v>
      </c>
      <c r="FK118" s="62">
        <f t="shared" si="102"/>
        <v>345.19555189302378</v>
      </c>
      <c r="FL118" s="16">
        <f>IF(ISNA(VLOOKUP(A118,'Données projet'!$A$217:$I$237,3,0)),0,VLOOKUP(A118,'Données projet'!$A$217:$I$237,3,0))</f>
        <v>20</v>
      </c>
      <c r="FM118" s="16">
        <f>IF(ISNA(VLOOKUP(A118,'Données projet'!$A$217:$I$237,4,0)),0,VLOOKUP(A118,'Données projet'!$A$217:$I$237,4,0))</f>
        <v>330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>
        <f>FZ118*VLOOKUP('Données projet'!$B$17,Paramètres!$A$1:$I$89,3,0)*VLOOKUP('Données projet'!$B$17,Paramètres!$A$1:$I$89,5,0)</f>
        <v>0</v>
      </c>
      <c r="GB118" s="14" t="e">
        <f t="shared" si="103"/>
        <v>#NUM!</v>
      </c>
      <c r="GC118" s="22" t="e">
        <f t="shared" si="79"/>
        <v>#NUM!</v>
      </c>
      <c r="GD118" s="62" t="e">
        <f t="shared" si="80"/>
        <v>#NUM!</v>
      </c>
      <c r="GE118" s="62">
        <f ca="1">AVERAGE(OFFSET($GD$3,0,0,'Données projet'!$E$17+1,1))-AVERAGE(OFFSET($H$3,0,0,'Données projet'!$E$17+1,1))</f>
        <v>409.68685886029164</v>
      </c>
      <c r="GF118" s="62">
        <f t="shared" si="104"/>
        <v>330.8416508650887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4.1371853051820759E-12</v>
      </c>
      <c r="GO118" s="23">
        <f t="shared" si="81"/>
        <v>4.1371853051820759E-12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73.098184695482075</v>
      </c>
      <c r="T119" s="62">
        <f t="shared" si="88"/>
        <v>334.38551711782793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9.9719968783368671</v>
      </c>
      <c r="AA119" s="23">
        <f>EXP(-LN(2)/25)*AA118+(1-EXP(-LN(2)/25))/(LN(2)/25)*Calculateur!V119*Calculateur!X119*VLOOKUP('Données projet'!$B$9,Paramètres!$A$1:$I$89,3,0)*0.475*44/12</f>
        <v>1.2662645124294216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11.238261390766288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70.520400819593021</v>
      </c>
      <c r="AO119" s="62">
        <f t="shared" si="90"/>
        <v>321.48616153644309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9.5131626661434545</v>
      </c>
      <c r="AV119" s="23">
        <f>EXP(-LN(2)/25)*AV118+(1-EXP(-LN(2)/25))/(LN(2)/25)*Calculateur!AQ119*Calculateur!AS119*VLOOKUP('Données projet'!$B$10,Paramètres!$A$1:$I$89,3,0)*0.475*44/12</f>
        <v>1.2080008078697846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10.721163474013238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1.5961632016114892E-13</v>
      </c>
      <c r="BF119" s="14">
        <f t="shared" si="91"/>
        <v>2.2708641912150958E-12</v>
      </c>
      <c r="BG119" s="22">
        <f t="shared" si="61"/>
        <v>4.2330868906469593E-12</v>
      </c>
      <c r="BH119" s="62">
        <f t="shared" si="62"/>
        <v>275.03391738664754</v>
      </c>
      <c r="BI119" s="62">
        <f ca="1">AVERAGE(OFFSET($BH$3,0,0,'Données projet'!$E$11+1,1))-AVERAGE(OFFSET($H$3,0,0,'Données projet'!$E$11+1,1))</f>
        <v>374.62597460242665</v>
      </c>
      <c r="BJ119" s="62">
        <f t="shared" si="92"/>
        <v>277.50105097454616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4.5</v>
      </c>
      <c r="BY119" s="13">
        <f>IF('Données projet'!$A$114&gt;35,BY118+BX119-CG118,IF(A119&lt;'Données projet'!$A$114,$BV$205^A119,IF(A119='Données projet'!$A$114,'Données projet'!$B$114,BY118+BX119-CG118)))</f>
        <v>282.49999999999994</v>
      </c>
      <c r="BZ119" s="14">
        <f>BY119*VLOOKUP('Données projet'!$B$12,Paramètres!$A$1:$I$89,3,0)*VLOOKUP('Données projet'!$B$12,Paramètres!$A$1:$I$89,5,0)</f>
        <v>132.20999999999998</v>
      </c>
      <c r="CA119" s="14">
        <f t="shared" si="93"/>
        <v>34.506523360017169</v>
      </c>
      <c r="CB119" s="22">
        <f t="shared" si="64"/>
        <v>290.36461151869656</v>
      </c>
      <c r="CC119" s="62">
        <f t="shared" si="65"/>
        <v>565.39852890533984</v>
      </c>
      <c r="CD119" s="62">
        <f ca="1">AVERAGE(OFFSET($CC$3,0,0,'Données projet'!$E$12+1,1))-AVERAGE(OFFSET($H$3,0,0,'Données projet'!$E$12+1,1))</f>
        <v>329.79342219561465</v>
      </c>
      <c r="CE119" s="62">
        <f t="shared" si="94"/>
        <v>144.63206563329757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6.8212102632969618E-13</v>
      </c>
      <c r="CU119" s="18">
        <f>CT119*VLOOKUP('Données projet'!$B$13,Paramètres!$A$1:$I$89,3,0)*VLOOKUP('Données projet'!$B$13,Paramètres!$A$1:$I$89,5,0)</f>
        <v>4.0790837374515837E-13</v>
      </c>
      <c r="CV119" s="14">
        <f t="shared" si="95"/>
        <v>5.2028966193600884E-12</v>
      </c>
      <c r="CW119" s="22">
        <f t="shared" si="67"/>
        <v>9.7721520296583044E-12</v>
      </c>
      <c r="CX119" s="62">
        <f t="shared" si="68"/>
        <v>275.03391738665312</v>
      </c>
      <c r="CY119" s="62">
        <f ca="1">AVERAGE(OFFSET($CX$3,0,0,'Données projet'!$E$13+1,1))-AVERAGE(OFFSET($H$3,0,0,'Données projet'!$E$13+1,1))</f>
        <v>530.27599556821826</v>
      </c>
      <c r="CZ119" s="62">
        <f t="shared" si="96"/>
        <v>370.62231794492129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1.7102773021722869E-12</v>
      </c>
      <c r="DI119" s="24">
        <f t="shared" si="69"/>
        <v>1.7102773021722869E-12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307.02048000000002</v>
      </c>
      <c r="DQ119" s="14">
        <f t="shared" si="97"/>
        <v>72.646238485840655</v>
      </c>
      <c r="DR119" s="22">
        <f t="shared" si="70"/>
        <v>661.25286802950575</v>
      </c>
      <c r="DS119" s="62">
        <f t="shared" si="71"/>
        <v>936.28678541614909</v>
      </c>
      <c r="DT119" s="62">
        <f ca="1">AVERAGE(OFFSET($DS$3,0,0,'Données projet'!$E$14+1,1))-AVERAGE(OFFSET($H$3,0,0,'Données projet'!$E$14+1,1))</f>
        <v>520.23742527061836</v>
      </c>
      <c r="DU119" s="62">
        <f t="shared" si="98"/>
        <v>321.35925479331274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-1.1882548278663309E-13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435.44444011810265</v>
      </c>
      <c r="EP119" s="62">
        <f t="shared" si="100"/>
        <v>447.15868732689762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2" t="e">
        <f t="shared" si="77"/>
        <v>#NUM!</v>
      </c>
      <c r="FJ119" s="62">
        <f ca="1">AVERAGE(OFFSET($FI$3,0,0,'Données projet'!$E$16+1,1))-AVERAGE(OFFSET($H$3,0,0,'Données projet'!$E$16+1,1))</f>
        <v>547.89540791313675</v>
      </c>
      <c r="FK119" s="62">
        <f t="shared" si="102"/>
        <v>345.19555189302378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>
        <f>FZ119*VLOOKUP('Données projet'!$B$17,Paramètres!$A$1:$I$89,3,0)*VLOOKUP('Données projet'!$B$17,Paramètres!$A$1:$I$89,5,0)</f>
        <v>0</v>
      </c>
      <c r="GB119" s="14" t="e">
        <f t="shared" si="103"/>
        <v>#NUM!</v>
      </c>
      <c r="GC119" s="22" t="e">
        <f t="shared" si="79"/>
        <v>#NUM!</v>
      </c>
      <c r="GD119" s="62" t="e">
        <f t="shared" si="80"/>
        <v>#NUM!</v>
      </c>
      <c r="GE119" s="62">
        <f ca="1">AVERAGE(OFFSET($GD$3,0,0,'Données projet'!$E$17+1,1))-AVERAGE(OFFSET($H$3,0,0,'Données projet'!$E$17+1,1))</f>
        <v>409.68685886029164</v>
      </c>
      <c r="GF119" s="62">
        <f t="shared" si="104"/>
        <v>330.8416508650887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2.925431784319582E-12</v>
      </c>
      <c r="GO119" s="23">
        <f t="shared" si="81"/>
        <v>2.925431784319582E-12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73.098184695482075</v>
      </c>
      <c r="T120" s="62">
        <f t="shared" si="88"/>
        <v>334.38551711782793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9.7764521018701984</v>
      </c>
      <c r="AA120" s="23">
        <f>EXP(-LN(2)/25)*AA119+(1-EXP(-LN(2)/25))/(LN(2)/25)*Calculateur!V120*Calculateur!X120*VLOOKUP('Données projet'!$B$9,Paramètres!$A$1:$I$89,3,0)*0.475*44/12</f>
        <v>1.2316384427470826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11.00809054461728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70.520400819593021</v>
      </c>
      <c r="AO120" s="62">
        <f t="shared" si="90"/>
        <v>321.48616153644309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9.326615348716663</v>
      </c>
      <c r="AV120" s="23">
        <f>EXP(-LN(2)/25)*AV119+(1-EXP(-LN(2)/25))/(LN(2)/25)*Calculateur!AQ120*Calculateur!AS120*VLOOKUP('Données projet'!$B$10,Paramètres!$A$1:$I$89,3,0)*0.475*44/12</f>
        <v>1.1749679622525837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10.501583310969247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1.5961632016114892E-13</v>
      </c>
      <c r="BF120" s="14">
        <f t="shared" si="91"/>
        <v>2.2708641912150958E-12</v>
      </c>
      <c r="BG120" s="22">
        <f t="shared" si="61"/>
        <v>4.2330868906469593E-12</v>
      </c>
      <c r="BH120" s="62">
        <f t="shared" si="62"/>
        <v>275.35137134195747</v>
      </c>
      <c r="BI120" s="62">
        <f ca="1">AVERAGE(OFFSET($BH$3,0,0,'Données projet'!$E$11+1,1))-AVERAGE(OFFSET($H$3,0,0,'Données projet'!$E$11+1,1))</f>
        <v>374.62597460242665</v>
      </c>
      <c r="BJ120" s="62">
        <f t="shared" si="92"/>
        <v>277.50105097454616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4.5</v>
      </c>
      <c r="BY120" s="13">
        <f>IF('Données projet'!$A$114&gt;35,BY119+BX120-CG119,IF(A120&lt;'Données projet'!$A$114,$BV$205^A120,IF(A120='Données projet'!$A$114,'Données projet'!$B$114,BY119+BX120-CG119)))</f>
        <v>286.99999999999994</v>
      </c>
      <c r="BZ120" s="14">
        <f>BY120*VLOOKUP('Données projet'!$B$12,Paramètres!$A$1:$I$89,3,0)*VLOOKUP('Données projet'!$B$12,Paramètres!$A$1:$I$89,5,0)</f>
        <v>134.31599999999997</v>
      </c>
      <c r="CA120" s="14">
        <f t="shared" si="93"/>
        <v>34.991756585122445</v>
      </c>
      <c r="CB120" s="22">
        <f t="shared" si="64"/>
        <v>294.87767605242158</v>
      </c>
      <c r="CC120" s="62">
        <f t="shared" si="65"/>
        <v>570.2290473943749</v>
      </c>
      <c r="CD120" s="62">
        <f ca="1">AVERAGE(OFFSET($CC$3,0,0,'Données projet'!$E$12+1,1))-AVERAGE(OFFSET($H$3,0,0,'Données projet'!$E$12+1,1))</f>
        <v>329.79342219561465</v>
      </c>
      <c r="CE120" s="62">
        <f t="shared" si="94"/>
        <v>144.63206563329757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6.8212102632969618E-13</v>
      </c>
      <c r="CU120" s="18">
        <f>CT120*VLOOKUP('Données projet'!$B$13,Paramètres!$A$1:$I$89,3,0)*VLOOKUP('Données projet'!$B$13,Paramètres!$A$1:$I$89,5,0)</f>
        <v>4.0790837374515837E-13</v>
      </c>
      <c r="CV120" s="14">
        <f t="shared" si="95"/>
        <v>5.2028966193600884E-12</v>
      </c>
      <c r="CW120" s="22">
        <f t="shared" si="67"/>
        <v>9.7721520296583044E-12</v>
      </c>
      <c r="CX120" s="62">
        <f t="shared" si="68"/>
        <v>275.35137134196304</v>
      </c>
      <c r="CY120" s="62">
        <f ca="1">AVERAGE(OFFSET($CX$3,0,0,'Données projet'!$E$13+1,1))-AVERAGE(OFFSET($H$3,0,0,'Données projet'!$E$13+1,1))</f>
        <v>530.27599556821826</v>
      </c>
      <c r="CZ120" s="62">
        <f t="shared" si="96"/>
        <v>370.62231794492129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1.2093486780754581E-12</v>
      </c>
      <c r="DI120" s="24">
        <f t="shared" si="69"/>
        <v>1.2093486780754581E-12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311.12016000000006</v>
      </c>
      <c r="DQ120" s="14">
        <f t="shared" si="97"/>
        <v>73.502715032849821</v>
      </c>
      <c r="DR120" s="22">
        <f t="shared" si="70"/>
        <v>669.88484068221362</v>
      </c>
      <c r="DS120" s="62">
        <f t="shared" si="71"/>
        <v>945.23621202416689</v>
      </c>
      <c r="DT120" s="62">
        <f ca="1">AVERAGE(OFFSET($DS$3,0,0,'Données projet'!$E$14+1,1))-AVERAGE(OFFSET($H$3,0,0,'Données projet'!$E$14+1,1))</f>
        <v>520.23742527061836</v>
      </c>
      <c r="DU120" s="62">
        <f t="shared" si="98"/>
        <v>321.35925479331274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-1.1882548278663309E-13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435.44444011810265</v>
      </c>
      <c r="EP120" s="62">
        <f t="shared" si="100"/>
        <v>447.15868732689762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2" t="e">
        <f t="shared" si="77"/>
        <v>#NUM!</v>
      </c>
      <c r="FJ120" s="62">
        <f ca="1">AVERAGE(OFFSET($FI$3,0,0,'Données projet'!$E$16+1,1))-AVERAGE(OFFSET($H$3,0,0,'Données projet'!$E$16+1,1))</f>
        <v>547.89540791313675</v>
      </c>
      <c r="FK120" s="62">
        <f t="shared" si="102"/>
        <v>345.19555189302378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>
        <f>FZ120*VLOOKUP('Données projet'!$B$17,Paramètres!$A$1:$I$89,3,0)*VLOOKUP('Données projet'!$B$17,Paramètres!$A$1:$I$89,5,0)</f>
        <v>0</v>
      </c>
      <c r="GB120" s="14" t="e">
        <f t="shared" si="103"/>
        <v>#NUM!</v>
      </c>
      <c r="GC120" s="22" t="e">
        <f t="shared" si="79"/>
        <v>#NUM!</v>
      </c>
      <c r="GD120" s="62" t="e">
        <f t="shared" si="80"/>
        <v>#NUM!</v>
      </c>
      <c r="GE120" s="62">
        <f ca="1">AVERAGE(OFFSET($GD$3,0,0,'Données projet'!$E$17+1,1))-AVERAGE(OFFSET($H$3,0,0,'Données projet'!$E$17+1,1))</f>
        <v>409.68685886029164</v>
      </c>
      <c r="GF120" s="62">
        <f t="shared" si="104"/>
        <v>330.8416508650887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2.0685926525910379E-12</v>
      </c>
      <c r="GO120" s="23">
        <f t="shared" si="81"/>
        <v>2.0685926525910379E-12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73.098184695482075</v>
      </c>
      <c r="T121" s="62">
        <f t="shared" si="88"/>
        <v>334.38551711782793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9.5847418391995038</v>
      </c>
      <c r="AA121" s="23">
        <f>EXP(-LN(2)/25)*AA120+(1-EXP(-LN(2)/25))/(LN(2)/25)*Calculateur!V121*Calculateur!X121*VLOOKUP('Données projet'!$B$9,Paramètres!$A$1:$I$89,3,0)*0.475*44/12</f>
        <v>1.1979592247611128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10.782701063960616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70.520400819593021</v>
      </c>
      <c r="AO121" s="62">
        <f t="shared" si="90"/>
        <v>321.48616153644309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9.1437261104019818</v>
      </c>
      <c r="AV121" s="23">
        <f>EXP(-LN(2)/25)*AV120+(1-EXP(-LN(2)/25))/(LN(2)/25)*Calculateur!AQ121*Calculateur!AS121*VLOOKUP('Données projet'!$B$10,Paramètres!$A$1:$I$89,3,0)*0.475*44/12</f>
        <v>1.142838401535907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10.28656451193789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1.5961632016114892E-13</v>
      </c>
      <c r="BF121" s="14">
        <f t="shared" si="91"/>
        <v>2.2708641912150958E-12</v>
      </c>
      <c r="BG121" s="22">
        <f t="shared" si="61"/>
        <v>4.2330868906469593E-12</v>
      </c>
      <c r="BH121" s="62">
        <f t="shared" si="62"/>
        <v>275.66331818086354</v>
      </c>
      <c r="BI121" s="62">
        <f ca="1">AVERAGE(OFFSET($BH$3,0,0,'Données projet'!$E$11+1,1))-AVERAGE(OFFSET($H$3,0,0,'Données projet'!$E$11+1,1))</f>
        <v>374.62597460242665</v>
      </c>
      <c r="BJ121" s="62">
        <f t="shared" si="92"/>
        <v>277.50105097454616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4.5</v>
      </c>
      <c r="BY121" s="13">
        <f>IF('Données projet'!$A$114&gt;35,BY120+BX121-CG120,IF(A121&lt;'Données projet'!$A$114,$BV$205^A121,IF(A121='Données projet'!$A$114,'Données projet'!$B$114,BY120+BX121-CG120)))</f>
        <v>291.49999999999994</v>
      </c>
      <c r="BZ121" s="14">
        <f>BY121*VLOOKUP('Données projet'!$B$12,Paramètres!$A$1:$I$89,3,0)*VLOOKUP('Données projet'!$B$12,Paramètres!$A$1:$I$89,5,0)</f>
        <v>136.42199999999997</v>
      </c>
      <c r="CA121" s="14">
        <f t="shared" si="93"/>
        <v>35.476104986642639</v>
      </c>
      <c r="CB121" s="22">
        <f t="shared" si="64"/>
        <v>299.38919951840256</v>
      </c>
      <c r="CC121" s="62">
        <f t="shared" si="65"/>
        <v>575.0525176992619</v>
      </c>
      <c r="CD121" s="62">
        <f ca="1">AVERAGE(OFFSET($CC$3,0,0,'Données projet'!$E$12+1,1))-AVERAGE(OFFSET($H$3,0,0,'Données projet'!$E$12+1,1))</f>
        <v>329.79342219561465</v>
      </c>
      <c r="CE121" s="62">
        <f t="shared" si="94"/>
        <v>144.63206563329757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6.8212102632969618E-13</v>
      </c>
      <c r="CU121" s="18">
        <f>CT121*VLOOKUP('Données projet'!$B$13,Paramètres!$A$1:$I$89,3,0)*VLOOKUP('Données projet'!$B$13,Paramètres!$A$1:$I$89,5,0)</f>
        <v>4.0790837374515837E-13</v>
      </c>
      <c r="CV121" s="14">
        <f t="shared" si="95"/>
        <v>5.2028966193600884E-12</v>
      </c>
      <c r="CW121" s="22">
        <f t="shared" si="67"/>
        <v>9.7721520296583044E-12</v>
      </c>
      <c r="CX121" s="62">
        <f t="shared" si="68"/>
        <v>275.66331818086911</v>
      </c>
      <c r="CY121" s="62">
        <f ca="1">AVERAGE(OFFSET($CX$3,0,0,'Données projet'!$E$13+1,1))-AVERAGE(OFFSET($H$3,0,0,'Données projet'!$E$13+1,1))</f>
        <v>530.27599556821826</v>
      </c>
      <c r="CZ121" s="62">
        <f t="shared" si="96"/>
        <v>370.62231794492129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8.5513865108614344E-13</v>
      </c>
      <c r="DI121" s="24">
        <f t="shared" si="69"/>
        <v>8.5513865108614344E-13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315.21984000000009</v>
      </c>
      <c r="DQ121" s="14">
        <f t="shared" si="97"/>
        <v>74.357878864613525</v>
      </c>
      <c r="DR121" s="22">
        <f t="shared" si="70"/>
        <v>678.51452702253539</v>
      </c>
      <c r="DS121" s="62">
        <f t="shared" si="71"/>
        <v>954.17784520339478</v>
      </c>
      <c r="DT121" s="62">
        <f ca="1">AVERAGE(OFFSET($DS$3,0,0,'Données projet'!$E$14+1,1))-AVERAGE(OFFSET($H$3,0,0,'Données projet'!$E$14+1,1))</f>
        <v>520.23742527061836</v>
      </c>
      <c r="DU121" s="62">
        <f t="shared" si="98"/>
        <v>321.35925479331274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-1.1882548278663309E-13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435.44444011810265</v>
      </c>
      <c r="EP121" s="62">
        <f t="shared" si="100"/>
        <v>447.15868732689762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2" t="e">
        <f t="shared" si="77"/>
        <v>#NUM!</v>
      </c>
      <c r="FJ121" s="62">
        <f ca="1">AVERAGE(OFFSET($FI$3,0,0,'Données projet'!$E$16+1,1))-AVERAGE(OFFSET($H$3,0,0,'Données projet'!$E$16+1,1))</f>
        <v>547.89540791313675</v>
      </c>
      <c r="FK121" s="62">
        <f t="shared" si="102"/>
        <v>345.19555189302378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>
        <f>FZ121*VLOOKUP('Données projet'!$B$17,Paramètres!$A$1:$I$89,3,0)*VLOOKUP('Données projet'!$B$17,Paramètres!$A$1:$I$89,5,0)</f>
        <v>0</v>
      </c>
      <c r="GB121" s="14" t="e">
        <f t="shared" si="103"/>
        <v>#NUM!</v>
      </c>
      <c r="GC121" s="22" t="e">
        <f t="shared" si="79"/>
        <v>#NUM!</v>
      </c>
      <c r="GD121" s="62" t="e">
        <f t="shared" si="80"/>
        <v>#NUM!</v>
      </c>
      <c r="GE121" s="62">
        <f ca="1">AVERAGE(OFFSET($GD$3,0,0,'Données projet'!$E$17+1,1))-AVERAGE(OFFSET($H$3,0,0,'Données projet'!$E$17+1,1))</f>
        <v>409.68685886029164</v>
      </c>
      <c r="GF121" s="62">
        <f t="shared" si="104"/>
        <v>330.8416508650887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1.462715892159791E-12</v>
      </c>
      <c r="GO121" s="23">
        <f t="shared" si="81"/>
        <v>1.462715892159791E-12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73.098184695482075</v>
      </c>
      <c r="T122" s="62">
        <f t="shared" si="88"/>
        <v>334.38551711782793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9.3967908978480672</v>
      </c>
      <c r="AA122" s="23">
        <f>EXP(-LN(2)/25)*AA121+(1-EXP(-LN(2)/25))/(LN(2)/25)*Calculateur!V122*Calculateur!X122*VLOOKUP('Données projet'!$B$9,Paramètres!$A$1:$I$89,3,0)*0.475*44/12</f>
        <v>1.1652009667620826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10.56199186461015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70.520400819593021</v>
      </c>
      <c r="AO122" s="62">
        <f t="shared" si="90"/>
        <v>321.48616153644309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8.9644232184992312</v>
      </c>
      <c r="AV122" s="23">
        <f>EXP(-LN(2)/25)*AV121+(1-EXP(-LN(2)/25))/(LN(2)/25)*Calculateur!AQ122*Calculateur!AS122*VLOOKUP('Données projet'!$B$10,Paramètres!$A$1:$I$89,3,0)*0.475*44/12</f>
        <v>1.111587425346648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10.07601064384588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1.5961632016114892E-13</v>
      </c>
      <c r="BF122" s="14">
        <f t="shared" si="91"/>
        <v>2.2708641912150958E-12</v>
      </c>
      <c r="BG122" s="22">
        <f t="shared" si="61"/>
        <v>4.2330868906469593E-12</v>
      </c>
      <c r="BH122" s="62">
        <f t="shared" si="62"/>
        <v>275.96985343952321</v>
      </c>
      <c r="BI122" s="62">
        <f ca="1">AVERAGE(OFFSET($BH$3,0,0,'Données projet'!$E$11+1,1))-AVERAGE(OFFSET($H$3,0,0,'Données projet'!$E$11+1,1))</f>
        <v>374.62597460242665</v>
      </c>
      <c r="BJ122" s="62">
        <f t="shared" si="92"/>
        <v>277.50105097454616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>
        <f>VLOOKUP(A122,'Données projet'!$A$113:$I$133,2,0)</f>
        <v>296</v>
      </c>
      <c r="BW122" s="13">
        <f>VLOOKUP(A122,'Données projet'!$A$113:$I$133,9,0)</f>
        <v>4.5</v>
      </c>
      <c r="BX122" s="13">
        <f t="array" ref="BX122">INDEX(BW:BW,MIN(IF(ISNUMBER(BW122:BW318),ROW(BW122:BW318),"")))</f>
        <v>4.5</v>
      </c>
      <c r="BY122" s="13">
        <f>IF('Données projet'!$A$114&gt;35,BY121+BX122-CG121,IF(A122&lt;'Données projet'!$A$114,$BV$205^A122,IF(A122='Données projet'!$A$114,'Données projet'!$B$114,BY121+BX122-CG121)))</f>
        <v>295.99999999999994</v>
      </c>
      <c r="BZ122" s="14">
        <f>BY122*VLOOKUP('Données projet'!$B$12,Paramètres!$A$1:$I$89,3,0)*VLOOKUP('Données projet'!$B$12,Paramètres!$A$1:$I$89,5,0)</f>
        <v>138.52799999999996</v>
      </c>
      <c r="CA122" s="14">
        <f t="shared" si="93"/>
        <v>35.959583801423776</v>
      </c>
      <c r="CB122" s="22">
        <f t="shared" si="64"/>
        <v>303.89920845414628</v>
      </c>
      <c r="CC122" s="62">
        <f t="shared" si="65"/>
        <v>579.86906189366528</v>
      </c>
      <c r="CD122" s="62">
        <f ca="1">AVERAGE(OFFSET($CC$3,0,0,'Données projet'!$E$12+1,1))-AVERAGE(OFFSET($H$3,0,0,'Données projet'!$E$12+1,1))</f>
        <v>329.79342219561465</v>
      </c>
      <c r="CE122" s="62">
        <f t="shared" si="94"/>
        <v>144.63206563329757</v>
      </c>
      <c r="CF122" s="16">
        <f>IF(ISNA(VLOOKUP(A122,'Données projet'!$A$113:$I$133,3,0)),0,VLOOKUP(A122,'Données projet'!$A$113:$I$133,3,0))</f>
        <v>13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6.8212102632969618E-13</v>
      </c>
      <c r="CU122" s="18">
        <f>CT122*VLOOKUP('Données projet'!$B$13,Paramètres!$A$1:$I$89,3,0)*VLOOKUP('Données projet'!$B$13,Paramètres!$A$1:$I$89,5,0)</f>
        <v>4.0790837374515837E-13</v>
      </c>
      <c r="CV122" s="14">
        <f t="shared" si="95"/>
        <v>5.2028966193600884E-12</v>
      </c>
      <c r="CW122" s="22">
        <f t="shared" si="67"/>
        <v>9.7721520296583044E-12</v>
      </c>
      <c r="CX122" s="62">
        <f t="shared" si="68"/>
        <v>275.96985343952878</v>
      </c>
      <c r="CY122" s="62">
        <f ca="1">AVERAGE(OFFSET($CX$3,0,0,'Données projet'!$E$13+1,1))-AVERAGE(OFFSET($H$3,0,0,'Données projet'!$E$13+1,1))</f>
        <v>530.27599556821826</v>
      </c>
      <c r="CZ122" s="62">
        <f t="shared" si="96"/>
        <v>370.62231794492129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6.0467433903772903E-13</v>
      </c>
      <c r="DI122" s="24">
        <f t="shared" si="69"/>
        <v>6.0467433903772903E-13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319.31952000000013</v>
      </c>
      <c r="DQ122" s="14">
        <f t="shared" si="97"/>
        <v>75.211749027961957</v>
      </c>
      <c r="DR122" s="22">
        <f t="shared" si="70"/>
        <v>687.14196022370061</v>
      </c>
      <c r="DS122" s="62">
        <f t="shared" si="71"/>
        <v>963.11181366321966</v>
      </c>
      <c r="DT122" s="62">
        <f ca="1">AVERAGE(OFFSET($DS$3,0,0,'Données projet'!$E$14+1,1))-AVERAGE(OFFSET($H$3,0,0,'Données projet'!$E$14+1,1))</f>
        <v>520.23742527061836</v>
      </c>
      <c r="DU122" s="62">
        <f t="shared" si="98"/>
        <v>321.35925479331274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-1.1882548278663309E-13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435.44444011810265</v>
      </c>
      <c r="EP122" s="62">
        <f t="shared" si="100"/>
        <v>447.15868732689762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2" t="e">
        <f t="shared" si="77"/>
        <v>#NUM!</v>
      </c>
      <c r="FJ122" s="62">
        <f ca="1">AVERAGE(OFFSET($FI$3,0,0,'Données projet'!$E$16+1,1))-AVERAGE(OFFSET($H$3,0,0,'Données projet'!$E$16+1,1))</f>
        <v>547.89540791313675</v>
      </c>
      <c r="FK122" s="62">
        <f t="shared" si="102"/>
        <v>345.19555189302378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>
        <f>FZ122*VLOOKUP('Données projet'!$B$17,Paramètres!$A$1:$I$89,3,0)*VLOOKUP('Données projet'!$B$17,Paramètres!$A$1:$I$89,5,0)</f>
        <v>0</v>
      </c>
      <c r="GB122" s="14" t="e">
        <f t="shared" si="103"/>
        <v>#NUM!</v>
      </c>
      <c r="GC122" s="22" t="e">
        <f t="shared" si="79"/>
        <v>#NUM!</v>
      </c>
      <c r="GD122" s="62" t="e">
        <f t="shared" si="80"/>
        <v>#NUM!</v>
      </c>
      <c r="GE122" s="62">
        <f ca="1">AVERAGE(OFFSET($GD$3,0,0,'Données projet'!$E$17+1,1))-AVERAGE(OFFSET($H$3,0,0,'Données projet'!$E$17+1,1))</f>
        <v>409.68685886029164</v>
      </c>
      <c r="GF122" s="62">
        <f t="shared" si="104"/>
        <v>330.8416508650887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1.034296326295519E-12</v>
      </c>
      <c r="GO122" s="23">
        <f t="shared" si="81"/>
        <v>1.034296326295519E-12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73.098184695482075</v>
      </c>
      <c r="T123" s="62">
        <f t="shared" si="88"/>
        <v>334.38551711782793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9.2125255598177773</v>
      </c>
      <c r="AA123" s="23">
        <f>EXP(-LN(2)/25)*AA122+(1-EXP(-LN(2)/25))/(LN(2)/25)*Calculateur!V123*Calculateur!X123*VLOOKUP('Données projet'!$B$9,Paramètres!$A$1:$I$89,3,0)*0.475*44/12</f>
        <v>1.1333384850507178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10.345864044868495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70.520400819593021</v>
      </c>
      <c r="AO123" s="62">
        <f t="shared" si="90"/>
        <v>321.48616153644309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8.7886363469427291</v>
      </c>
      <c r="AV123" s="23">
        <f>EXP(-LN(2)/25)*AV122+(1-EXP(-LN(2)/25))/(LN(2)/25)*Calculateur!AQ123*Calculateur!AS123*VLOOKUP('Données projet'!$B$10,Paramètres!$A$1:$I$89,3,0)*0.475*44/12</f>
        <v>1.0811910087447019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9.8698273556874305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1.5961632016114892E-13</v>
      </c>
      <c r="BF123" s="14">
        <f t="shared" si="91"/>
        <v>2.2708641912150958E-12</v>
      </c>
      <c r="BG123" s="22">
        <f t="shared" si="61"/>
        <v>4.2330868906469593E-12</v>
      </c>
      <c r="BH123" s="62">
        <f t="shared" si="62"/>
        <v>276.27107099675538</v>
      </c>
      <c r="BI123" s="62">
        <f ca="1">AVERAGE(OFFSET($BH$3,0,0,'Données projet'!$E$11+1,1))-AVERAGE(OFFSET($H$3,0,0,'Données projet'!$E$11+1,1))</f>
        <v>374.62597460242665</v>
      </c>
      <c r="BJ123" s="62">
        <f t="shared" si="92"/>
        <v>277.50105097454616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4.375</v>
      </c>
      <c r="BY123" s="13">
        <f>IF('Données projet'!$A$114&gt;35,BY122+BX123-CG122,IF(A123&lt;'Données projet'!$A$114,$BV$205^A123,IF(A123='Données projet'!$A$114,'Données projet'!$B$114,BY122+BX123-CG122)))</f>
        <v>300.37499999999994</v>
      </c>
      <c r="BZ123" s="14">
        <f>BY123*VLOOKUP('Données projet'!$B$12,Paramètres!$A$1:$I$89,3,0)*VLOOKUP('Données projet'!$B$12,Paramètres!$A$1:$I$89,5,0)</f>
        <v>140.57549999999998</v>
      </c>
      <c r="CA123" s="14">
        <f t="shared" si="93"/>
        <v>36.428812970091322</v>
      </c>
      <c r="CB123" s="22">
        <f t="shared" si="64"/>
        <v>308.28251175624234</v>
      </c>
      <c r="CC123" s="62">
        <f t="shared" si="65"/>
        <v>584.55358275299352</v>
      </c>
      <c r="CD123" s="62">
        <f ca="1">AVERAGE(OFFSET($CC$3,0,0,'Données projet'!$E$12+1,1))-AVERAGE(OFFSET($H$3,0,0,'Données projet'!$E$12+1,1))</f>
        <v>329.79342219561465</v>
      </c>
      <c r="CE123" s="62">
        <f t="shared" si="94"/>
        <v>144.63206563329757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6.8212102632969618E-13</v>
      </c>
      <c r="CU123" s="18">
        <f>CT123*VLOOKUP('Données projet'!$B$13,Paramètres!$A$1:$I$89,3,0)*VLOOKUP('Données projet'!$B$13,Paramètres!$A$1:$I$89,5,0)</f>
        <v>4.0790837374515837E-13</v>
      </c>
      <c r="CV123" s="14">
        <f t="shared" si="95"/>
        <v>5.2028966193600884E-12</v>
      </c>
      <c r="CW123" s="22">
        <f t="shared" si="67"/>
        <v>9.7721520296583044E-12</v>
      </c>
      <c r="CX123" s="62">
        <f t="shared" si="68"/>
        <v>276.27107099676095</v>
      </c>
      <c r="CY123" s="62">
        <f ca="1">AVERAGE(OFFSET($CX$3,0,0,'Données projet'!$E$13+1,1))-AVERAGE(OFFSET($H$3,0,0,'Données projet'!$E$13+1,1))</f>
        <v>530.27599556821826</v>
      </c>
      <c r="CZ123" s="62">
        <f t="shared" si="96"/>
        <v>370.62231794492129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4.2756932554307172E-13</v>
      </c>
      <c r="DI123" s="24">
        <f t="shared" si="69"/>
        <v>4.2756932554307172E-13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323.41920000000016</v>
      </c>
      <c r="DQ123" s="14">
        <f t="shared" si="97"/>
        <v>76.06434405252827</v>
      </c>
      <c r="DR123" s="22">
        <f t="shared" si="70"/>
        <v>695.76717255815367</v>
      </c>
      <c r="DS123" s="62">
        <f t="shared" si="71"/>
        <v>972.03824355490485</v>
      </c>
      <c r="DT123" s="62">
        <f ca="1">AVERAGE(OFFSET($DS$3,0,0,'Données projet'!$E$14+1,1))-AVERAGE(OFFSET($H$3,0,0,'Données projet'!$E$14+1,1))</f>
        <v>520.23742527061836</v>
      </c>
      <c r="DU123" s="62">
        <f t="shared" si="98"/>
        <v>321.35925479331274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-1.1882548278663309E-13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435.44444011810265</v>
      </c>
      <c r="EP123" s="62">
        <f t="shared" si="100"/>
        <v>447.15868732689762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2" t="e">
        <f t="shared" si="77"/>
        <v>#NUM!</v>
      </c>
      <c r="FJ123" s="62">
        <f ca="1">AVERAGE(OFFSET($FI$3,0,0,'Données projet'!$E$16+1,1))-AVERAGE(OFFSET($H$3,0,0,'Données projet'!$E$16+1,1))</f>
        <v>547.89540791313675</v>
      </c>
      <c r="FK123" s="62">
        <f t="shared" si="102"/>
        <v>345.19555189302378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>
        <f>FZ123*VLOOKUP('Données projet'!$B$17,Paramètres!$A$1:$I$89,3,0)*VLOOKUP('Données projet'!$B$17,Paramètres!$A$1:$I$89,5,0)</f>
        <v>0</v>
      </c>
      <c r="GB123" s="14" t="e">
        <f t="shared" si="103"/>
        <v>#NUM!</v>
      </c>
      <c r="GC123" s="22" t="e">
        <f t="shared" si="79"/>
        <v>#NUM!</v>
      </c>
      <c r="GD123" s="62" t="e">
        <f t="shared" si="80"/>
        <v>#NUM!</v>
      </c>
      <c r="GE123" s="62">
        <f ca="1">AVERAGE(OFFSET($GD$3,0,0,'Données projet'!$E$17+1,1))-AVERAGE(OFFSET($H$3,0,0,'Données projet'!$E$17+1,1))</f>
        <v>409.68685886029164</v>
      </c>
      <c r="GF123" s="62">
        <f t="shared" si="104"/>
        <v>330.8416508650887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7.3135794607989551E-13</v>
      </c>
      <c r="GO123" s="23">
        <f t="shared" si="81"/>
        <v>7.3135794607989551E-13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73.098184695482075</v>
      </c>
      <c r="T124" s="62">
        <f t="shared" si="88"/>
        <v>334.38551711782793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9.0318735526755027</v>
      </c>
      <c r="AA124" s="23">
        <f>EXP(-LN(2)/25)*AA123+(1-EXP(-LN(2)/25))/(LN(2)/25)*Calculateur!V124*Calculateur!X124*VLOOKUP('Données projet'!$B$9,Paramètres!$A$1:$I$89,3,0)*0.475*44/12</f>
        <v>1.1023472845773252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10.134220837252828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70.520400819593021</v>
      </c>
      <c r="AO124" s="62">
        <f t="shared" si="90"/>
        <v>321.48616153644309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8.6162965487180454</v>
      </c>
      <c r="AV124" s="23">
        <f>EXP(-LN(2)/25)*AV123+(1-EXP(-LN(2)/25))/(LN(2)/25)*Calculateur!AQ124*Calculateur!AS124*VLOOKUP('Données projet'!$B$10,Paramètres!$A$1:$I$89,3,0)*0.475*44/12</f>
        <v>1.0516257837532139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9.6679223324712602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1.5961632016114892E-13</v>
      </c>
      <c r="BF124" s="14">
        <f t="shared" si="91"/>
        <v>2.2708641912150958E-12</v>
      </c>
      <c r="BG124" s="22">
        <f t="shared" si="61"/>
        <v>4.2330868906469593E-12</v>
      </c>
      <c r="BH124" s="62">
        <f t="shared" si="62"/>
        <v>276.56706310279111</v>
      </c>
      <c r="BI124" s="62">
        <f ca="1">AVERAGE(OFFSET($BH$3,0,0,'Données projet'!$E$11+1,1))-AVERAGE(OFFSET($H$3,0,0,'Données projet'!$E$11+1,1))</f>
        <v>374.62597460242665</v>
      </c>
      <c r="BJ124" s="62">
        <f t="shared" si="92"/>
        <v>277.50105097454616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4.375</v>
      </c>
      <c r="BY124" s="13">
        <f>IF('Données projet'!$A$114&gt;35,BY123+BX124-CG123,IF(A124&lt;'Données projet'!$A$114,$BV$205^A124,IF(A124='Données projet'!$A$114,'Données projet'!$B$114,BY123+BX124-CG123)))</f>
        <v>304.74999999999994</v>
      </c>
      <c r="BZ124" s="14">
        <f>BY124*VLOOKUP('Données projet'!$B$12,Paramètres!$A$1:$I$89,3,0)*VLOOKUP('Données projet'!$B$12,Paramètres!$A$1:$I$89,5,0)</f>
        <v>142.62299999999999</v>
      </c>
      <c r="CA124" s="14">
        <f t="shared" si="93"/>
        <v>36.897247260906539</v>
      </c>
      <c r="CB124" s="22">
        <f t="shared" si="64"/>
        <v>312.66443064607887</v>
      </c>
      <c r="CC124" s="62">
        <f t="shared" si="65"/>
        <v>589.23149374886577</v>
      </c>
      <c r="CD124" s="62">
        <f ca="1">AVERAGE(OFFSET($CC$3,0,0,'Données projet'!$E$12+1,1))-AVERAGE(OFFSET($H$3,0,0,'Données projet'!$E$12+1,1))</f>
        <v>329.79342219561465</v>
      </c>
      <c r="CE124" s="62">
        <f t="shared" si="94"/>
        <v>144.63206563329757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6.8212102632969618E-13</v>
      </c>
      <c r="CU124" s="18">
        <f>CT124*VLOOKUP('Données projet'!$B$13,Paramètres!$A$1:$I$89,3,0)*VLOOKUP('Données projet'!$B$13,Paramètres!$A$1:$I$89,5,0)</f>
        <v>4.0790837374515837E-13</v>
      </c>
      <c r="CV124" s="14">
        <f t="shared" si="95"/>
        <v>5.2028966193600884E-12</v>
      </c>
      <c r="CW124" s="22">
        <f t="shared" si="67"/>
        <v>9.7721520296583044E-12</v>
      </c>
      <c r="CX124" s="62">
        <f t="shared" si="68"/>
        <v>276.56706310279668</v>
      </c>
      <c r="CY124" s="62">
        <f ca="1">AVERAGE(OFFSET($CX$3,0,0,'Données projet'!$E$13+1,1))-AVERAGE(OFFSET($H$3,0,0,'Données projet'!$E$13+1,1))</f>
        <v>530.27599556821826</v>
      </c>
      <c r="CZ124" s="62">
        <f t="shared" si="96"/>
        <v>370.62231794492129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3.0233716951886451E-13</v>
      </c>
      <c r="DI124" s="24">
        <f t="shared" si="69"/>
        <v>3.0233716951886451E-13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1.2946657079737634E-13</v>
      </c>
      <c r="DQ124" s="14">
        <f t="shared" si="97"/>
        <v>1.8873591890224769E-12</v>
      </c>
      <c r="DR124" s="22">
        <f t="shared" si="70"/>
        <v>3.5126381983529106E-12</v>
      </c>
      <c r="DS124" s="62">
        <f t="shared" si="71"/>
        <v>276.56706310279043</v>
      </c>
      <c r="DT124" s="62">
        <f ca="1">AVERAGE(OFFSET($DS$3,0,0,'Données projet'!$E$14+1,1))-AVERAGE(OFFSET($H$3,0,0,'Données projet'!$E$14+1,1))</f>
        <v>520.23742527061836</v>
      </c>
      <c r="DU124" s="62">
        <f t="shared" si="98"/>
        <v>321.35925479331274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-1.1882548278663309E-13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435.44444011810265</v>
      </c>
      <c r="EP124" s="62">
        <f t="shared" si="100"/>
        <v>447.15868732689762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2" t="e">
        <f t="shared" si="77"/>
        <v>#NUM!</v>
      </c>
      <c r="FJ124" s="62">
        <f ca="1">AVERAGE(OFFSET($FI$3,0,0,'Données projet'!$E$16+1,1))-AVERAGE(OFFSET($H$3,0,0,'Données projet'!$E$16+1,1))</f>
        <v>547.89540791313675</v>
      </c>
      <c r="FK124" s="62">
        <f t="shared" si="102"/>
        <v>345.19555189302378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>
        <f>FZ124*VLOOKUP('Données projet'!$B$17,Paramètres!$A$1:$I$89,3,0)*VLOOKUP('Données projet'!$B$17,Paramètres!$A$1:$I$89,5,0)</f>
        <v>0</v>
      </c>
      <c r="GB124" s="14" t="e">
        <f t="shared" si="103"/>
        <v>#NUM!</v>
      </c>
      <c r="GC124" s="22" t="e">
        <f t="shared" si="79"/>
        <v>#NUM!</v>
      </c>
      <c r="GD124" s="62" t="e">
        <f t="shared" si="80"/>
        <v>#NUM!</v>
      </c>
      <c r="GE124" s="62">
        <f ca="1">AVERAGE(OFFSET($GD$3,0,0,'Données projet'!$E$17+1,1))-AVERAGE(OFFSET($H$3,0,0,'Données projet'!$E$17+1,1))</f>
        <v>409.68685886029164</v>
      </c>
      <c r="GF124" s="62">
        <f t="shared" si="104"/>
        <v>330.8416508650887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5.1714816314775949E-13</v>
      </c>
      <c r="GO124" s="23">
        <f t="shared" si="81"/>
        <v>5.1714816314775949E-13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73.098184695482075</v>
      </c>
      <c r="T125" s="62">
        <f t="shared" si="88"/>
        <v>334.38551711782793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8.854764021206444</v>
      </c>
      <c r="AA125" s="23">
        <f>EXP(-LN(2)/25)*AA124+(1-EXP(-LN(2)/25))/(LN(2)/25)*Calculateur!V125*Calculateur!X125*VLOOKUP('Données projet'!$B$9,Paramètres!$A$1:$I$89,3,0)*0.475*44/12</f>
        <v>1.072203540110634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9.9269675613170776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70.520400819593021</v>
      </c>
      <c r="AO125" s="62">
        <f t="shared" si="90"/>
        <v>321.48616153644309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8.4473362288196494</v>
      </c>
      <c r="AV125" s="23">
        <f>EXP(-LN(2)/25)*AV124+(1-EXP(-LN(2)/25))/(LN(2)/25)*Calculateur!AQ125*Calculateur!AS125*VLOOKUP('Données projet'!$B$10,Paramètres!$A$1:$I$89,3,0)*0.475*44/12</f>
        <v>1.0228690213938858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9.4702052502135352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1.5961632016114892E-13</v>
      </c>
      <c r="BF125" s="14">
        <f t="shared" si="91"/>
        <v>2.2708641912150958E-12</v>
      </c>
      <c r="BG125" s="22">
        <f t="shared" si="61"/>
        <v>4.2330868906469593E-12</v>
      </c>
      <c r="BH125" s="62">
        <f t="shared" si="62"/>
        <v>276.85792040752636</v>
      </c>
      <c r="BI125" s="62">
        <f ca="1">AVERAGE(OFFSET($BH$3,0,0,'Données projet'!$E$11+1,1))-AVERAGE(OFFSET($H$3,0,0,'Données projet'!$E$11+1,1))</f>
        <v>374.62597460242665</v>
      </c>
      <c r="BJ125" s="62">
        <f t="shared" si="92"/>
        <v>277.50105097454616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4.375</v>
      </c>
      <c r="BY125" s="13">
        <f>IF('Données projet'!$A$114&gt;35,BY124+BX125-CG124,IF(A125&lt;'Données projet'!$A$114,$BV$205^A125,IF(A125='Données projet'!$A$114,'Données projet'!$B$114,BY124+BX125-CG124)))</f>
        <v>309.12499999999994</v>
      </c>
      <c r="BZ125" s="14">
        <f>BY125*VLOOKUP('Données projet'!$B$12,Paramètres!$A$1:$I$89,3,0)*VLOOKUP('Données projet'!$B$12,Paramètres!$A$1:$I$89,5,0)</f>
        <v>144.67049999999998</v>
      </c>
      <c r="CA125" s="14">
        <f t="shared" si="93"/>
        <v>37.364899403675494</v>
      </c>
      <c r="CB125" s="22">
        <f t="shared" si="64"/>
        <v>317.04498729473477</v>
      </c>
      <c r="CC125" s="62">
        <f t="shared" si="65"/>
        <v>593.90290770225693</v>
      </c>
      <c r="CD125" s="62">
        <f ca="1">AVERAGE(OFFSET($CC$3,0,0,'Données projet'!$E$12+1,1))-AVERAGE(OFFSET($H$3,0,0,'Données projet'!$E$12+1,1))</f>
        <v>329.79342219561465</v>
      </c>
      <c r="CE125" s="62">
        <f t="shared" si="94"/>
        <v>144.63206563329757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6.8212102632969618E-13</v>
      </c>
      <c r="CU125" s="18">
        <f>CT125*VLOOKUP('Données projet'!$B$13,Paramètres!$A$1:$I$89,3,0)*VLOOKUP('Données projet'!$B$13,Paramètres!$A$1:$I$89,5,0)</f>
        <v>4.0790837374515837E-13</v>
      </c>
      <c r="CV125" s="14">
        <f t="shared" si="95"/>
        <v>5.2028966193600884E-12</v>
      </c>
      <c r="CW125" s="22">
        <f t="shared" si="67"/>
        <v>9.7721520296583044E-12</v>
      </c>
      <c r="CX125" s="62">
        <f t="shared" si="68"/>
        <v>276.85792040753194</v>
      </c>
      <c r="CY125" s="62">
        <f ca="1">AVERAGE(OFFSET($CX$3,0,0,'Données projet'!$E$13+1,1))-AVERAGE(OFFSET($H$3,0,0,'Données projet'!$E$13+1,1))</f>
        <v>530.27599556821826</v>
      </c>
      <c r="CZ125" s="62">
        <f t="shared" si="96"/>
        <v>370.62231794492129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2.1378466277153586E-13</v>
      </c>
      <c r="DI125" s="24">
        <f t="shared" si="69"/>
        <v>2.1378466277153586E-13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1.2946657079737634E-13</v>
      </c>
      <c r="DQ125" s="14">
        <f t="shared" si="97"/>
        <v>1.8873591890224769E-12</v>
      </c>
      <c r="DR125" s="22">
        <f t="shared" si="70"/>
        <v>3.5126381983529106E-12</v>
      </c>
      <c r="DS125" s="62">
        <f t="shared" si="71"/>
        <v>276.85792040752568</v>
      </c>
      <c r="DT125" s="62">
        <f ca="1">AVERAGE(OFFSET($DS$3,0,0,'Données projet'!$E$14+1,1))-AVERAGE(OFFSET($H$3,0,0,'Données projet'!$E$14+1,1))</f>
        <v>520.23742527061836</v>
      </c>
      <c r="DU125" s="62">
        <f t="shared" si="98"/>
        <v>321.35925479331274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-1.1882548278663309E-13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435.44444011810265</v>
      </c>
      <c r="EP125" s="62">
        <f t="shared" si="100"/>
        <v>447.15868732689762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2" t="e">
        <f t="shared" si="77"/>
        <v>#NUM!</v>
      </c>
      <c r="FJ125" s="62">
        <f ca="1">AVERAGE(OFFSET($FI$3,0,0,'Données projet'!$E$16+1,1))-AVERAGE(OFFSET($H$3,0,0,'Données projet'!$E$16+1,1))</f>
        <v>547.89540791313675</v>
      </c>
      <c r="FK125" s="62">
        <f t="shared" si="102"/>
        <v>345.19555189302378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>
        <f>FZ125*VLOOKUP('Données projet'!$B$17,Paramètres!$A$1:$I$89,3,0)*VLOOKUP('Données projet'!$B$17,Paramètres!$A$1:$I$89,5,0)</f>
        <v>0</v>
      </c>
      <c r="GB125" s="14" t="e">
        <f t="shared" si="103"/>
        <v>#NUM!</v>
      </c>
      <c r="GC125" s="22" t="e">
        <f t="shared" si="79"/>
        <v>#NUM!</v>
      </c>
      <c r="GD125" s="62" t="e">
        <f t="shared" si="80"/>
        <v>#NUM!</v>
      </c>
      <c r="GE125" s="62">
        <f ca="1">AVERAGE(OFFSET($GD$3,0,0,'Données projet'!$E$17+1,1))-AVERAGE(OFFSET($H$3,0,0,'Données projet'!$E$17+1,1))</f>
        <v>409.68685886029164</v>
      </c>
      <c r="GF125" s="62">
        <f t="shared" si="104"/>
        <v>330.8416508650887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3.6567897303994775E-13</v>
      </c>
      <c r="GO125" s="23">
        <f t="shared" si="81"/>
        <v>3.6567897303994775E-13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73.098184695482075</v>
      </c>
      <c r="T126" s="62">
        <f t="shared" si="88"/>
        <v>334.38551711782793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8.6811274996233472</v>
      </c>
      <c r="AA126" s="23">
        <f>EXP(-LN(2)/25)*AA125+(1-EXP(-LN(2)/25))/(LN(2)/25)*Calculateur!V126*Calculateur!X126*VLOOKUP('Données projet'!$B$9,Paramètres!$A$1:$I$89,3,0)*0.475*44/12</f>
        <v>1.0428840779215751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9.724011577544923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70.520400819593021</v>
      </c>
      <c r="AO126" s="62">
        <f t="shared" si="90"/>
        <v>321.48616153644309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8.281689117738841</v>
      </c>
      <c r="AV126" s="23">
        <f>EXP(-LN(2)/25)*AV125+(1-EXP(-LN(2)/25))/(LN(2)/25)*Calculateur!AQ126*Calculateur!AS126*VLOOKUP('Données projet'!$B$10,Paramètres!$A$1:$I$89,3,0)*0.475*44/12</f>
        <v>0.99489861421352599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9.2765877319523664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1.5961632016114892E-13</v>
      </c>
      <c r="BF126" s="14">
        <f t="shared" si="91"/>
        <v>2.2708641912150958E-12</v>
      </c>
      <c r="BG126" s="22">
        <f t="shared" si="61"/>
        <v>4.2330868906469593E-12</v>
      </c>
      <c r="BH126" s="62">
        <f t="shared" si="62"/>
        <v>277.14373198828395</v>
      </c>
      <c r="BI126" s="62">
        <f ca="1">AVERAGE(OFFSET($BH$3,0,0,'Données projet'!$E$11+1,1))-AVERAGE(OFFSET($H$3,0,0,'Données projet'!$E$11+1,1))</f>
        <v>374.62597460242665</v>
      </c>
      <c r="BJ126" s="62">
        <f t="shared" si="92"/>
        <v>277.50105097454616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4.375</v>
      </c>
      <c r="BY126" s="13">
        <f>IF('Données projet'!$A$114&gt;35,BY125+BX126-CG125,IF(A126&lt;'Données projet'!$A$114,$BV$205^A126,IF(A126='Données projet'!$A$114,'Données projet'!$B$114,BY125+BX126-CG125)))</f>
        <v>313.49999999999994</v>
      </c>
      <c r="BZ126" s="14">
        <f>BY126*VLOOKUP('Données projet'!$B$12,Paramètres!$A$1:$I$89,3,0)*VLOOKUP('Données projet'!$B$12,Paramètres!$A$1:$I$89,5,0)</f>
        <v>146.71799999999996</v>
      </c>
      <c r="CA126" s="14">
        <f t="shared" si="93"/>
        <v>37.831781747183037</v>
      </c>
      <c r="CB126" s="22">
        <f t="shared" si="64"/>
        <v>321.42420320967705</v>
      </c>
      <c r="CC126" s="62">
        <f t="shared" si="65"/>
        <v>598.56793519795679</v>
      </c>
      <c r="CD126" s="62">
        <f ca="1">AVERAGE(OFFSET($CC$3,0,0,'Données projet'!$E$12+1,1))-AVERAGE(OFFSET($H$3,0,0,'Données projet'!$E$12+1,1))</f>
        <v>329.79342219561465</v>
      </c>
      <c r="CE126" s="62">
        <f t="shared" si="94"/>
        <v>144.63206563329757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6.8212102632969618E-13</v>
      </c>
      <c r="CU126" s="18">
        <f>CT126*VLOOKUP('Données projet'!$B$13,Paramètres!$A$1:$I$89,3,0)*VLOOKUP('Données projet'!$B$13,Paramètres!$A$1:$I$89,5,0)</f>
        <v>4.0790837374515837E-13</v>
      </c>
      <c r="CV126" s="14">
        <f t="shared" si="95"/>
        <v>5.2028966193600884E-12</v>
      </c>
      <c r="CW126" s="22">
        <f t="shared" si="67"/>
        <v>9.7721520296583044E-12</v>
      </c>
      <c r="CX126" s="62">
        <f t="shared" si="68"/>
        <v>277.14373198828952</v>
      </c>
      <c r="CY126" s="62">
        <f ca="1">AVERAGE(OFFSET($CX$3,0,0,'Données projet'!$E$13+1,1))-AVERAGE(OFFSET($H$3,0,0,'Données projet'!$E$13+1,1))</f>
        <v>530.27599556821826</v>
      </c>
      <c r="CZ126" s="62">
        <f t="shared" si="96"/>
        <v>370.62231794492129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1.5116858475943226E-13</v>
      </c>
      <c r="DI126" s="24">
        <f t="shared" si="69"/>
        <v>1.5116858475943226E-13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1.2946657079737634E-13</v>
      </c>
      <c r="DQ126" s="14">
        <f t="shared" si="97"/>
        <v>1.8873591890224769E-12</v>
      </c>
      <c r="DR126" s="22">
        <f t="shared" si="70"/>
        <v>3.5126381983529106E-12</v>
      </c>
      <c r="DS126" s="62">
        <f t="shared" si="71"/>
        <v>277.14373198828326</v>
      </c>
      <c r="DT126" s="62">
        <f ca="1">AVERAGE(OFFSET($DS$3,0,0,'Données projet'!$E$14+1,1))-AVERAGE(OFFSET($H$3,0,0,'Données projet'!$E$14+1,1))</f>
        <v>520.23742527061836</v>
      </c>
      <c r="DU126" s="62">
        <f t="shared" si="98"/>
        <v>321.35925479331274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-1.1882548278663309E-13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435.44444011810265</v>
      </c>
      <c r="EP126" s="62">
        <f t="shared" si="100"/>
        <v>447.15868732689762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547.89540791313675</v>
      </c>
      <c r="FK126" s="62">
        <f t="shared" si="102"/>
        <v>345.19555189302378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>
        <f>FZ126*VLOOKUP('Données projet'!$B$17,Paramètres!$A$1:$I$89,3,0)*VLOOKUP('Données projet'!$B$17,Paramètres!$A$1:$I$89,5,0)</f>
        <v>0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409.68685886029164</v>
      </c>
      <c r="GF126" s="62">
        <f t="shared" si="104"/>
        <v>330.8416508650887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2.5857408157387974E-13</v>
      </c>
      <c r="GO126" s="23">
        <f t="shared" si="81"/>
        <v>2.5857408157387974E-13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73.098184695482075</v>
      </c>
      <c r="T127" s="62">
        <f t="shared" si="88"/>
        <v>334.38551711782793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8.5108958843206732</v>
      </c>
      <c r="AA127" s="23">
        <f>EXP(-LN(2)/25)*AA126+(1-EXP(-LN(2)/25))/(LN(2)/25)*Calculateur!V127*Calculateur!X127*VLOOKUP('Données projet'!$B$9,Paramètres!$A$1:$I$89,3,0)*0.475*44/12</f>
        <v>1.0143663579679196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9.5252622422885924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70.520400819593021</v>
      </c>
      <c r="AO127" s="62">
        <f t="shared" si="90"/>
        <v>321.48616153644309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8.1192902454715661</v>
      </c>
      <c r="AV127" s="23">
        <f>EXP(-LN(2)/25)*AV126+(1-EXP(-LN(2)/25))/(LN(2)/25)*Calculateur!AQ127*Calculateur!AS127*VLOOKUP('Données projet'!$B$10,Paramètres!$A$1:$I$89,3,0)*0.475*44/12</f>
        <v>0.96769305928841287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9.0869833047599791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1.5961632016114892E-13</v>
      </c>
      <c r="BF127" s="14">
        <f t="shared" si="91"/>
        <v>2.2708641912150958E-12</v>
      </c>
      <c r="BG127" s="22">
        <f t="shared" si="61"/>
        <v>4.2330868906469593E-12</v>
      </c>
      <c r="BH127" s="62">
        <f t="shared" si="62"/>
        <v>277.42458537709433</v>
      </c>
      <c r="BI127" s="62">
        <f ca="1">AVERAGE(OFFSET($BH$3,0,0,'Données projet'!$E$11+1,1))-AVERAGE(OFFSET($H$3,0,0,'Données projet'!$E$11+1,1))</f>
        <v>374.62597460242665</v>
      </c>
      <c r="BJ127" s="62">
        <f t="shared" si="92"/>
        <v>277.50105097454616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4.375</v>
      </c>
      <c r="BY127" s="13">
        <f>IF('Données projet'!$A$114&gt;35,BY126+BX127-CG126,IF(A127&lt;'Données projet'!$A$114,$BV$205^A127,IF(A127='Données projet'!$A$114,'Données projet'!$B$114,BY126+BX127-CG126)))</f>
        <v>317.87499999999994</v>
      </c>
      <c r="BZ127" s="14">
        <f>BY127*VLOOKUP('Données projet'!$B$12,Paramètres!$A$1:$I$89,3,0)*VLOOKUP('Données projet'!$B$12,Paramètres!$A$1:$I$89,5,0)</f>
        <v>148.76549999999997</v>
      </c>
      <c r="CA127" s="14">
        <f t="shared" si="93"/>
        <v>38.297906275752503</v>
      </c>
      <c r="CB127" s="22">
        <f t="shared" si="64"/>
        <v>325.8020992636022</v>
      </c>
      <c r="CC127" s="62">
        <f t="shared" si="65"/>
        <v>603.22668464069238</v>
      </c>
      <c r="CD127" s="62">
        <f ca="1">AVERAGE(OFFSET($CC$3,0,0,'Données projet'!$E$12+1,1))-AVERAGE(OFFSET($H$3,0,0,'Données projet'!$E$12+1,1))</f>
        <v>329.79342219561465</v>
      </c>
      <c r="CE127" s="62">
        <f t="shared" si="94"/>
        <v>144.63206563329757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6.8212102632969618E-13</v>
      </c>
      <c r="CU127" s="18">
        <f>CT127*VLOOKUP('Données projet'!$B$13,Paramètres!$A$1:$I$89,3,0)*VLOOKUP('Données projet'!$B$13,Paramètres!$A$1:$I$89,5,0)</f>
        <v>4.0790837374515837E-13</v>
      </c>
      <c r="CV127" s="14">
        <f t="shared" si="95"/>
        <v>5.2028966193600884E-12</v>
      </c>
      <c r="CW127" s="22">
        <f t="shared" si="67"/>
        <v>9.7721520296583044E-12</v>
      </c>
      <c r="CX127" s="62">
        <f t="shared" si="68"/>
        <v>277.4245853770999</v>
      </c>
      <c r="CY127" s="62">
        <f ca="1">AVERAGE(OFFSET($CX$3,0,0,'Données projet'!$E$13+1,1))-AVERAGE(OFFSET($H$3,0,0,'Données projet'!$E$13+1,1))</f>
        <v>530.27599556821826</v>
      </c>
      <c r="CZ127" s="62">
        <f t="shared" si="96"/>
        <v>370.62231794492129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1.0689233138576793E-13</v>
      </c>
      <c r="DI127" s="24">
        <f t="shared" si="69"/>
        <v>1.0689233138576793E-13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1.2946657079737634E-13</v>
      </c>
      <c r="DQ127" s="14">
        <f t="shared" si="97"/>
        <v>1.8873591890224769E-12</v>
      </c>
      <c r="DR127" s="22">
        <f t="shared" si="70"/>
        <v>3.5126381983529106E-12</v>
      </c>
      <c r="DS127" s="62">
        <f t="shared" si="71"/>
        <v>277.42458537709365</v>
      </c>
      <c r="DT127" s="62">
        <f ca="1">AVERAGE(OFFSET($DS$3,0,0,'Données projet'!$E$14+1,1))-AVERAGE(OFFSET($H$3,0,0,'Données projet'!$E$14+1,1))</f>
        <v>520.23742527061836</v>
      </c>
      <c r="DU127" s="62">
        <f t="shared" si="98"/>
        <v>321.35925479331274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-1.1882548278663309E-13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435.44444011810265</v>
      </c>
      <c r="EP127" s="62">
        <f t="shared" si="100"/>
        <v>447.15868732689762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547.89540791313675</v>
      </c>
      <c r="FK127" s="62">
        <f t="shared" si="102"/>
        <v>345.19555189302378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>
        <f>FZ127*VLOOKUP('Données projet'!$B$17,Paramètres!$A$1:$I$89,3,0)*VLOOKUP('Données projet'!$B$17,Paramètres!$A$1:$I$89,5,0)</f>
        <v>0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409.68685886029164</v>
      </c>
      <c r="GF127" s="62">
        <f t="shared" si="104"/>
        <v>330.8416508650887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1.8283948651997388E-13</v>
      </c>
      <c r="GO127" s="23">
        <f t="shared" si="81"/>
        <v>1.8283948651997388E-13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73.098184695482075</v>
      </c>
      <c r="T128" s="62">
        <f t="shared" si="88"/>
        <v>334.38551711782793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8.3440024071630532</v>
      </c>
      <c r="AA128" s="23">
        <f>EXP(-LN(2)/25)*AA127+(1-EXP(-LN(2)/25))/(LN(2)/25)*Calculateur!V128*Calculateur!X128*VLOOKUP('Données projet'!$B$9,Paramètres!$A$1:$I$89,3,0)*0.475*44/12</f>
        <v>0.98662845656607845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9.330630863729132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70.520400819593021</v>
      </c>
      <c r="AO128" s="62">
        <f t="shared" si="90"/>
        <v>321.48616153644309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7.9600759160359216</v>
      </c>
      <c r="AV128" s="23">
        <f>EXP(-LN(2)/25)*AV127+(1-EXP(-LN(2)/25))/(LN(2)/25)*Calculateur!AQ128*Calculateur!AS128*VLOOKUP('Données projet'!$B$10,Paramètres!$A$1:$I$89,3,0)*0.475*44/12</f>
        <v>0.94123144169340489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8.9013073577293262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1.5961632016114892E-13</v>
      </c>
      <c r="BF128" s="14">
        <f t="shared" si="91"/>
        <v>2.2708641912150958E-12</v>
      </c>
      <c r="BG128" s="22">
        <f t="shared" si="61"/>
        <v>4.2330868906469593E-12</v>
      </c>
      <c r="BH128" s="62">
        <f t="shared" si="62"/>
        <v>277.70056658750298</v>
      </c>
      <c r="BI128" s="62">
        <f ca="1">AVERAGE(OFFSET($BH$3,0,0,'Données projet'!$E$11+1,1))-AVERAGE(OFFSET($H$3,0,0,'Données projet'!$E$11+1,1))</f>
        <v>374.62597460242665</v>
      </c>
      <c r="BJ128" s="62">
        <f t="shared" si="92"/>
        <v>277.50105097454616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4.375</v>
      </c>
      <c r="BY128" s="13">
        <f>IF('Données projet'!$A$114&gt;35,BY127+BX128-CG127,IF(A128&lt;'Données projet'!$A$114,$BV$205^A128,IF(A128='Données projet'!$A$114,'Données projet'!$B$114,BY127+BX128-CG127)))</f>
        <v>322.24999999999994</v>
      </c>
      <c r="BZ128" s="14">
        <f>BY128*VLOOKUP('Données projet'!$B$12,Paramètres!$A$1:$I$89,3,0)*VLOOKUP('Données projet'!$B$12,Paramètres!$A$1:$I$89,5,0)</f>
        <v>150.81299999999999</v>
      </c>
      <c r="CA128" s="14">
        <f t="shared" si="93"/>
        <v>38.763284624867346</v>
      </c>
      <c r="CB128" s="22">
        <f t="shared" si="64"/>
        <v>330.17869572164392</v>
      </c>
      <c r="CC128" s="62">
        <f t="shared" si="65"/>
        <v>607.87926230914263</v>
      </c>
      <c r="CD128" s="62">
        <f ca="1">AVERAGE(OFFSET($CC$3,0,0,'Données projet'!$E$12+1,1))-AVERAGE(OFFSET($H$3,0,0,'Données projet'!$E$12+1,1))</f>
        <v>329.79342219561465</v>
      </c>
      <c r="CE128" s="62">
        <f t="shared" si="94"/>
        <v>144.63206563329757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6.8212102632969618E-13</v>
      </c>
      <c r="CU128" s="18">
        <f>CT128*VLOOKUP('Données projet'!$B$13,Paramètres!$A$1:$I$89,3,0)*VLOOKUP('Données projet'!$B$13,Paramètres!$A$1:$I$89,5,0)</f>
        <v>4.0790837374515837E-13</v>
      </c>
      <c r="CV128" s="14">
        <f t="shared" si="95"/>
        <v>5.2028966193600884E-12</v>
      </c>
      <c r="CW128" s="22">
        <f t="shared" si="67"/>
        <v>9.7721520296583044E-12</v>
      </c>
      <c r="CX128" s="62">
        <f t="shared" si="68"/>
        <v>277.70056658750855</v>
      </c>
      <c r="CY128" s="62">
        <f ca="1">AVERAGE(OFFSET($CX$3,0,0,'Données projet'!$E$13+1,1))-AVERAGE(OFFSET($H$3,0,0,'Données projet'!$E$13+1,1))</f>
        <v>530.27599556821826</v>
      </c>
      <c r="CZ128" s="62">
        <f t="shared" si="96"/>
        <v>370.62231794492129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7.5584292379716129E-14</v>
      </c>
      <c r="DI128" s="24">
        <f t="shared" si="69"/>
        <v>7.5584292379716129E-14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1.2946657079737634E-13</v>
      </c>
      <c r="DQ128" s="14">
        <f t="shared" si="97"/>
        <v>1.8873591890224769E-12</v>
      </c>
      <c r="DR128" s="22">
        <f t="shared" si="70"/>
        <v>3.5126381983529106E-12</v>
      </c>
      <c r="DS128" s="62">
        <f t="shared" si="71"/>
        <v>277.70056658750229</v>
      </c>
      <c r="DT128" s="62">
        <f ca="1">AVERAGE(OFFSET($DS$3,0,0,'Données projet'!$E$14+1,1))-AVERAGE(OFFSET($H$3,0,0,'Données projet'!$E$14+1,1))</f>
        <v>520.23742527061836</v>
      </c>
      <c r="DU128" s="62">
        <f t="shared" si="98"/>
        <v>321.35925479331274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-1.1882548278663309E-13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435.44444011810265</v>
      </c>
      <c r="EP128" s="62">
        <f t="shared" si="100"/>
        <v>447.15868732689762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547.89540791313675</v>
      </c>
      <c r="FK128" s="62">
        <f t="shared" si="102"/>
        <v>345.19555189302378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>
        <f>FZ128*VLOOKUP('Données projet'!$B$17,Paramètres!$A$1:$I$89,3,0)*VLOOKUP('Données projet'!$B$17,Paramètres!$A$1:$I$89,5,0)</f>
        <v>0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409.68685886029164</v>
      </c>
      <c r="GF128" s="62">
        <f t="shared" si="104"/>
        <v>330.8416508650887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1.2928704078693987E-13</v>
      </c>
      <c r="GO128" s="23">
        <f t="shared" si="81"/>
        <v>1.2928704078693987E-13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73.098184695482075</v>
      </c>
      <c r="T129" s="62">
        <f t="shared" si="88"/>
        <v>334.38551711782793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8.1803816092975232</v>
      </c>
      <c r="AA129" s="23">
        <f>EXP(-LN(2)/25)*AA128+(1-EXP(-LN(2)/25))/(LN(2)/25)*Calculateur!V129*Calculateur!X129*VLOOKUP('Données projet'!$B$9,Paramètres!$A$1:$I$89,3,0)*0.475*44/12</f>
        <v>0.95964904953674346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9.1400306588342666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70.520400819593021</v>
      </c>
      <c r="AO129" s="62">
        <f t="shared" si="90"/>
        <v>321.48616153644309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7.803983682489358</v>
      </c>
      <c r="AV129" s="23">
        <f>EXP(-LN(2)/25)*AV128+(1-EXP(-LN(2)/25))/(LN(2)/25)*Calculateur!AQ129*Calculateur!AS129*VLOOKUP('Données projet'!$B$10,Paramètres!$A$1:$I$89,3,0)*0.475*44/12</f>
        <v>0.9154934184230884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8.7194771009124459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1.5961632016114892E-13</v>
      </c>
      <c r="BF129" s="14">
        <f t="shared" si="91"/>
        <v>2.2708641912150958E-12</v>
      </c>
      <c r="BG129" s="22">
        <f t="shared" si="61"/>
        <v>4.2330868906469593E-12</v>
      </c>
      <c r="BH129" s="62">
        <f t="shared" si="62"/>
        <v>277.97176014091258</v>
      </c>
      <c r="BI129" s="62">
        <f ca="1">AVERAGE(OFFSET($BH$3,0,0,'Données projet'!$E$11+1,1))-AVERAGE(OFFSET($H$3,0,0,'Données projet'!$E$11+1,1))</f>
        <v>374.62597460242665</v>
      </c>
      <c r="BJ129" s="62">
        <f t="shared" si="92"/>
        <v>277.50105097454616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4.375</v>
      </c>
      <c r="BY129" s="13">
        <f>IF('Données projet'!$A$114&gt;35,BY128+BX129-CG128,IF(A129&lt;'Données projet'!$A$114,$BV$205^A129,IF(A129='Données projet'!$A$114,'Données projet'!$B$114,BY128+BX129-CG128)))</f>
        <v>326.62499999999994</v>
      </c>
      <c r="BZ129" s="14">
        <f>BY129*VLOOKUP('Données projet'!$B$12,Paramètres!$A$1:$I$89,3,0)*VLOOKUP('Données projet'!$B$12,Paramètres!$A$1:$I$89,5,0)</f>
        <v>152.86049999999997</v>
      </c>
      <c r="CA129" s="14">
        <f t="shared" si="93"/>
        <v>39.227928095920689</v>
      </c>
      <c r="CB129" s="22">
        <f t="shared" si="64"/>
        <v>334.55401226706186</v>
      </c>
      <c r="CC129" s="62">
        <f t="shared" si="65"/>
        <v>612.52577240797018</v>
      </c>
      <c r="CD129" s="62">
        <f ca="1">AVERAGE(OFFSET($CC$3,0,0,'Données projet'!$E$12+1,1))-AVERAGE(OFFSET($H$3,0,0,'Données projet'!$E$12+1,1))</f>
        <v>329.79342219561465</v>
      </c>
      <c r="CE129" s="62">
        <f t="shared" si="94"/>
        <v>144.63206563329757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6.8212102632969618E-13</v>
      </c>
      <c r="CU129" s="18">
        <f>CT129*VLOOKUP('Données projet'!$B$13,Paramètres!$A$1:$I$89,3,0)*VLOOKUP('Données projet'!$B$13,Paramètres!$A$1:$I$89,5,0)</f>
        <v>4.0790837374515837E-13</v>
      </c>
      <c r="CV129" s="14">
        <f t="shared" si="95"/>
        <v>5.2028966193600884E-12</v>
      </c>
      <c r="CW129" s="22">
        <f t="shared" si="67"/>
        <v>9.7721520296583044E-12</v>
      </c>
      <c r="CX129" s="62">
        <f t="shared" si="68"/>
        <v>277.97176014091815</v>
      </c>
      <c r="CY129" s="62">
        <f ca="1">AVERAGE(OFFSET($CX$3,0,0,'Données projet'!$E$13+1,1))-AVERAGE(OFFSET($H$3,0,0,'Données projet'!$E$13+1,1))</f>
        <v>530.27599556821826</v>
      </c>
      <c r="CZ129" s="62">
        <f t="shared" si="96"/>
        <v>370.62231794492129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5.3446165692883965E-14</v>
      </c>
      <c r="DI129" s="24">
        <f t="shared" si="69"/>
        <v>5.3446165692883965E-14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1.2946657079737634E-13</v>
      </c>
      <c r="DQ129" s="14">
        <f t="shared" si="97"/>
        <v>1.8873591890224769E-12</v>
      </c>
      <c r="DR129" s="22">
        <f t="shared" si="70"/>
        <v>3.5126381983529106E-12</v>
      </c>
      <c r="DS129" s="62">
        <f t="shared" si="71"/>
        <v>277.9717601409119</v>
      </c>
      <c r="DT129" s="62">
        <f ca="1">AVERAGE(OFFSET($DS$3,0,0,'Données projet'!$E$14+1,1))-AVERAGE(OFFSET($H$3,0,0,'Données projet'!$E$14+1,1))</f>
        <v>520.23742527061836</v>
      </c>
      <c r="DU129" s="62">
        <f t="shared" si="98"/>
        <v>321.35925479331274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-1.1882548278663309E-13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435.44444011810265</v>
      </c>
      <c r="EP129" s="62">
        <f t="shared" si="100"/>
        <v>447.15868732689762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547.89540791313675</v>
      </c>
      <c r="FK129" s="62">
        <f t="shared" si="102"/>
        <v>345.19555189302378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>
        <f>FZ129*VLOOKUP('Données projet'!$B$17,Paramètres!$A$1:$I$89,3,0)*VLOOKUP('Données projet'!$B$17,Paramètres!$A$1:$I$89,5,0)</f>
        <v>0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409.68685886029164</v>
      </c>
      <c r="GF129" s="62">
        <f t="shared" si="104"/>
        <v>330.8416508650887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9.1419743259986939E-14</v>
      </c>
      <c r="GO129" s="23">
        <f t="shared" si="81"/>
        <v>9.1419743259986939E-14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73.098184695482075</v>
      </c>
      <c r="T130" s="62">
        <f t="shared" si="88"/>
        <v>334.38551711782793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8.0199693154793046</v>
      </c>
      <c r="AA130" s="23">
        <f>EXP(-LN(2)/25)*AA129+(1-EXP(-LN(2)/25))/(LN(2)/25)*Calculateur!V130*Calculateur!X130*VLOOKUP('Données projet'!$B$9,Paramètres!$A$1:$I$89,3,0)*0.475*44/12</f>
        <v>0.93340739581141097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8.9533767112907157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70.520400819593021</v>
      </c>
      <c r="AO130" s="62">
        <f t="shared" si="90"/>
        <v>321.48616153644309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7.6509523224357814</v>
      </c>
      <c r="AV130" s="23">
        <f>EXP(-LN(2)/25)*AV129+(1-EXP(-LN(2)/25))/(LN(2)/25)*Calculateur!AQ130*Calculateur!AS130*VLOOKUP('Données projet'!$B$10,Paramètres!$A$1:$I$89,3,0)*0.475*44/12</f>
        <v>0.8904592027526026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8.5414115251883835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1.5961632016114892E-13</v>
      </c>
      <c r="BF130" s="14">
        <f t="shared" si="91"/>
        <v>2.2708641912150958E-12</v>
      </c>
      <c r="BG130" s="22">
        <f t="shared" si="61"/>
        <v>4.2330868906469593E-12</v>
      </c>
      <c r="BH130" s="62">
        <f t="shared" si="62"/>
        <v>278.23824909246849</v>
      </c>
      <c r="BI130" s="62">
        <f ca="1">AVERAGE(OFFSET($BH$3,0,0,'Données projet'!$E$11+1,1))-AVERAGE(OFFSET($H$3,0,0,'Données projet'!$E$11+1,1))</f>
        <v>374.62597460242665</v>
      </c>
      <c r="BJ130" s="62">
        <f t="shared" si="92"/>
        <v>277.50105097454616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>
        <f>VLOOKUP(A130,'Données projet'!$A$113:$I$133,2,0)</f>
        <v>331</v>
      </c>
      <c r="BW130" s="13">
        <f>VLOOKUP(A130,'Données projet'!$A$113:$I$133,9,0)</f>
        <v>4.375</v>
      </c>
      <c r="BX130" s="13">
        <f t="array" ref="BX130">INDEX(BW:BW,MIN(IF(ISNUMBER(BW130:BW326),ROW(BW130:BW326),"")))</f>
        <v>4.375</v>
      </c>
      <c r="BY130" s="13">
        <f>IF('Données projet'!$A$114&gt;35,BY129+BX130-CG129,IF(A130&lt;'Données projet'!$A$114,$BV$205^A130,IF(A130='Données projet'!$A$114,'Données projet'!$B$114,BY129+BX130-CG129)))</f>
        <v>330.99999999999994</v>
      </c>
      <c r="BZ130" s="14">
        <f>BY130*VLOOKUP('Données projet'!$B$12,Paramètres!$A$1:$I$89,3,0)*VLOOKUP('Données projet'!$B$12,Paramètres!$A$1:$I$89,5,0)</f>
        <v>154.90799999999996</v>
      </c>
      <c r="CA130" s="14">
        <f t="shared" si="93"/>
        <v>39.691847670151873</v>
      </c>
      <c r="CB130" s="22">
        <f t="shared" si="64"/>
        <v>338.92806802551439</v>
      </c>
      <c r="CC130" s="62">
        <f t="shared" si="65"/>
        <v>617.16631711797868</v>
      </c>
      <c r="CD130" s="62">
        <f ca="1">AVERAGE(OFFSET($CC$3,0,0,'Données projet'!$E$12+1,1))-AVERAGE(OFFSET($H$3,0,0,'Données projet'!$E$12+1,1))</f>
        <v>329.79342219561465</v>
      </c>
      <c r="CE130" s="62">
        <f t="shared" si="94"/>
        <v>144.63206563329757</v>
      </c>
      <c r="CF130" s="16">
        <f>IF(ISNA(VLOOKUP(A130,'Données projet'!$A$113:$I$133,3,0)),0,VLOOKUP(A130,'Données projet'!$A$113:$I$133,3,0))</f>
        <v>14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6.8212102632969618E-13</v>
      </c>
      <c r="CU130" s="18">
        <f>CT130*VLOOKUP('Données projet'!$B$13,Paramètres!$A$1:$I$89,3,0)*VLOOKUP('Données projet'!$B$13,Paramètres!$A$1:$I$89,5,0)</f>
        <v>4.0790837374515837E-13</v>
      </c>
      <c r="CV130" s="14">
        <f t="shared" si="95"/>
        <v>5.2028966193600884E-12</v>
      </c>
      <c r="CW130" s="22">
        <f t="shared" si="67"/>
        <v>9.7721520296583044E-12</v>
      </c>
      <c r="CX130" s="62">
        <f t="shared" si="68"/>
        <v>278.23824909247406</v>
      </c>
      <c r="CY130" s="62">
        <f ca="1">AVERAGE(OFFSET($CX$3,0,0,'Données projet'!$E$13+1,1))-AVERAGE(OFFSET($H$3,0,0,'Données projet'!$E$13+1,1))</f>
        <v>530.27599556821826</v>
      </c>
      <c r="CZ130" s="62">
        <f t="shared" si="96"/>
        <v>370.62231794492129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3.7792146189858064E-14</v>
      </c>
      <c r="DI130" s="24">
        <f t="shared" si="69"/>
        <v>3.7792146189858064E-14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1.2946657079737634E-13</v>
      </c>
      <c r="DQ130" s="14">
        <f t="shared" si="97"/>
        <v>1.8873591890224769E-12</v>
      </c>
      <c r="DR130" s="22">
        <f t="shared" si="70"/>
        <v>3.5126381983529106E-12</v>
      </c>
      <c r="DS130" s="62">
        <f t="shared" si="71"/>
        <v>278.23824909246781</v>
      </c>
      <c r="DT130" s="62">
        <f ca="1">AVERAGE(OFFSET($DS$3,0,0,'Données projet'!$E$14+1,1))-AVERAGE(OFFSET($H$3,0,0,'Données projet'!$E$14+1,1))</f>
        <v>520.23742527061836</v>
      </c>
      <c r="DU130" s="62">
        <f t="shared" si="98"/>
        <v>321.35925479331274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-1.1882548278663309E-13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435.44444011810265</v>
      </c>
      <c r="EP130" s="62">
        <f t="shared" si="100"/>
        <v>447.15868732689762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547.89540791313675</v>
      </c>
      <c r="FK130" s="62">
        <f t="shared" si="102"/>
        <v>345.19555189302378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>
        <f>FZ130*VLOOKUP('Données projet'!$B$17,Paramètres!$A$1:$I$89,3,0)*VLOOKUP('Données projet'!$B$17,Paramètres!$A$1:$I$89,5,0)</f>
        <v>0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409.68685886029164</v>
      </c>
      <c r="GF130" s="62">
        <f t="shared" si="104"/>
        <v>330.8416508650887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6.4643520393469936E-14</v>
      </c>
      <c r="GO130" s="23">
        <f t="shared" si="81"/>
        <v>6.4643520393469936E-14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73.098184695482075</v>
      </c>
      <c r="T131" s="62">
        <f t="shared" si="88"/>
        <v>334.38551711782793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7.8627026089010226</v>
      </c>
      <c r="AA131" s="23">
        <f>EXP(-LN(2)/25)*AA130+(1-EXP(-LN(2)/25))/(LN(2)/25)*Calculateur!V131*Calculateur!X131*VLOOKUP('Données projet'!$B$9,Paramètres!$A$1:$I$89,3,0)*0.475*44/12</f>
        <v>0.90788332148718631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8.7705859303882097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70.520400819593021</v>
      </c>
      <c r="AO131" s="62">
        <f t="shared" si="90"/>
        <v>321.48616153644309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7.5009218140129423</v>
      </c>
      <c r="AV131" s="23">
        <f>EXP(-LN(2)/25)*AV130+(1-EXP(-LN(2)/25))/(LN(2)/25)*Calculateur!AQ131*Calculateur!AS131*VLOOKUP('Données projet'!$B$10,Paramètres!$A$1:$I$89,3,0)*0.475*44/12</f>
        <v>0.86610954902611836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8.3670313630390609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1.5961632016114892E-13</v>
      </c>
      <c r="BF131" s="14">
        <f t="shared" si="91"/>
        <v>2.2708641912150958E-12</v>
      </c>
      <c r="BG131" s="22">
        <f t="shared" si="61"/>
        <v>4.2330868906469593E-12</v>
      </c>
      <c r="BH131" s="62">
        <f t="shared" si="62"/>
        <v>278.50011505649496</v>
      </c>
      <c r="BI131" s="62">
        <f ca="1">AVERAGE(OFFSET($BH$3,0,0,'Données projet'!$E$11+1,1))-AVERAGE(OFFSET($H$3,0,0,'Données projet'!$E$11+1,1))</f>
        <v>374.62597460242665</v>
      </c>
      <c r="BJ131" s="62">
        <f t="shared" si="92"/>
        <v>277.50105097454616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4.25</v>
      </c>
      <c r="BY131" s="13">
        <f>IF('Données projet'!$A$114&gt;35,BY130+BX131-CG130,IF(A131&lt;'Données projet'!$A$114,$BV$205^A131,IF(A131='Données projet'!$A$114,'Données projet'!$B$114,BY130+BX131-CG130)))</f>
        <v>335.24999999999994</v>
      </c>
      <c r="BZ131" s="14">
        <f>BY131*VLOOKUP('Données projet'!$B$12,Paramètres!$A$1:$I$89,3,0)*VLOOKUP('Données projet'!$B$12,Paramètres!$A$1:$I$89,5,0)</f>
        <v>156.89699999999996</v>
      </c>
      <c r="CA131" s="14">
        <f t="shared" si="93"/>
        <v>40.141829357084788</v>
      </c>
      <c r="CB131" s="22">
        <f t="shared" si="64"/>
        <v>343.17596113025593</v>
      </c>
      <c r="CC131" s="62">
        <f t="shared" si="65"/>
        <v>621.67607618674674</v>
      </c>
      <c r="CD131" s="62">
        <f ca="1">AVERAGE(OFFSET($CC$3,0,0,'Données projet'!$E$12+1,1))-AVERAGE(OFFSET($H$3,0,0,'Données projet'!$E$12+1,1))</f>
        <v>329.79342219561465</v>
      </c>
      <c r="CE131" s="62">
        <f t="shared" si="94"/>
        <v>144.63206563329757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6.8212102632969618E-13</v>
      </c>
      <c r="CU131" s="18">
        <f>CT131*VLOOKUP('Données projet'!$B$13,Paramètres!$A$1:$I$89,3,0)*VLOOKUP('Données projet'!$B$13,Paramètres!$A$1:$I$89,5,0)</f>
        <v>4.0790837374515837E-13</v>
      </c>
      <c r="CV131" s="14">
        <f t="shared" si="95"/>
        <v>5.2028966193600884E-12</v>
      </c>
      <c r="CW131" s="22">
        <f t="shared" si="67"/>
        <v>9.7721520296583044E-12</v>
      </c>
      <c r="CX131" s="62">
        <f t="shared" si="68"/>
        <v>278.50011505650053</v>
      </c>
      <c r="CY131" s="62">
        <f ca="1">AVERAGE(OFFSET($CX$3,0,0,'Données projet'!$E$13+1,1))-AVERAGE(OFFSET($H$3,0,0,'Données projet'!$E$13+1,1))</f>
        <v>530.27599556821826</v>
      </c>
      <c r="CZ131" s="62">
        <f t="shared" si="96"/>
        <v>370.62231794492129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2.6723082846441982E-14</v>
      </c>
      <c r="DI131" s="24">
        <f t="shared" si="69"/>
        <v>2.6723082846441982E-14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1.2946657079737634E-13</v>
      </c>
      <c r="DQ131" s="14">
        <f t="shared" si="97"/>
        <v>1.8873591890224769E-12</v>
      </c>
      <c r="DR131" s="22">
        <f t="shared" si="70"/>
        <v>3.5126381983529106E-12</v>
      </c>
      <c r="DS131" s="62">
        <f t="shared" si="71"/>
        <v>278.50011505649428</v>
      </c>
      <c r="DT131" s="62">
        <f ca="1">AVERAGE(OFFSET($DS$3,0,0,'Données projet'!$E$14+1,1))-AVERAGE(OFFSET($H$3,0,0,'Données projet'!$E$14+1,1))</f>
        <v>520.23742527061836</v>
      </c>
      <c r="DU131" s="62">
        <f t="shared" si="98"/>
        <v>321.35925479331274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-1.1882548278663309E-13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435.44444011810265</v>
      </c>
      <c r="EP131" s="62">
        <f t="shared" si="100"/>
        <v>447.15868732689762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547.89540791313675</v>
      </c>
      <c r="FK131" s="62">
        <f t="shared" si="102"/>
        <v>345.19555189302378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>
        <f>FZ131*VLOOKUP('Données projet'!$B$17,Paramètres!$A$1:$I$89,3,0)*VLOOKUP('Données projet'!$B$17,Paramètres!$A$1:$I$89,5,0)</f>
        <v>0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409.68685886029164</v>
      </c>
      <c r="GF131" s="62">
        <f t="shared" si="104"/>
        <v>330.8416508650887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4.5709871629993469E-14</v>
      </c>
      <c r="GO131" s="23">
        <f t="shared" si="81"/>
        <v>4.5709871629993469E-14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73.098184695482075</v>
      </c>
      <c r="T132" s="62">
        <f t="shared" si="88"/>
        <v>334.38551711782793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7.7085198065155218</v>
      </c>
      <c r="AA132" s="23">
        <f>EXP(-LN(2)/25)*AA131+(1-EXP(-LN(2)/25))/(LN(2)/25)*Calculateur!V132*Calculateur!X132*VLOOKUP('Données projet'!$B$9,Paramètres!$A$1:$I$89,3,0)*0.475*44/12</f>
        <v>0.88305720431761037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8.5915770108331326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70.520400819593021</v>
      </c>
      <c r="AO132" s="62">
        <f t="shared" si="90"/>
        <v>321.48616153644309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7.3538333123507007</v>
      </c>
      <c r="AV132" s="23">
        <f>EXP(-LN(2)/25)*AV131+(1-EXP(-LN(2)/25))/(LN(2)/25)*Calculateur!AQ132*Calculateur!AS132*VLOOKUP('Données projet'!$B$10,Paramètres!$A$1:$I$89,3,0)*0.475*44/12</f>
        <v>0.8424257378612775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8.1962590502119781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1.5961632016114892E-13</v>
      </c>
      <c r="BF132" s="14">
        <f t="shared" si="91"/>
        <v>2.2708641912150958E-12</v>
      </c>
      <c r="BG132" s="22">
        <f t="shared" ref="BG132:BG153" si="115">(BE132+BF132)*0.475*44/12</f>
        <v>4.2330868906469593E-12</v>
      </c>
      <c r="BH132" s="62">
        <f t="shared" ref="BH132:BH195" si="116">BG132+(AY132+AZ132)*44/12</f>
        <v>278.75743823149014</v>
      </c>
      <c r="BI132" s="62">
        <f ca="1">AVERAGE(OFFSET($BH$3,0,0,'Données projet'!$E$11+1,1))-AVERAGE(OFFSET($H$3,0,0,'Données projet'!$E$11+1,1))</f>
        <v>374.62597460242665</v>
      </c>
      <c r="BJ132" s="62">
        <f t="shared" si="92"/>
        <v>277.50105097454616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4.25</v>
      </c>
      <c r="BY132" s="13">
        <f>IF('Données projet'!$A$114&gt;35,BY131+BX132-CG131,IF(A132&lt;'Données projet'!$A$114,$BV$205^A132,IF(A132='Données projet'!$A$114,'Données projet'!$B$114,BY131+BX132-CG131)))</f>
        <v>339.49999999999994</v>
      </c>
      <c r="BZ132" s="14">
        <f>BY132*VLOOKUP('Données projet'!$B$12,Paramètres!$A$1:$I$89,3,0)*VLOOKUP('Données projet'!$B$12,Paramètres!$A$1:$I$89,5,0)</f>
        <v>158.88599999999997</v>
      </c>
      <c r="CA132" s="14">
        <f t="shared" si="93"/>
        <v>40.591147515064669</v>
      </c>
      <c r="CB132" s="22">
        <f t="shared" ref="CB132:CB153" si="118">(BZ132+CA132)*0.475*44/12</f>
        <v>347.42269858873755</v>
      </c>
      <c r="CC132" s="62">
        <f t="shared" ref="CC132:CC195" si="119">CB132+(BT132+BU132)*44/12</f>
        <v>626.18013682022342</v>
      </c>
      <c r="CD132" s="62">
        <f ca="1">AVERAGE(OFFSET($CC$3,0,0,'Données projet'!$E$12+1,1))-AVERAGE(OFFSET($H$3,0,0,'Données projet'!$E$12+1,1))</f>
        <v>329.79342219561465</v>
      </c>
      <c r="CE132" s="62">
        <f t="shared" si="94"/>
        <v>144.63206563329757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6.8212102632969618E-13</v>
      </c>
      <c r="CU132" s="18">
        <f>CT132*VLOOKUP('Données projet'!$B$13,Paramètres!$A$1:$I$89,3,0)*VLOOKUP('Données projet'!$B$13,Paramètres!$A$1:$I$89,5,0)</f>
        <v>4.0790837374515837E-13</v>
      </c>
      <c r="CV132" s="14">
        <f t="shared" si="95"/>
        <v>5.2028966193600884E-12</v>
      </c>
      <c r="CW132" s="22">
        <f t="shared" ref="CW132:CW153" si="121">(CU132+CV132)*0.475*44/12</f>
        <v>9.7721520296583044E-12</v>
      </c>
      <c r="CX132" s="62">
        <f t="shared" ref="CX132:CX195" si="122">CW132+(CO132+CP132)*44/12</f>
        <v>278.75743823149571</v>
      </c>
      <c r="CY132" s="62">
        <f ca="1">AVERAGE(OFFSET($CX$3,0,0,'Données projet'!$E$13+1,1))-AVERAGE(OFFSET($H$3,0,0,'Données projet'!$E$13+1,1))</f>
        <v>530.27599556821826</v>
      </c>
      <c r="CZ132" s="62">
        <f t="shared" si="96"/>
        <v>370.62231794492129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1.8896073094929032E-14</v>
      </c>
      <c r="DI132" s="24">
        <f t="shared" ref="DI132:DI153" si="123">SUM(DF132:DH132)</f>
        <v>1.8896073094929032E-14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1.2946657079737634E-13</v>
      </c>
      <c r="DQ132" s="14">
        <f t="shared" si="97"/>
        <v>1.8873591890224769E-12</v>
      </c>
      <c r="DR132" s="22">
        <f t="shared" ref="DR132:DR153" si="124">(DP132+DQ132)*0.475*44/12</f>
        <v>3.5126381983529106E-12</v>
      </c>
      <c r="DS132" s="62">
        <f t="shared" ref="DS132:DS195" si="125">DR132+(DJ132+DK132)*44/12</f>
        <v>278.75743823148946</v>
      </c>
      <c r="DT132" s="62">
        <f ca="1">AVERAGE(OFFSET($DS$3,0,0,'Données projet'!$E$14+1,1))-AVERAGE(OFFSET($H$3,0,0,'Données projet'!$E$14+1,1))</f>
        <v>520.23742527061836</v>
      </c>
      <c r="DU132" s="62">
        <f t="shared" si="98"/>
        <v>321.35925479331274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-1.1882548278663309E-13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435.44444011810265</v>
      </c>
      <c r="EP132" s="62">
        <f t="shared" si="100"/>
        <v>447.15868732689762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547.89540791313675</v>
      </c>
      <c r="FK132" s="62">
        <f t="shared" si="102"/>
        <v>345.19555189302378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>
        <f>FZ132*VLOOKUP('Données projet'!$B$17,Paramètres!$A$1:$I$89,3,0)*VLOOKUP('Données projet'!$B$17,Paramètres!$A$1:$I$89,5,0)</f>
        <v>0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409.68685886029164</v>
      </c>
      <c r="GF132" s="62">
        <f t="shared" si="104"/>
        <v>330.8416508650887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3.2321760196734968E-14</v>
      </c>
      <c r="GO132" s="23">
        <f t="shared" ref="GO132:GO153" si="135">SUM(GL132:GN132)</f>
        <v>3.2321760196734968E-14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73.098184695482075</v>
      </c>
      <c r="T133" s="62">
        <f t="shared" ref="T133:T196" si="142">$T$3</f>
        <v>334.38551711782793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7.5573604348425771</v>
      </c>
      <c r="AA133" s="23">
        <f>EXP(-LN(2)/25)*AA132+(1-EXP(-LN(2)/25))/(LN(2)/25)*Calculateur!V133*Calculateur!X133*VLOOKUP('Données projet'!$B$9,Paramètres!$A$1:$I$89,3,0)*0.475*44/12</f>
        <v>0.85890995862758523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8.4162703934701621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70.520400819593021</v>
      </c>
      <c r="AO133" s="62">
        <f t="shared" ref="AO133:AO196" si="144">$AO$3</f>
        <v>321.48616153644309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7.2096291264909276</v>
      </c>
      <c r="AV133" s="23">
        <f>EXP(-LN(2)/25)*AV132+(1-EXP(-LN(2)/25))/(LN(2)/25)*Calculateur!AQ133*Calculateur!AS133*VLOOKUP('Données projet'!$B$10,Paramètres!$A$1:$I$89,3,0)*0.475*44/12</f>
        <v>0.81938956175821676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8.0290186882491437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1.5961632016114892E-13</v>
      </c>
      <c r="BF133" s="14">
        <f t="shared" ref="BF133:BF153" si="145">EXP(-1.0587+0.8836*LN(BE133)+0.284)</f>
        <v>2.2708641912150958E-12</v>
      </c>
      <c r="BG133" s="22">
        <f t="shared" si="115"/>
        <v>4.2330868906469593E-12</v>
      </c>
      <c r="BH133" s="62">
        <f t="shared" si="116"/>
        <v>279.01029742468762</v>
      </c>
      <c r="BI133" s="62">
        <f ca="1">AVERAGE(OFFSET($BH$3,0,0,'Données projet'!$E$11+1,1))-AVERAGE(OFFSET($H$3,0,0,'Données projet'!$E$11+1,1))</f>
        <v>374.62597460242665</v>
      </c>
      <c r="BJ133" s="62">
        <f t="shared" ref="BJ133:BJ196" si="146">$BJ$3</f>
        <v>277.50105097454616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4.25</v>
      </c>
      <c r="BY133" s="13">
        <f>IF('Données projet'!$A$114&gt;35,BY132+BX133-CG132,IF(A133&lt;'Données projet'!$A$114,$BV$205^A133,IF(A133='Données projet'!$A$114,'Données projet'!$B$114,BY132+BX133-CG132)))</f>
        <v>343.74999999999994</v>
      </c>
      <c r="BZ133" s="14">
        <f>BY133*VLOOKUP('Données projet'!$B$12,Paramètres!$A$1:$I$89,3,0)*VLOOKUP('Données projet'!$B$12,Paramètres!$A$1:$I$89,5,0)</f>
        <v>160.87499999999997</v>
      </c>
      <c r="CA133" s="14">
        <f t="shared" ref="CA133:CA153" si="147">EXP(-1.0587+0.8836*LN(BZ133)+0.284)</f>
        <v>41.039811411008891</v>
      </c>
      <c r="CB133" s="22">
        <f t="shared" si="118"/>
        <v>351.6682965408404</v>
      </c>
      <c r="CC133" s="62">
        <f t="shared" si="119"/>
        <v>630.67859396552376</v>
      </c>
      <c r="CD133" s="62">
        <f ca="1">AVERAGE(OFFSET($CC$3,0,0,'Données projet'!$E$12+1,1))-AVERAGE(OFFSET($H$3,0,0,'Données projet'!$E$12+1,1))</f>
        <v>329.79342219561465</v>
      </c>
      <c r="CE133" s="62">
        <f t="shared" ref="CE133:CE196" si="148">$CE$3</f>
        <v>144.63206563329757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6.8212102632969618E-13</v>
      </c>
      <c r="CU133" s="18">
        <f>CT133*VLOOKUP('Données projet'!$B$13,Paramètres!$A$1:$I$89,3,0)*VLOOKUP('Données projet'!$B$13,Paramètres!$A$1:$I$89,5,0)</f>
        <v>4.0790837374515837E-13</v>
      </c>
      <c r="CV133" s="14">
        <f t="shared" ref="CV133:CV153" si="149">EXP(-1.0587+0.8836*LN(CU133)+0.284)</f>
        <v>5.2028966193600884E-12</v>
      </c>
      <c r="CW133" s="22">
        <f t="shared" si="121"/>
        <v>9.7721520296583044E-12</v>
      </c>
      <c r="CX133" s="62">
        <f t="shared" si="122"/>
        <v>279.01029742469319</v>
      </c>
      <c r="CY133" s="62">
        <f ca="1">AVERAGE(OFFSET($CX$3,0,0,'Données projet'!$E$13+1,1))-AVERAGE(OFFSET($H$3,0,0,'Données projet'!$E$13+1,1))</f>
        <v>530.27599556821826</v>
      </c>
      <c r="CZ133" s="62">
        <f t="shared" ref="CZ133:CZ196" si="150">$CZ$3</f>
        <v>370.62231794492129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1.3361541423220991E-14</v>
      </c>
      <c r="DI133" s="24">
        <f t="shared" si="123"/>
        <v>1.3361541423220991E-14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1.2946657079737634E-13</v>
      </c>
      <c r="DQ133" s="14">
        <f t="shared" ref="DQ133:DQ153" si="151">EXP(-1.0587+0.8836*LN(DP133)+0.284)</f>
        <v>1.8873591890224769E-12</v>
      </c>
      <c r="DR133" s="22">
        <f t="shared" si="124"/>
        <v>3.5126381983529106E-12</v>
      </c>
      <c r="DS133" s="62">
        <f t="shared" si="125"/>
        <v>279.01029742468694</v>
      </c>
      <c r="DT133" s="62">
        <f ca="1">AVERAGE(OFFSET($DS$3,0,0,'Données projet'!$E$14+1,1))-AVERAGE(OFFSET($H$3,0,0,'Données projet'!$E$14+1,1))</f>
        <v>520.23742527061836</v>
      </c>
      <c r="DU133" s="62">
        <f t="shared" ref="DU133:DU196" si="152">$DU$3</f>
        <v>321.35925479331274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-1.1882548278663309E-13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435.44444011810265</v>
      </c>
      <c r="EP133" s="62">
        <f t="shared" ref="EP133:EP196" si="154">$EP$3</f>
        <v>447.15868732689762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547.89540791313675</v>
      </c>
      <c r="FK133" s="62">
        <f t="shared" ref="FK133:FK196" si="156">$FK$3</f>
        <v>345.19555189302378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>
        <f>FZ133*VLOOKUP('Données projet'!$B$17,Paramètres!$A$1:$I$89,3,0)*VLOOKUP('Données projet'!$B$17,Paramètres!$A$1:$I$89,5,0)</f>
        <v>0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409.68685886029164</v>
      </c>
      <c r="GF133" s="62">
        <f t="shared" ref="GF133:GF196" si="158">$GF$3</f>
        <v>330.8416508650887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2.2854935814996735E-14</v>
      </c>
      <c r="GO133" s="23">
        <f t="shared" si="135"/>
        <v>2.2854935814996735E-14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73.098184695482075</v>
      </c>
      <c r="T134" s="62">
        <f t="shared" si="142"/>
        <v>334.38551711782793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7.4091652062500257</v>
      </c>
      <c r="AA134" s="23">
        <f>EXP(-LN(2)/25)*AA133+(1-EXP(-LN(2)/25))/(LN(2)/25)*Calculateur!V134*Calculateur!X134*VLOOKUP('Données projet'!$B$9,Paramètres!$A$1:$I$89,3,0)*0.475*44/12</f>
        <v>0.83542302064080221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8.2445882268908282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70.520400819593021</v>
      </c>
      <c r="AO134" s="62">
        <f t="shared" si="144"/>
        <v>321.48616153644309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7.0682526967599966</v>
      </c>
      <c r="AV134" s="23">
        <f>EXP(-LN(2)/25)*AV133+(1-EXP(-LN(2)/25))/(LN(2)/25)*Calculateur!AQ134*Calculateur!AS134*VLOOKUP('Données projet'!$B$10,Paramètres!$A$1:$I$89,3,0)*0.475*44/12</f>
        <v>0.79698331110211396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7.8652360078621104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1.5961632016114892E-13</v>
      </c>
      <c r="BF134" s="14">
        <f t="shared" si="145"/>
        <v>2.2708641912150958E-12</v>
      </c>
      <c r="BG134" s="22">
        <f t="shared" si="115"/>
        <v>4.2330868906469593E-12</v>
      </c>
      <c r="BH134" s="62">
        <f t="shared" si="116"/>
        <v>279.25877007619158</v>
      </c>
      <c r="BI134" s="62">
        <f ca="1">AVERAGE(OFFSET($BH$3,0,0,'Données projet'!$E$11+1,1))-AVERAGE(OFFSET($H$3,0,0,'Données projet'!$E$11+1,1))</f>
        <v>374.62597460242665</v>
      </c>
      <c r="BJ134" s="62">
        <f t="shared" si="146"/>
        <v>277.50105097454616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4.25</v>
      </c>
      <c r="BY134" s="13">
        <f>IF('Données projet'!$A$114&gt;35,BY133+BX134-CG133,IF(A134&lt;'Données projet'!$A$114,$BV$205^A134,IF(A134='Données projet'!$A$114,'Données projet'!$B$114,BY133+BX134-CG133)))</f>
        <v>347.99999999999994</v>
      </c>
      <c r="BZ134" s="14">
        <f>BY134*VLOOKUP('Données projet'!$B$12,Paramètres!$A$1:$I$89,3,0)*VLOOKUP('Données projet'!$B$12,Paramètres!$A$1:$I$89,5,0)</f>
        <v>162.86399999999998</v>
      </c>
      <c r="CA134" s="14">
        <f t="shared" si="147"/>
        <v>41.487830069509123</v>
      </c>
      <c r="CB134" s="22">
        <f t="shared" si="118"/>
        <v>355.91277070439497</v>
      </c>
      <c r="CC134" s="62">
        <f t="shared" si="119"/>
        <v>635.17154078058229</v>
      </c>
      <c r="CD134" s="62">
        <f ca="1">AVERAGE(OFFSET($CC$3,0,0,'Données projet'!$E$12+1,1))-AVERAGE(OFFSET($H$3,0,0,'Données projet'!$E$12+1,1))</f>
        <v>329.79342219561465</v>
      </c>
      <c r="CE134" s="62">
        <f t="shared" si="148"/>
        <v>144.63206563329757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6.8212102632969618E-13</v>
      </c>
      <c r="CU134" s="18">
        <f>CT134*VLOOKUP('Données projet'!$B$13,Paramètres!$A$1:$I$89,3,0)*VLOOKUP('Données projet'!$B$13,Paramètres!$A$1:$I$89,5,0)</f>
        <v>4.0790837374515837E-13</v>
      </c>
      <c r="CV134" s="14">
        <f t="shared" si="149"/>
        <v>5.2028966193600884E-12</v>
      </c>
      <c r="CW134" s="22">
        <f t="shared" si="121"/>
        <v>9.7721520296583044E-12</v>
      </c>
      <c r="CX134" s="62">
        <f t="shared" si="122"/>
        <v>279.25877007619715</v>
      </c>
      <c r="CY134" s="62">
        <f ca="1">AVERAGE(OFFSET($CX$3,0,0,'Données projet'!$E$13+1,1))-AVERAGE(OFFSET($H$3,0,0,'Données projet'!$E$13+1,1))</f>
        <v>530.27599556821826</v>
      </c>
      <c r="CZ134" s="62">
        <f t="shared" si="150"/>
        <v>370.62231794492129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9.4480365474645161E-15</v>
      </c>
      <c r="DI134" s="24">
        <f t="shared" si="123"/>
        <v>9.4480365474645161E-15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1.2946657079737634E-13</v>
      </c>
      <c r="DQ134" s="14">
        <f t="shared" si="151"/>
        <v>1.8873591890224769E-12</v>
      </c>
      <c r="DR134" s="22">
        <f t="shared" si="124"/>
        <v>3.5126381983529106E-12</v>
      </c>
      <c r="DS134" s="62">
        <f t="shared" si="125"/>
        <v>279.2587700761909</v>
      </c>
      <c r="DT134" s="62">
        <f ca="1">AVERAGE(OFFSET($DS$3,0,0,'Données projet'!$E$14+1,1))-AVERAGE(OFFSET($H$3,0,0,'Données projet'!$E$14+1,1))</f>
        <v>520.23742527061836</v>
      </c>
      <c r="DU134" s="62">
        <f t="shared" si="152"/>
        <v>321.35925479331274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-1.1882548278663309E-13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435.44444011810265</v>
      </c>
      <c r="EP134" s="62">
        <f t="shared" si="154"/>
        <v>447.15868732689762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547.89540791313675</v>
      </c>
      <c r="FK134" s="62">
        <f t="shared" si="156"/>
        <v>345.19555189302378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>
        <f>FZ134*VLOOKUP('Données projet'!$B$17,Paramètres!$A$1:$I$89,3,0)*VLOOKUP('Données projet'!$B$17,Paramètres!$A$1:$I$89,5,0)</f>
        <v>0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409.68685886029164</v>
      </c>
      <c r="GF134" s="62">
        <f t="shared" si="158"/>
        <v>330.8416508650887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1.6160880098367484E-14</v>
      </c>
      <c r="GO134" s="23">
        <f t="shared" si="135"/>
        <v>1.6160880098367484E-14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73.098184695482075</v>
      </c>
      <c r="T135" s="62">
        <f t="shared" si="142"/>
        <v>334.38551711782793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7.2638759957000101</v>
      </c>
      <c r="AA135" s="23">
        <f>EXP(-LN(2)/25)*AA134+(1-EXP(-LN(2)/25))/(LN(2)/25)*Calculateur!V135*Calculateur!X135*VLOOKUP('Données projet'!$B$9,Paramètres!$A$1:$I$89,3,0)*0.475*44/12</f>
        <v>0.81257833420839221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8.0764543299084028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70.520400819593021</v>
      </c>
      <c r="AO135" s="62">
        <f t="shared" si="144"/>
        <v>321.48616153644309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6.9296485725849815</v>
      </c>
      <c r="AV135" s="23">
        <f>EXP(-LN(2)/25)*AV134+(1-EXP(-LN(2)/25))/(LN(2)/25)*Calculateur!AQ135*Calculateur!AS135*VLOOKUP('Données projet'!$B$10,Paramètres!$A$1:$I$89,3,0)*0.475*44/12</f>
        <v>0.77518976054849587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7.7048383331334769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1.5961632016114892E-13</v>
      </c>
      <c r="BF135" s="14">
        <f t="shared" si="145"/>
        <v>2.2708641912150958E-12</v>
      </c>
      <c r="BG135" s="22">
        <f t="shared" si="115"/>
        <v>4.2330868906469593E-12</v>
      </c>
      <c r="BH135" s="62">
        <f t="shared" si="116"/>
        <v>279.50293228269362</v>
      </c>
      <c r="BI135" s="62">
        <f ca="1">AVERAGE(OFFSET($BH$3,0,0,'Données projet'!$E$11+1,1))-AVERAGE(OFFSET($H$3,0,0,'Données projet'!$E$11+1,1))</f>
        <v>374.62597460242665</v>
      </c>
      <c r="BJ135" s="62">
        <f t="shared" si="146"/>
        <v>277.50105097454616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4.25</v>
      </c>
      <c r="BY135" s="13">
        <f>IF('Données projet'!$A$114&gt;35,BY134+BX135-CG134,IF(A135&lt;'Données projet'!$A$114,$BV$205^A135,IF(A135='Données projet'!$A$114,'Données projet'!$B$114,BY134+BX135-CG134)))</f>
        <v>352.24999999999994</v>
      </c>
      <c r="BZ135" s="14">
        <f>BY135*VLOOKUP('Données projet'!$B$12,Paramètres!$A$1:$I$89,3,0)*VLOOKUP('Données projet'!$B$12,Paramètres!$A$1:$I$89,5,0)</f>
        <v>164.85299999999998</v>
      </c>
      <c r="CA135" s="14">
        <f t="shared" si="147"/>
        <v>41.93521228204834</v>
      </c>
      <c r="CB135" s="22">
        <f t="shared" si="118"/>
        <v>360.15613639123416</v>
      </c>
      <c r="CC135" s="62">
        <f t="shared" si="119"/>
        <v>639.65906867392357</v>
      </c>
      <c r="CD135" s="62">
        <f ca="1">AVERAGE(OFFSET($CC$3,0,0,'Données projet'!$E$12+1,1))-AVERAGE(OFFSET($H$3,0,0,'Données projet'!$E$12+1,1))</f>
        <v>329.79342219561465</v>
      </c>
      <c r="CE135" s="62">
        <f t="shared" si="148"/>
        <v>144.63206563329757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6.8212102632969618E-13</v>
      </c>
      <c r="CU135" s="18">
        <f>CT135*VLOOKUP('Données projet'!$B$13,Paramètres!$A$1:$I$89,3,0)*VLOOKUP('Données projet'!$B$13,Paramètres!$A$1:$I$89,5,0)</f>
        <v>4.0790837374515837E-13</v>
      </c>
      <c r="CV135" s="14">
        <f t="shared" si="149"/>
        <v>5.2028966193600884E-12</v>
      </c>
      <c r="CW135" s="22">
        <f t="shared" si="121"/>
        <v>9.7721520296583044E-12</v>
      </c>
      <c r="CX135" s="62">
        <f t="shared" si="122"/>
        <v>279.50293228269919</v>
      </c>
      <c r="CY135" s="62">
        <f ca="1">AVERAGE(OFFSET($CX$3,0,0,'Données projet'!$E$13+1,1))-AVERAGE(OFFSET($H$3,0,0,'Données projet'!$E$13+1,1))</f>
        <v>530.27599556821826</v>
      </c>
      <c r="CZ135" s="62">
        <f t="shared" si="150"/>
        <v>370.62231794492129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6.6807707116104956E-15</v>
      </c>
      <c r="DI135" s="24">
        <f t="shared" si="123"/>
        <v>6.6807707116104956E-15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1.2946657079737634E-13</v>
      </c>
      <c r="DQ135" s="14">
        <f t="shared" si="151"/>
        <v>1.8873591890224769E-12</v>
      </c>
      <c r="DR135" s="22">
        <f t="shared" si="124"/>
        <v>3.5126381983529106E-12</v>
      </c>
      <c r="DS135" s="62">
        <f t="shared" si="125"/>
        <v>279.50293228269294</v>
      </c>
      <c r="DT135" s="62">
        <f ca="1">AVERAGE(OFFSET($DS$3,0,0,'Données projet'!$E$14+1,1))-AVERAGE(OFFSET($H$3,0,0,'Données projet'!$E$14+1,1))</f>
        <v>520.23742527061836</v>
      </c>
      <c r="DU135" s="62">
        <f t="shared" si="152"/>
        <v>321.35925479331274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-1.1882548278663309E-13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435.44444011810265</v>
      </c>
      <c r="EP135" s="62">
        <f t="shared" si="154"/>
        <v>447.15868732689762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547.89540791313675</v>
      </c>
      <c r="FK135" s="62">
        <f t="shared" si="156"/>
        <v>345.19555189302378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>
        <f>FZ135*VLOOKUP('Données projet'!$B$17,Paramètres!$A$1:$I$89,3,0)*VLOOKUP('Données projet'!$B$17,Paramètres!$A$1:$I$89,5,0)</f>
        <v>0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409.68685886029164</v>
      </c>
      <c r="GF135" s="62">
        <f t="shared" si="158"/>
        <v>330.8416508650887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1.1427467907498367E-14</v>
      </c>
      <c r="GO135" s="23">
        <f t="shared" si="135"/>
        <v>1.1427467907498367E-14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73.098184695482075</v>
      </c>
      <c r="T136" s="62">
        <f t="shared" si="142"/>
        <v>334.38551711782793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7.1214358179512125</v>
      </c>
      <c r="AA136" s="23">
        <f>EXP(-LN(2)/25)*AA135+(1-EXP(-LN(2)/25))/(LN(2)/25)*Calculateur!V136*Calculateur!X136*VLOOKUP('Données projet'!$B$9,Paramètres!$A$1:$I$89,3,0)*0.475*44/12</f>
        <v>0.79035833692782631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7.9117941548790389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70.520400819593021</v>
      </c>
      <c r="AO136" s="62">
        <f t="shared" si="144"/>
        <v>321.48616153644309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6.7937623907448703</v>
      </c>
      <c r="AV136" s="23">
        <f>EXP(-LN(2)/25)*AV135+(1-EXP(-LN(2)/25))/(LN(2)/25)*Calculateur!AQ136*Calculateur!AS136*VLOOKUP('Données projet'!$B$10,Paramètres!$A$1:$I$89,3,0)*0.475*44/12</f>
        <v>0.75399215578083945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7.5477545465257094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1.5961632016114892E-13</v>
      </c>
      <c r="BF136" s="14">
        <f t="shared" si="145"/>
        <v>2.2708641912150958E-12</v>
      </c>
      <c r="BG136" s="22">
        <f t="shared" si="115"/>
        <v>4.2330868906469593E-12</v>
      </c>
      <c r="BH136" s="62">
        <f t="shared" si="116"/>
        <v>279.74285882077771</v>
      </c>
      <c r="BI136" s="62">
        <f ca="1">AVERAGE(OFFSET($BH$3,0,0,'Données projet'!$E$11+1,1))-AVERAGE(OFFSET($H$3,0,0,'Données projet'!$E$11+1,1))</f>
        <v>374.62597460242665</v>
      </c>
      <c r="BJ136" s="62">
        <f t="shared" si="146"/>
        <v>277.50105097454616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4.25</v>
      </c>
      <c r="BY136" s="13">
        <f>IF('Données projet'!$A$114&gt;35,BY135+BX136-CG135,IF(A136&lt;'Données projet'!$A$114,$BV$205^A136,IF(A136='Données projet'!$A$114,'Données projet'!$B$114,BY135+BX136-CG135)))</f>
        <v>356.49999999999994</v>
      </c>
      <c r="BZ136" s="14">
        <f>BY136*VLOOKUP('Données projet'!$B$12,Paramètres!$A$1:$I$89,3,0)*VLOOKUP('Données projet'!$B$12,Paramètres!$A$1:$I$89,5,0)</f>
        <v>166.84199999999998</v>
      </c>
      <c r="CA136" s="14">
        <f t="shared" si="147"/>
        <v>42.381966615760334</v>
      </c>
      <c r="CB136" s="22">
        <f t="shared" si="118"/>
        <v>364.39840852244924</v>
      </c>
      <c r="CC136" s="62">
        <f t="shared" si="119"/>
        <v>644.14126734322281</v>
      </c>
      <c r="CD136" s="62">
        <f ca="1">AVERAGE(OFFSET($CC$3,0,0,'Données projet'!$E$12+1,1))-AVERAGE(OFFSET($H$3,0,0,'Données projet'!$E$12+1,1))</f>
        <v>329.79342219561465</v>
      </c>
      <c r="CE136" s="62">
        <f t="shared" si="148"/>
        <v>144.63206563329757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6.8212102632969618E-13</v>
      </c>
      <c r="CU136" s="18">
        <f>CT136*VLOOKUP('Données projet'!$B$13,Paramètres!$A$1:$I$89,3,0)*VLOOKUP('Données projet'!$B$13,Paramètres!$A$1:$I$89,5,0)</f>
        <v>4.0790837374515837E-13</v>
      </c>
      <c r="CV136" s="14">
        <f t="shared" si="149"/>
        <v>5.2028966193600884E-12</v>
      </c>
      <c r="CW136" s="22">
        <f t="shared" si="121"/>
        <v>9.7721520296583044E-12</v>
      </c>
      <c r="CX136" s="62">
        <f t="shared" si="122"/>
        <v>279.74285882078328</v>
      </c>
      <c r="CY136" s="62">
        <f ca="1">AVERAGE(OFFSET($CX$3,0,0,'Données projet'!$E$13+1,1))-AVERAGE(OFFSET($H$3,0,0,'Données projet'!$E$13+1,1))</f>
        <v>530.27599556821826</v>
      </c>
      <c r="CZ136" s="62">
        <f t="shared" si="150"/>
        <v>370.62231794492129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4.724018273732258E-15</v>
      </c>
      <c r="DI136" s="24">
        <f t="shared" si="123"/>
        <v>4.724018273732258E-15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1.2946657079737634E-13</v>
      </c>
      <c r="DQ136" s="14">
        <f t="shared" si="151"/>
        <v>1.8873591890224769E-12</v>
      </c>
      <c r="DR136" s="22">
        <f t="shared" si="124"/>
        <v>3.5126381983529106E-12</v>
      </c>
      <c r="DS136" s="62">
        <f t="shared" si="125"/>
        <v>279.74285882077703</v>
      </c>
      <c r="DT136" s="62">
        <f ca="1">AVERAGE(OFFSET($DS$3,0,0,'Données projet'!$E$14+1,1))-AVERAGE(OFFSET($H$3,0,0,'Données projet'!$E$14+1,1))</f>
        <v>520.23742527061836</v>
      </c>
      <c r="DU136" s="62">
        <f t="shared" si="152"/>
        <v>321.35925479331274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-1.1882548278663309E-13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435.44444011810265</v>
      </c>
      <c r="EP136" s="62">
        <f t="shared" si="154"/>
        <v>447.15868732689762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547.89540791313675</v>
      </c>
      <c r="FK136" s="62">
        <f t="shared" si="156"/>
        <v>345.19555189302378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>
        <f>FZ136*VLOOKUP('Données projet'!$B$17,Paramètres!$A$1:$I$89,3,0)*VLOOKUP('Données projet'!$B$17,Paramètres!$A$1:$I$89,5,0)</f>
        <v>0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409.68685886029164</v>
      </c>
      <c r="GF136" s="62">
        <f t="shared" si="158"/>
        <v>330.8416508650887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8.080440049183742E-15</v>
      </c>
      <c r="GO136" s="23">
        <f t="shared" si="135"/>
        <v>8.080440049183742E-15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73.098184695482075</v>
      </c>
      <c r="T137" s="62">
        <f t="shared" si="142"/>
        <v>334.38551711782793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6.9817888052081383</v>
      </c>
      <c r="AA137" s="23">
        <f>EXP(-LN(2)/25)*AA136+(1-EXP(-LN(2)/25))/(LN(2)/25)*Calculateur!V137*Calculateur!X137*VLOOKUP('Données projet'!$B$9,Paramètres!$A$1:$I$89,3,0)*0.475*44/12</f>
        <v>0.76874594664139639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7.7505347518495347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70.520400819593021</v>
      </c>
      <c r="AO137" s="62">
        <f t="shared" si="144"/>
        <v>321.48616153644309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6.6605408540482571</v>
      </c>
      <c r="AV137" s="23">
        <f>EXP(-LN(2)/25)*AV136+(1-EXP(-LN(2)/25))/(LN(2)/25)*Calculateur!AQ137*Calculateur!AS137*VLOOKUP('Données projet'!$B$10,Paramètres!$A$1:$I$89,3,0)*0.475*44/12</f>
        <v>0.73337420063028824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7.393915054678545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1.5961632016114892E-13</v>
      </c>
      <c r="BF137" s="14">
        <f t="shared" si="145"/>
        <v>2.2708641912150958E-12</v>
      </c>
      <c r="BG137" s="22">
        <f t="shared" si="115"/>
        <v>4.2330868906469593E-12</v>
      </c>
      <c r="BH137" s="62">
        <f t="shared" si="116"/>
        <v>279.97862316982145</v>
      </c>
      <c r="BI137" s="62">
        <f ca="1">AVERAGE(OFFSET($BH$3,0,0,'Données projet'!$E$11+1,1))-AVERAGE(OFFSET($H$3,0,0,'Données projet'!$E$11+1,1))</f>
        <v>374.62597460242665</v>
      </c>
      <c r="BJ137" s="62">
        <f t="shared" si="146"/>
        <v>277.50105097454616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4.25</v>
      </c>
      <c r="BY137" s="13">
        <f>IF('Données projet'!$A$114&gt;35,BY136+BX137-CG136,IF(A137&lt;'Données projet'!$A$114,$BV$205^A137,IF(A137='Données projet'!$A$114,'Données projet'!$B$114,BY136+BX137-CG136)))</f>
        <v>360.74999999999994</v>
      </c>
      <c r="BZ137" s="14">
        <f>BY137*VLOOKUP('Données projet'!$B$12,Paramètres!$A$1:$I$89,3,0)*VLOOKUP('Données projet'!$B$12,Paramètres!$A$1:$I$89,5,0)</f>
        <v>168.83099999999999</v>
      </c>
      <c r="CA137" s="14">
        <f t="shared" si="147"/>
        <v>42.828101421759989</v>
      </c>
      <c r="CB137" s="22">
        <f t="shared" si="118"/>
        <v>368.63960164289864</v>
      </c>
      <c r="CC137" s="62">
        <f t="shared" si="119"/>
        <v>648.61822481271588</v>
      </c>
      <c r="CD137" s="62">
        <f ca="1">AVERAGE(OFFSET($CC$3,0,0,'Données projet'!$E$12+1,1))-AVERAGE(OFFSET($H$3,0,0,'Données projet'!$E$12+1,1))</f>
        <v>329.79342219561465</v>
      </c>
      <c r="CE137" s="62">
        <f t="shared" si="148"/>
        <v>144.63206563329757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6.8212102632969618E-13</v>
      </c>
      <c r="CU137" s="18">
        <f>CT137*VLOOKUP('Données projet'!$B$13,Paramètres!$A$1:$I$89,3,0)*VLOOKUP('Données projet'!$B$13,Paramètres!$A$1:$I$89,5,0)</f>
        <v>4.0790837374515837E-13</v>
      </c>
      <c r="CV137" s="14">
        <f t="shared" si="149"/>
        <v>5.2028966193600884E-12</v>
      </c>
      <c r="CW137" s="22">
        <f t="shared" si="121"/>
        <v>9.7721520296583044E-12</v>
      </c>
      <c r="CX137" s="62">
        <f t="shared" si="122"/>
        <v>279.97862316982702</v>
      </c>
      <c r="CY137" s="62">
        <f ca="1">AVERAGE(OFFSET($CX$3,0,0,'Données projet'!$E$13+1,1))-AVERAGE(OFFSET($H$3,0,0,'Données projet'!$E$13+1,1))</f>
        <v>530.27599556821826</v>
      </c>
      <c r="CZ137" s="62">
        <f t="shared" si="150"/>
        <v>370.62231794492129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3.3403853558052478E-15</v>
      </c>
      <c r="DI137" s="24">
        <f t="shared" si="123"/>
        <v>3.3403853558052478E-15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1.2946657079737634E-13</v>
      </c>
      <c r="DQ137" s="14">
        <f t="shared" si="151"/>
        <v>1.8873591890224769E-12</v>
      </c>
      <c r="DR137" s="22">
        <f t="shared" si="124"/>
        <v>3.5126381983529106E-12</v>
      </c>
      <c r="DS137" s="62">
        <f t="shared" si="125"/>
        <v>279.97862316982076</v>
      </c>
      <c r="DT137" s="62">
        <f ca="1">AVERAGE(OFFSET($DS$3,0,0,'Données projet'!$E$14+1,1))-AVERAGE(OFFSET($H$3,0,0,'Données projet'!$E$14+1,1))</f>
        <v>520.23742527061836</v>
      </c>
      <c r="DU137" s="62">
        <f t="shared" si="152"/>
        <v>321.35925479331274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-1.1882548278663309E-13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435.44444011810265</v>
      </c>
      <c r="EP137" s="62">
        <f t="shared" si="154"/>
        <v>447.15868732689762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547.89540791313675</v>
      </c>
      <c r="FK137" s="62">
        <f t="shared" si="156"/>
        <v>345.19555189302378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>
        <f>FZ137*VLOOKUP('Données projet'!$B$17,Paramètres!$A$1:$I$89,3,0)*VLOOKUP('Données projet'!$B$17,Paramètres!$A$1:$I$89,5,0)</f>
        <v>0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409.68685886029164</v>
      </c>
      <c r="GF137" s="62">
        <f t="shared" si="158"/>
        <v>330.8416508650887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5.7137339537491837E-15</v>
      </c>
      <c r="GO137" s="23">
        <f t="shared" si="135"/>
        <v>5.7137339537491837E-15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73.098184695482075</v>
      </c>
      <c r="T138" s="62">
        <f t="shared" si="142"/>
        <v>334.38551711782793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6.8448801852086891</v>
      </c>
      <c r="AA138" s="23">
        <f>EXP(-LN(2)/25)*AA137+(1-EXP(-LN(2)/25))/(LN(2)/25)*Calculateur!V138*Calculateur!X138*VLOOKUP('Données projet'!$B$9,Paramètres!$A$1:$I$89,3,0)*0.475*44/12</f>
        <v>0.74772454830389512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7.5926047335125846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70.520400819593021</v>
      </c>
      <c r="AO138" s="62">
        <f t="shared" si="144"/>
        <v>321.48616153644309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6.5299317104291505</v>
      </c>
      <c r="AV138" s="23">
        <f>EXP(-LN(2)/25)*AV137+(1-EXP(-LN(2)/25))/(LN(2)/25)*Calculateur!AQ138*Calculateur!AS138*VLOOKUP('Données projet'!$B$10,Paramètres!$A$1:$I$89,3,0)*0.475*44/12</f>
        <v>0.71332004454757991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7.2432517549767308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1.5961632016114892E-13</v>
      </c>
      <c r="BF138" s="14">
        <f t="shared" si="145"/>
        <v>2.2708641912150958E-12</v>
      </c>
      <c r="BG138" s="22">
        <f t="shared" si="115"/>
        <v>4.2330868906469593E-12</v>
      </c>
      <c r="BH138" s="62">
        <f t="shared" si="116"/>
        <v>280.21029753449938</v>
      </c>
      <c r="BI138" s="62">
        <f ca="1">AVERAGE(OFFSET($BH$3,0,0,'Données projet'!$E$11+1,1))-AVERAGE(OFFSET($H$3,0,0,'Données projet'!$E$11+1,1))</f>
        <v>374.62597460242665</v>
      </c>
      <c r="BJ138" s="62">
        <f t="shared" si="146"/>
        <v>277.50105097454616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>
        <f>VLOOKUP(A138,'Données projet'!$A$113:$I$133,2,0)</f>
        <v>365</v>
      </c>
      <c r="BW138" s="13">
        <f>VLOOKUP(A138,'Données projet'!$A$113:$I$133,9,0)</f>
        <v>4.25</v>
      </c>
      <c r="BX138" s="13">
        <f t="array" ref="BX138">INDEX(BW:BW,MIN(IF(ISNUMBER(BW138:BW334),ROW(BW138:BW334),"")))</f>
        <v>4.25</v>
      </c>
      <c r="BY138" s="13">
        <f>IF('Données projet'!$A$114&gt;35,BY137+BX138-CG137,IF(A138&lt;'Données projet'!$A$114,$BV$205^A138,IF(A138='Données projet'!$A$114,'Données projet'!$B$114,BY137+BX138-CG137)))</f>
        <v>364.99999999999994</v>
      </c>
      <c r="BZ138" s="14">
        <f>BY138*VLOOKUP('Données projet'!$B$12,Paramètres!$A$1:$I$89,3,0)*VLOOKUP('Données projet'!$B$12,Paramètres!$A$1:$I$89,5,0)</f>
        <v>170.81999999999996</v>
      </c>
      <c r="CA138" s="14">
        <f t="shared" si="147"/>
        <v>43.27362484306942</v>
      </c>
      <c r="CB138" s="22">
        <f t="shared" si="118"/>
        <v>372.87972993501256</v>
      </c>
      <c r="CC138" s="62">
        <f t="shared" si="119"/>
        <v>653.09002746950773</v>
      </c>
      <c r="CD138" s="62">
        <f ca="1">AVERAGE(OFFSET($CC$3,0,0,'Données projet'!$E$12+1,1))-AVERAGE(OFFSET($H$3,0,0,'Données projet'!$E$12+1,1))</f>
        <v>329.79342219561465</v>
      </c>
      <c r="CE138" s="62">
        <f t="shared" si="148"/>
        <v>144.63206563329757</v>
      </c>
      <c r="CF138" s="16">
        <f>IF(ISNA(VLOOKUP(A138,'Données projet'!$A$113:$I$133,3,0)),0,VLOOKUP(A138,'Données projet'!$A$113:$I$133,3,0))</f>
        <v>15</v>
      </c>
      <c r="CG138" s="16">
        <f>IF(ISNA(VLOOKUP(A138,'Données projet'!$A$113:$I$133,4,0)),0,VLOOKUP(A138,'Données projet'!$A$113:$I$133,4,0))</f>
        <v>70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6.8212102632969618E-13</v>
      </c>
      <c r="CU138" s="18">
        <f>CT138*VLOOKUP('Données projet'!$B$13,Paramètres!$A$1:$I$89,3,0)*VLOOKUP('Données projet'!$B$13,Paramètres!$A$1:$I$89,5,0)</f>
        <v>4.0790837374515837E-13</v>
      </c>
      <c r="CV138" s="14">
        <f t="shared" si="149"/>
        <v>5.2028966193600884E-12</v>
      </c>
      <c r="CW138" s="22">
        <f t="shared" si="121"/>
        <v>9.7721520296583044E-12</v>
      </c>
      <c r="CX138" s="62">
        <f t="shared" si="122"/>
        <v>280.21029753450495</v>
      </c>
      <c r="CY138" s="62">
        <f ca="1">AVERAGE(OFFSET($CX$3,0,0,'Données projet'!$E$13+1,1))-AVERAGE(OFFSET($H$3,0,0,'Données projet'!$E$13+1,1))</f>
        <v>530.27599556821826</v>
      </c>
      <c r="CZ138" s="62">
        <f t="shared" si="150"/>
        <v>370.62231794492129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2.362009136866129E-15</v>
      </c>
      <c r="DI138" s="24">
        <f t="shared" si="123"/>
        <v>2.362009136866129E-15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1.2946657079737634E-13</v>
      </c>
      <c r="DQ138" s="14">
        <f t="shared" si="151"/>
        <v>1.8873591890224769E-12</v>
      </c>
      <c r="DR138" s="22">
        <f t="shared" si="124"/>
        <v>3.5126381983529106E-12</v>
      </c>
      <c r="DS138" s="62">
        <f t="shared" si="125"/>
        <v>280.21029753449869</v>
      </c>
      <c r="DT138" s="62">
        <f ca="1">AVERAGE(OFFSET($DS$3,0,0,'Données projet'!$E$14+1,1))-AVERAGE(OFFSET($H$3,0,0,'Données projet'!$E$14+1,1))</f>
        <v>520.23742527061836</v>
      </c>
      <c r="DU138" s="62">
        <f t="shared" si="152"/>
        <v>321.35925479331274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-1.1882548278663309E-13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435.44444011810265</v>
      </c>
      <c r="EP138" s="62">
        <f t="shared" si="154"/>
        <v>447.15868732689762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547.89540791313675</v>
      </c>
      <c r="FK138" s="62">
        <f t="shared" si="156"/>
        <v>345.19555189302378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>
        <f>FZ138*VLOOKUP('Données projet'!$B$17,Paramètres!$A$1:$I$89,3,0)*VLOOKUP('Données projet'!$B$17,Paramètres!$A$1:$I$89,5,0)</f>
        <v>0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409.68685886029164</v>
      </c>
      <c r="GF138" s="62">
        <f t="shared" si="158"/>
        <v>330.8416508650887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4.040220024591871E-15</v>
      </c>
      <c r="GO138" s="23">
        <f t="shared" si="135"/>
        <v>4.040220024591871E-15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73.098184695482075</v>
      </c>
      <c r="T139" s="62">
        <f t="shared" si="142"/>
        <v>334.38551711782793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6.7106562597414161</v>
      </c>
      <c r="AA139" s="23">
        <f>EXP(-LN(2)/25)*AA138+(1-EXP(-LN(2)/25))/(LN(2)/25)*Calculateur!V139*Calculateur!X139*VLOOKUP('Données projet'!$B$9,Paramètres!$A$1:$I$89,3,0)*0.475*44/12</f>
        <v>0.72727798120940002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7.437934240950816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70.520400819593021</v>
      </c>
      <c r="AO139" s="62">
        <f t="shared" si="144"/>
        <v>321.48616153644309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6.4018837324527027</v>
      </c>
      <c r="AV139" s="23">
        <f>EXP(-LN(2)/25)*AV138+(1-EXP(-LN(2)/25))/(LN(2)/25)*Calculateur!AQ139*Calculateur!AS139*VLOOKUP('Données projet'!$B$10,Paramètres!$A$1:$I$89,3,0)*0.475*44/12</f>
        <v>0.6938142704175555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7.0956980028702583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1.5961632016114892E-13</v>
      </c>
      <c r="BF139" s="14">
        <f t="shared" si="145"/>
        <v>2.2708641912150958E-12</v>
      </c>
      <c r="BG139" s="22">
        <f t="shared" si="115"/>
        <v>4.2330868906469593E-12</v>
      </c>
      <c r="BH139" s="62">
        <f t="shared" si="116"/>
        <v>280.43795286689635</v>
      </c>
      <c r="BI139" s="62">
        <f ca="1">AVERAGE(OFFSET($BH$3,0,0,'Données projet'!$E$11+1,1))-AVERAGE(OFFSET($H$3,0,0,'Données projet'!$E$11+1,1))</f>
        <v>374.62597460242665</v>
      </c>
      <c r="BJ139" s="62">
        <f t="shared" si="146"/>
        <v>277.50105097454616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4</v>
      </c>
      <c r="BY139" s="13">
        <f>IF('Données projet'!$A$114&gt;35,BY138+BX139-CG138,IF(A139&lt;'Données projet'!$A$114,$BV$205^A139,IF(A139='Données projet'!$A$114,'Données projet'!$B$114,BY138+BX139-CG138)))</f>
        <v>298.99999999999994</v>
      </c>
      <c r="BZ139" s="14">
        <f>BY139*VLOOKUP('Données projet'!$B$12,Paramètres!$A$1:$I$89,3,0)*VLOOKUP('Données projet'!$B$12,Paramètres!$A$1:$I$89,5,0)</f>
        <v>139.93199999999996</v>
      </c>
      <c r="CA139" s="14">
        <f t="shared" si="147"/>
        <v>36.281427209452353</v>
      </c>
      <c r="CB139" s="22">
        <f t="shared" si="118"/>
        <v>306.90505238979614</v>
      </c>
      <c r="CC139" s="62">
        <f t="shared" si="119"/>
        <v>587.34300525668823</v>
      </c>
      <c r="CD139" s="62">
        <f ca="1">AVERAGE(OFFSET($CC$3,0,0,'Données projet'!$E$12+1,1))-AVERAGE(OFFSET($H$3,0,0,'Données projet'!$E$12+1,1))</f>
        <v>329.79342219561465</v>
      </c>
      <c r="CE139" s="62">
        <f t="shared" si="148"/>
        <v>144.63206563329757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6.8212102632969618E-13</v>
      </c>
      <c r="CU139" s="18">
        <f>CT139*VLOOKUP('Données projet'!$B$13,Paramètres!$A$1:$I$89,3,0)*VLOOKUP('Données projet'!$B$13,Paramètres!$A$1:$I$89,5,0)</f>
        <v>4.0790837374515837E-13</v>
      </c>
      <c r="CV139" s="14">
        <f t="shared" si="149"/>
        <v>5.2028966193600884E-12</v>
      </c>
      <c r="CW139" s="22">
        <f t="shared" si="121"/>
        <v>9.7721520296583044E-12</v>
      </c>
      <c r="CX139" s="62">
        <f t="shared" si="122"/>
        <v>280.43795286690192</v>
      </c>
      <c r="CY139" s="62">
        <f ca="1">AVERAGE(OFFSET($CX$3,0,0,'Données projet'!$E$13+1,1))-AVERAGE(OFFSET($H$3,0,0,'Données projet'!$E$13+1,1))</f>
        <v>530.27599556821826</v>
      </c>
      <c r="CZ139" s="62">
        <f t="shared" si="150"/>
        <v>370.62231794492129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1.6701926779026239E-15</v>
      </c>
      <c r="DI139" s="24">
        <f t="shared" si="123"/>
        <v>1.6701926779026239E-15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1.2946657079737634E-13</v>
      </c>
      <c r="DQ139" s="14">
        <f t="shared" si="151"/>
        <v>1.8873591890224769E-12</v>
      </c>
      <c r="DR139" s="22">
        <f t="shared" si="124"/>
        <v>3.5126381983529106E-12</v>
      </c>
      <c r="DS139" s="62">
        <f t="shared" si="125"/>
        <v>280.43795286689567</v>
      </c>
      <c r="DT139" s="62">
        <f ca="1">AVERAGE(OFFSET($DS$3,0,0,'Données projet'!$E$14+1,1))-AVERAGE(OFFSET($H$3,0,0,'Données projet'!$E$14+1,1))</f>
        <v>520.23742527061836</v>
      </c>
      <c r="DU139" s="62">
        <f t="shared" si="152"/>
        <v>321.35925479331274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-1.1882548278663309E-13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435.44444011810265</v>
      </c>
      <c r="EP139" s="62">
        <f t="shared" si="154"/>
        <v>447.15868732689762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547.89540791313675</v>
      </c>
      <c r="FK139" s="62">
        <f t="shared" si="156"/>
        <v>345.19555189302378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>
        <f>FZ139*VLOOKUP('Données projet'!$B$17,Paramètres!$A$1:$I$89,3,0)*VLOOKUP('Données projet'!$B$17,Paramètres!$A$1:$I$89,5,0)</f>
        <v>0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409.68685886029164</v>
      </c>
      <c r="GF139" s="62">
        <f t="shared" si="158"/>
        <v>330.8416508650887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2.8568669768745918E-15</v>
      </c>
      <c r="GO139" s="23">
        <f t="shared" si="135"/>
        <v>2.8568669768745918E-15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73.098184695482075</v>
      </c>
      <c r="T140" s="62">
        <f t="shared" si="142"/>
        <v>334.38551711782793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6.5790643835840461</v>
      </c>
      <c r="AA140" s="23">
        <f>EXP(-LN(2)/25)*AA139+(1-EXP(-LN(2)/25))/(LN(2)/25)*Calculateur!V140*Calculateur!X140*VLOOKUP('Données projet'!$B$9,Paramètres!$A$1:$I$89,3,0)*0.475*44/12</f>
        <v>0.70739052656734214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7.286454910151388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70.520400819593021</v>
      </c>
      <c r="AO140" s="62">
        <f t="shared" si="144"/>
        <v>321.48616153644309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6.2763466972228183</v>
      </c>
      <c r="AV140" s="23">
        <f>EXP(-LN(2)/25)*AV139+(1-EXP(-LN(2)/25))/(LN(2)/25)*Calculateur!AQ140*Calculateur!AS140*VLOOKUP('Données projet'!$B$10,Paramètres!$A$1:$I$89,3,0)*0.475*44/12</f>
        <v>0.67484188270688072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6.9511885799296991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1.5961632016114892E-13</v>
      </c>
      <c r="BF140" s="14">
        <f t="shared" si="145"/>
        <v>2.2708641912150958E-12</v>
      </c>
      <c r="BG140" s="22">
        <f t="shared" si="115"/>
        <v>4.2330868906469593E-12</v>
      </c>
      <c r="BH140" s="62">
        <f t="shared" si="116"/>
        <v>280.66165888823741</v>
      </c>
      <c r="BI140" s="62">
        <f ca="1">AVERAGE(OFFSET($BH$3,0,0,'Données projet'!$E$11+1,1))-AVERAGE(OFFSET($H$3,0,0,'Données projet'!$E$11+1,1))</f>
        <v>374.62597460242665</v>
      </c>
      <c r="BJ140" s="62">
        <f t="shared" si="146"/>
        <v>277.50105097454616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4</v>
      </c>
      <c r="BY140" s="13">
        <f>IF('Données projet'!$A$114&gt;35,BY139+BX140-CG139,IF(A140&lt;'Données projet'!$A$114,$BV$205^A140,IF(A140='Données projet'!$A$114,'Données projet'!$B$114,BY139+BX140-CG139)))</f>
        <v>302.99999999999994</v>
      </c>
      <c r="BZ140" s="14">
        <f>BY140*VLOOKUP('Données projet'!$B$12,Paramètres!$A$1:$I$89,3,0)*VLOOKUP('Données projet'!$B$12,Paramètres!$A$1:$I$89,5,0)</f>
        <v>141.80399999999997</v>
      </c>
      <c r="CA140" s="14">
        <f t="shared" si="147"/>
        <v>36.709968106496248</v>
      </c>
      <c r="CB140" s="22">
        <f t="shared" si="118"/>
        <v>310.91182778548091</v>
      </c>
      <c r="CC140" s="62">
        <f t="shared" si="119"/>
        <v>591.57348667371411</v>
      </c>
      <c r="CD140" s="62">
        <f ca="1">AVERAGE(OFFSET($CC$3,0,0,'Données projet'!$E$12+1,1))-AVERAGE(OFFSET($H$3,0,0,'Données projet'!$E$12+1,1))</f>
        <v>329.79342219561465</v>
      </c>
      <c r="CE140" s="62">
        <f t="shared" si="148"/>
        <v>144.63206563329757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6.8212102632969618E-13</v>
      </c>
      <c r="CU140" s="18">
        <f>CT140*VLOOKUP('Données projet'!$B$13,Paramètres!$A$1:$I$89,3,0)*VLOOKUP('Données projet'!$B$13,Paramètres!$A$1:$I$89,5,0)</f>
        <v>4.0790837374515837E-13</v>
      </c>
      <c r="CV140" s="14">
        <f t="shared" si="149"/>
        <v>5.2028966193600884E-12</v>
      </c>
      <c r="CW140" s="22">
        <f t="shared" si="121"/>
        <v>9.7721520296583044E-12</v>
      </c>
      <c r="CX140" s="62">
        <f t="shared" si="122"/>
        <v>280.66165888824298</v>
      </c>
      <c r="CY140" s="62">
        <f ca="1">AVERAGE(OFFSET($CX$3,0,0,'Données projet'!$E$13+1,1))-AVERAGE(OFFSET($H$3,0,0,'Données projet'!$E$13+1,1))</f>
        <v>530.27599556821826</v>
      </c>
      <c r="CZ140" s="62">
        <f t="shared" si="150"/>
        <v>370.62231794492129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1.1810045684330645E-15</v>
      </c>
      <c r="DI140" s="24">
        <f t="shared" si="123"/>
        <v>1.1810045684330645E-15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1.2946657079737634E-13</v>
      </c>
      <c r="DQ140" s="14">
        <f t="shared" si="151"/>
        <v>1.8873591890224769E-12</v>
      </c>
      <c r="DR140" s="22">
        <f t="shared" si="124"/>
        <v>3.5126381983529106E-12</v>
      </c>
      <c r="DS140" s="62">
        <f t="shared" si="125"/>
        <v>280.66165888823673</v>
      </c>
      <c r="DT140" s="62">
        <f ca="1">AVERAGE(OFFSET($DS$3,0,0,'Données projet'!$E$14+1,1))-AVERAGE(OFFSET($H$3,0,0,'Données projet'!$E$14+1,1))</f>
        <v>520.23742527061836</v>
      </c>
      <c r="DU140" s="62">
        <f t="shared" si="152"/>
        <v>321.35925479331274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-1.1882548278663309E-13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435.44444011810265</v>
      </c>
      <c r="EP140" s="62">
        <f t="shared" si="154"/>
        <v>447.15868732689762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547.89540791313675</v>
      </c>
      <c r="FK140" s="62">
        <f t="shared" si="156"/>
        <v>345.19555189302378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>
        <f>FZ140*VLOOKUP('Données projet'!$B$17,Paramètres!$A$1:$I$89,3,0)*VLOOKUP('Données projet'!$B$17,Paramètres!$A$1:$I$89,5,0)</f>
        <v>0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409.68685886029164</v>
      </c>
      <c r="GF140" s="62">
        <f t="shared" si="158"/>
        <v>330.8416508650887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2.0201100122959355E-15</v>
      </c>
      <c r="GO140" s="23">
        <f t="shared" si="135"/>
        <v>2.0201100122959355E-15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73.098184695482075</v>
      </c>
      <c r="T141" s="62">
        <f t="shared" si="142"/>
        <v>334.38551711782793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6.4500529438550025</v>
      </c>
      <c r="AA141" s="23">
        <f>EXP(-LN(2)/25)*AA140+(1-EXP(-LN(2)/25))/(LN(2)/25)*Calculateur!V141*Calculateur!X141*VLOOKUP('Données projet'!$B$9,Paramètres!$A$1:$I$89,3,0)*0.475*44/12</f>
        <v>0.6880468954183071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7.1380998392733099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70.520400819593021</v>
      </c>
      <c r="AO141" s="62">
        <f t="shared" si="144"/>
        <v>321.48616153644309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6.1532713666837617</v>
      </c>
      <c r="AV141" s="23">
        <f>EXP(-LN(2)/25)*AV140+(1-EXP(-LN(2)/25))/(LN(2)/25)*Calculateur!AQ141*Calculateur!AS141*VLOOKUP('Données projet'!$B$10,Paramètres!$A$1:$I$89,3,0)*0.475*44/12</f>
        <v>0.65638829593586878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6.8096596626196302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1.5961632016114892E-13</v>
      </c>
      <c r="BF141" s="14">
        <f t="shared" si="145"/>
        <v>2.2708641912150958E-12</v>
      </c>
      <c r="BG141" s="22">
        <f t="shared" si="115"/>
        <v>4.2330868906469593E-12</v>
      </c>
      <c r="BH141" s="62">
        <f t="shared" si="116"/>
        <v>280.88148411023991</v>
      </c>
      <c r="BI141" s="62">
        <f ca="1">AVERAGE(OFFSET($BH$3,0,0,'Données projet'!$E$11+1,1))-AVERAGE(OFFSET($H$3,0,0,'Données projet'!$E$11+1,1))</f>
        <v>374.62597460242665</v>
      </c>
      <c r="BJ141" s="62">
        <f t="shared" si="146"/>
        <v>277.50105097454616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>
        <f>VLOOKUP(A141,'Données projet'!$A$113:$I$133,2,0)</f>
        <v>307</v>
      </c>
      <c r="BW141" s="13">
        <f>VLOOKUP(A141,'Données projet'!$A$113:$I$133,9,0)</f>
        <v>4</v>
      </c>
      <c r="BX141" s="13">
        <f t="array" ref="BX141">INDEX(BW:BW,MIN(IF(ISNUMBER(BW141:BW337),ROW(BW141:BW337),"")))</f>
        <v>4</v>
      </c>
      <c r="BY141" s="13">
        <f>IF('Données projet'!$A$114&gt;35,BY140+BX141-CG140,IF(A141&lt;'Données projet'!$A$114,$BV$205^A141,IF(A141='Données projet'!$A$114,'Données projet'!$B$114,BY140+BX141-CG140)))</f>
        <v>306.99999999999994</v>
      </c>
      <c r="BZ141" s="14">
        <f>BY141*VLOOKUP('Données projet'!$B$12,Paramètres!$A$1:$I$89,3,0)*VLOOKUP('Données projet'!$B$12,Paramètres!$A$1:$I$89,5,0)</f>
        <v>143.67599999999999</v>
      </c>
      <c r="CA141" s="14">
        <f t="shared" si="147"/>
        <v>37.137850978646654</v>
      </c>
      <c r="CB141" s="22">
        <f t="shared" si="118"/>
        <v>314.91745712114295</v>
      </c>
      <c r="CC141" s="62">
        <f t="shared" si="119"/>
        <v>595.79894123137865</v>
      </c>
      <c r="CD141" s="62">
        <f ca="1">AVERAGE(OFFSET($CC$3,0,0,'Données projet'!$E$12+1,1))-AVERAGE(OFFSET($H$3,0,0,'Données projet'!$E$12+1,1))</f>
        <v>329.79342219561465</v>
      </c>
      <c r="CE141" s="62">
        <f t="shared" si="148"/>
        <v>144.63206563329757</v>
      </c>
      <c r="CF141" s="16">
        <f>IF(ISNA(VLOOKUP(A141,'Données projet'!$A$113:$I$133,3,0)),0,VLOOKUP(A141,'Données projet'!$A$113:$I$133,3,0))</f>
        <v>16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6.8212102632969618E-13</v>
      </c>
      <c r="CU141" s="18">
        <f>CT141*VLOOKUP('Données projet'!$B$13,Paramètres!$A$1:$I$89,3,0)*VLOOKUP('Données projet'!$B$13,Paramètres!$A$1:$I$89,5,0)</f>
        <v>4.0790837374515837E-13</v>
      </c>
      <c r="CV141" s="14">
        <f t="shared" si="149"/>
        <v>5.2028966193600884E-12</v>
      </c>
      <c r="CW141" s="22">
        <f t="shared" si="121"/>
        <v>9.7721520296583044E-12</v>
      </c>
      <c r="CX141" s="62">
        <f t="shared" si="122"/>
        <v>280.88148411024548</v>
      </c>
      <c r="CY141" s="62">
        <f ca="1">AVERAGE(OFFSET($CX$3,0,0,'Données projet'!$E$13+1,1))-AVERAGE(OFFSET($H$3,0,0,'Données projet'!$E$13+1,1))</f>
        <v>530.27599556821826</v>
      </c>
      <c r="CZ141" s="62">
        <f t="shared" si="150"/>
        <v>370.62231794492129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8.3509633895131195E-16</v>
      </c>
      <c r="DI141" s="24">
        <f t="shared" si="123"/>
        <v>8.3509633895131195E-16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1.2946657079737634E-13</v>
      </c>
      <c r="DQ141" s="14">
        <f t="shared" si="151"/>
        <v>1.8873591890224769E-12</v>
      </c>
      <c r="DR141" s="22">
        <f t="shared" si="124"/>
        <v>3.5126381983529106E-12</v>
      </c>
      <c r="DS141" s="62">
        <f t="shared" si="125"/>
        <v>280.88148411023923</v>
      </c>
      <c r="DT141" s="62">
        <f ca="1">AVERAGE(OFFSET($DS$3,0,0,'Données projet'!$E$14+1,1))-AVERAGE(OFFSET($H$3,0,0,'Données projet'!$E$14+1,1))</f>
        <v>520.23742527061836</v>
      </c>
      <c r="DU141" s="62">
        <f t="shared" si="152"/>
        <v>321.35925479331274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-1.1882548278663309E-13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435.44444011810265</v>
      </c>
      <c r="EP141" s="62">
        <f t="shared" si="154"/>
        <v>447.15868732689762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547.89540791313675</v>
      </c>
      <c r="FK141" s="62">
        <f t="shared" si="156"/>
        <v>345.19555189302378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>
        <f>FZ141*VLOOKUP('Données projet'!$B$17,Paramètres!$A$1:$I$89,3,0)*VLOOKUP('Données projet'!$B$17,Paramètres!$A$1:$I$89,5,0)</f>
        <v>0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409.68685886029164</v>
      </c>
      <c r="GF141" s="62">
        <f t="shared" si="158"/>
        <v>330.8416508650887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1.4284334884372959E-15</v>
      </c>
      <c r="GO141" s="23">
        <f t="shared" si="135"/>
        <v>1.4284334884372959E-15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73.098184695482075</v>
      </c>
      <c r="T142" s="62">
        <f t="shared" si="142"/>
        <v>334.38551711782793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6.3235713397698374</v>
      </c>
      <c r="AA142" s="23">
        <f>EXP(-LN(2)/25)*AA141+(1-EXP(-LN(2)/25))/(LN(2)/25)*Calculateur!V142*Calculateur!X142*VLOOKUP('Données projet'!$B$9,Paramètres!$A$1:$I$89,3,0)*0.475*44/12</f>
        <v>0.66923221688027978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6.9928035566501174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70.520400819593021</v>
      </c>
      <c r="AO142" s="62">
        <f t="shared" si="144"/>
        <v>321.48616153644309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6.0326094683080367</v>
      </c>
      <c r="AV142" s="23">
        <f>EXP(-LN(2)/25)*AV141+(1-EXP(-LN(2)/25))/(LN(2)/25)*Calculateur!AQ142*Calculateur!AS142*VLOOKUP('Données projet'!$B$10,Paramètres!$A$1:$I$89,3,0)*0.475*44/12</f>
        <v>0.63843932346554211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6.671048791773579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1.5961632016114892E-13</v>
      </c>
      <c r="BF142" s="14">
        <f t="shared" si="145"/>
        <v>2.2708641912150958E-12</v>
      </c>
      <c r="BG142" s="22">
        <f t="shared" si="115"/>
        <v>4.2330868906469593E-12</v>
      </c>
      <c r="BH142" s="62">
        <f t="shared" si="116"/>
        <v>281.09749585609626</v>
      </c>
      <c r="BI142" s="62">
        <f ca="1">AVERAGE(OFFSET($BH$3,0,0,'Données projet'!$E$11+1,1))-AVERAGE(OFFSET($H$3,0,0,'Données projet'!$E$11+1,1))</f>
        <v>374.62597460242665</v>
      </c>
      <c r="BJ142" s="62">
        <f t="shared" si="146"/>
        <v>277.50105097454616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3.5833333333333335</v>
      </c>
      <c r="BY142" s="13">
        <f>IF('Données projet'!$A$114&gt;35,BY141+BX142-CG141,IF(A142&lt;'Données projet'!$A$114,$BV$205^A142,IF(A142='Données projet'!$A$114,'Données projet'!$B$114,BY141+BX142-CG141)))</f>
        <v>310.58333333333326</v>
      </c>
      <c r="BZ142" s="14">
        <f>BY142*VLOOKUP('Données projet'!$B$12,Paramètres!$A$1:$I$89,3,0)*VLOOKUP('Données projet'!$B$12,Paramètres!$A$1:$I$89,5,0)</f>
        <v>145.35299999999998</v>
      </c>
      <c r="CA142" s="14">
        <f t="shared" si="147"/>
        <v>37.520611785598824</v>
      </c>
      <c r="CB142" s="22">
        <f t="shared" si="118"/>
        <v>318.50487385991789</v>
      </c>
      <c r="CC142" s="62">
        <f t="shared" si="119"/>
        <v>599.60236971600989</v>
      </c>
      <c r="CD142" s="62">
        <f ca="1">AVERAGE(OFFSET($CC$3,0,0,'Données projet'!$E$12+1,1))-AVERAGE(OFFSET($H$3,0,0,'Données projet'!$E$12+1,1))</f>
        <v>329.79342219561465</v>
      </c>
      <c r="CE142" s="62">
        <f t="shared" si="148"/>
        <v>144.63206563329757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6.8212102632969618E-13</v>
      </c>
      <c r="CU142" s="18">
        <f>CT142*VLOOKUP('Données projet'!$B$13,Paramètres!$A$1:$I$89,3,0)*VLOOKUP('Données projet'!$B$13,Paramètres!$A$1:$I$89,5,0)</f>
        <v>4.0790837374515837E-13</v>
      </c>
      <c r="CV142" s="14">
        <f t="shared" si="149"/>
        <v>5.2028966193600884E-12</v>
      </c>
      <c r="CW142" s="22">
        <f t="shared" si="121"/>
        <v>9.7721520296583044E-12</v>
      </c>
      <c r="CX142" s="62">
        <f t="shared" si="122"/>
        <v>281.09749585610183</v>
      </c>
      <c r="CY142" s="62">
        <f ca="1">AVERAGE(OFFSET($CX$3,0,0,'Données projet'!$E$13+1,1))-AVERAGE(OFFSET($H$3,0,0,'Données projet'!$E$13+1,1))</f>
        <v>530.27599556821826</v>
      </c>
      <c r="CZ142" s="62">
        <f t="shared" si="150"/>
        <v>370.62231794492129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5.9050228421653225E-16</v>
      </c>
      <c r="DI142" s="24">
        <f t="shared" si="123"/>
        <v>5.9050228421653225E-16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1.2946657079737634E-13</v>
      </c>
      <c r="DQ142" s="14">
        <f t="shared" si="151"/>
        <v>1.8873591890224769E-12</v>
      </c>
      <c r="DR142" s="22">
        <f t="shared" si="124"/>
        <v>3.5126381983529106E-12</v>
      </c>
      <c r="DS142" s="62">
        <f t="shared" si="125"/>
        <v>281.09749585609558</v>
      </c>
      <c r="DT142" s="62">
        <f ca="1">AVERAGE(OFFSET($DS$3,0,0,'Données projet'!$E$14+1,1))-AVERAGE(OFFSET($H$3,0,0,'Données projet'!$E$14+1,1))</f>
        <v>520.23742527061836</v>
      </c>
      <c r="DU142" s="62">
        <f t="shared" si="152"/>
        <v>321.35925479331274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-1.1882548278663309E-13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435.44444011810265</v>
      </c>
      <c r="EP142" s="62">
        <f t="shared" si="154"/>
        <v>447.15868732689762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547.89540791313675</v>
      </c>
      <c r="FK142" s="62">
        <f t="shared" si="156"/>
        <v>345.19555189302378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>
        <f>FZ142*VLOOKUP('Données projet'!$B$17,Paramètres!$A$1:$I$89,3,0)*VLOOKUP('Données projet'!$B$17,Paramètres!$A$1:$I$89,5,0)</f>
        <v>0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409.68685886029164</v>
      </c>
      <c r="GF142" s="62">
        <f t="shared" si="158"/>
        <v>330.8416508650887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1.0100550061479677E-15</v>
      </c>
      <c r="GO142" s="23">
        <f t="shared" si="135"/>
        <v>1.0100550061479677E-15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73.098184695482075</v>
      </c>
      <c r="T143" s="62">
        <f t="shared" si="142"/>
        <v>334.38551711782793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6.1995699627946212</v>
      </c>
      <c r="AA143" s="23">
        <f>EXP(-LN(2)/25)*AA142+(1-EXP(-LN(2)/25))/(LN(2)/25)*Calculateur!V143*Calculateur!X143*VLOOKUP('Données projet'!$B$9,Paramètres!$A$1:$I$89,3,0)*0.475*44/12</f>
        <v>0.6509320267162958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6.8505019895109172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70.520400819593021</v>
      </c>
      <c r="AO143" s="62">
        <f t="shared" si="144"/>
        <v>321.48616153644309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5.9143136761629682</v>
      </c>
      <c r="AV143" s="23">
        <f>EXP(-LN(2)/25)*AV142+(1-EXP(-LN(2)/25))/(LN(2)/25)*Calculateur!AQ143*Calculateur!AS143*VLOOKUP('Données projet'!$B$10,Paramètres!$A$1:$I$89,3,0)*0.475*44/12</f>
        <v>0.62098116659131197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6.5352948427542801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1.5961632016114892E-13</v>
      </c>
      <c r="BF143" s="14">
        <f t="shared" si="145"/>
        <v>2.2708641912150958E-12</v>
      </c>
      <c r="BG143" s="22">
        <f t="shared" si="115"/>
        <v>4.2330868906469593E-12</v>
      </c>
      <c r="BH143" s="62">
        <f t="shared" si="116"/>
        <v>281.30976028109194</v>
      </c>
      <c r="BI143" s="62">
        <f ca="1">AVERAGE(OFFSET($BH$3,0,0,'Données projet'!$E$11+1,1))-AVERAGE(OFFSET($H$3,0,0,'Données projet'!$E$11+1,1))</f>
        <v>374.62597460242665</v>
      </c>
      <c r="BJ143" s="62">
        <f t="shared" si="146"/>
        <v>277.50105097454616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3.5833333333333335</v>
      </c>
      <c r="BY143" s="13">
        <f>IF('Données projet'!$A$114&gt;35,BY142+BX143-CG142,IF(A143&lt;'Données projet'!$A$114,$BV$205^A143,IF(A143='Données projet'!$A$114,'Données projet'!$B$114,BY142+BX143-CG142)))</f>
        <v>314.16666666666657</v>
      </c>
      <c r="BZ143" s="14">
        <f>BY143*VLOOKUP('Données projet'!$B$12,Paramètres!$A$1:$I$89,3,0)*VLOOKUP('Données projet'!$B$12,Paramètres!$A$1:$I$89,5,0)</f>
        <v>147.02999999999997</v>
      </c>
      <c r="CA143" s="14">
        <f t="shared" si="147"/>
        <v>37.902858894276115</v>
      </c>
      <c r="CB143" s="22">
        <f t="shared" si="118"/>
        <v>322.09139590753085</v>
      </c>
      <c r="CC143" s="62">
        <f t="shared" si="119"/>
        <v>603.40115618861864</v>
      </c>
      <c r="CD143" s="62">
        <f ca="1">AVERAGE(OFFSET($CC$3,0,0,'Données projet'!$E$12+1,1))-AVERAGE(OFFSET($H$3,0,0,'Données projet'!$E$12+1,1))</f>
        <v>329.79342219561465</v>
      </c>
      <c r="CE143" s="62">
        <f t="shared" si="148"/>
        <v>144.63206563329757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6.8212102632969618E-13</v>
      </c>
      <c r="CU143" s="18">
        <f>CT143*VLOOKUP('Données projet'!$B$13,Paramètres!$A$1:$I$89,3,0)*VLOOKUP('Données projet'!$B$13,Paramètres!$A$1:$I$89,5,0)</f>
        <v>4.0790837374515837E-13</v>
      </c>
      <c r="CV143" s="14">
        <f t="shared" si="149"/>
        <v>5.2028966193600884E-12</v>
      </c>
      <c r="CW143" s="22">
        <f t="shared" si="121"/>
        <v>9.7721520296583044E-12</v>
      </c>
      <c r="CX143" s="62">
        <f t="shared" si="122"/>
        <v>281.30976028109751</v>
      </c>
      <c r="CY143" s="62">
        <f ca="1">AVERAGE(OFFSET($CX$3,0,0,'Données projet'!$E$13+1,1))-AVERAGE(OFFSET($H$3,0,0,'Données projet'!$E$13+1,1))</f>
        <v>530.27599556821826</v>
      </c>
      <c r="CZ143" s="62">
        <f t="shared" si="150"/>
        <v>370.62231794492129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4.1754816947565597E-16</v>
      </c>
      <c r="DI143" s="24">
        <f t="shared" si="123"/>
        <v>4.1754816947565597E-16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1.2946657079737634E-13</v>
      </c>
      <c r="DQ143" s="14">
        <f t="shared" si="151"/>
        <v>1.8873591890224769E-12</v>
      </c>
      <c r="DR143" s="22">
        <f t="shared" si="124"/>
        <v>3.5126381983529106E-12</v>
      </c>
      <c r="DS143" s="62">
        <f t="shared" si="125"/>
        <v>281.30976028109126</v>
      </c>
      <c r="DT143" s="62">
        <f ca="1">AVERAGE(OFFSET($DS$3,0,0,'Données projet'!$E$14+1,1))-AVERAGE(OFFSET($H$3,0,0,'Données projet'!$E$14+1,1))</f>
        <v>520.23742527061836</v>
      </c>
      <c r="DU143" s="62">
        <f t="shared" si="152"/>
        <v>321.35925479331274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-1.1882548278663309E-13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435.44444011810265</v>
      </c>
      <c r="EP143" s="62">
        <f t="shared" si="154"/>
        <v>447.15868732689762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547.89540791313675</v>
      </c>
      <c r="FK143" s="62">
        <f t="shared" si="156"/>
        <v>345.19555189302378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>
        <f>FZ143*VLOOKUP('Données projet'!$B$17,Paramètres!$A$1:$I$89,3,0)*VLOOKUP('Données projet'!$B$17,Paramètres!$A$1:$I$89,5,0)</f>
        <v>0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409.68685886029164</v>
      </c>
      <c r="GF143" s="62">
        <f t="shared" si="158"/>
        <v>330.8416508650887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7.1421674421864796E-16</v>
      </c>
      <c r="GO143" s="23">
        <f t="shared" si="135"/>
        <v>7.1421674421864796E-16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73.098184695482075</v>
      </c>
      <c r="T144" s="62">
        <f t="shared" si="142"/>
        <v>334.38551711782793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6.0780001771885175</v>
      </c>
      <c r="AA144" s="23">
        <f>EXP(-LN(2)/25)*AA143+(1-EXP(-LN(2)/25))/(LN(2)/25)*Calculateur!V144*Calculateur!X144*VLOOKUP('Données projet'!$B$9,Paramètres!$A$1:$I$89,3,0)*0.475*44/12</f>
        <v>0.63313225621471114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6.711132433403229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70.520400819593021</v>
      </c>
      <c r="AO144" s="62">
        <f t="shared" si="144"/>
        <v>321.48616153644309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5.7983375923485561</v>
      </c>
      <c r="AV144" s="23">
        <f>EXP(-LN(2)/25)*AV143+(1-EXP(-LN(2)/25))/(LN(2)/25)*Calculateur!AQ144*Calculateur!AS144*VLOOKUP('Données projet'!$B$10,Paramètres!$A$1:$I$89,3,0)*0.475*44/12</f>
        <v>0.60400040393489229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6.4023379962834479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1.5961632016114892E-13</v>
      </c>
      <c r="BF144" s="14">
        <f t="shared" si="145"/>
        <v>2.2708641912150958E-12</v>
      </c>
      <c r="BG144" s="22">
        <f t="shared" si="115"/>
        <v>4.2330868906469593E-12</v>
      </c>
      <c r="BH144" s="62">
        <f t="shared" si="116"/>
        <v>281.51834239286603</v>
      </c>
      <c r="BI144" s="62">
        <f ca="1">AVERAGE(OFFSET($BH$3,0,0,'Données projet'!$E$11+1,1))-AVERAGE(OFFSET($H$3,0,0,'Données projet'!$E$11+1,1))</f>
        <v>374.62597460242665</v>
      </c>
      <c r="BJ144" s="62">
        <f t="shared" si="146"/>
        <v>277.50105097454616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3.5833333333333335</v>
      </c>
      <c r="BY144" s="13">
        <f>IF('Données projet'!$A$114&gt;35,BY143+BX144-CG143,IF(A144&lt;'Données projet'!$A$114,$BV$205^A144,IF(A144='Données projet'!$A$114,'Données projet'!$B$114,BY143+BX144-CG143)))</f>
        <v>317.74999999999989</v>
      </c>
      <c r="BZ144" s="14">
        <f>BY144*VLOOKUP('Données projet'!$B$12,Paramètres!$A$1:$I$89,3,0)*VLOOKUP('Données projet'!$B$12,Paramètres!$A$1:$I$89,5,0)</f>
        <v>148.70699999999994</v>
      </c>
      <c r="CA144" s="14">
        <f t="shared" si="147"/>
        <v>38.284598841787272</v>
      </c>
      <c r="CB144" s="22">
        <f t="shared" si="118"/>
        <v>325.67703464944606</v>
      </c>
      <c r="CC144" s="62">
        <f t="shared" si="119"/>
        <v>607.19537704230788</v>
      </c>
      <c r="CD144" s="62">
        <f ca="1">AVERAGE(OFFSET($CC$3,0,0,'Données projet'!$E$12+1,1))-AVERAGE(OFFSET($H$3,0,0,'Données projet'!$E$12+1,1))</f>
        <v>329.79342219561465</v>
      </c>
      <c r="CE144" s="62">
        <f t="shared" si="148"/>
        <v>144.63206563329757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6.8212102632969618E-13</v>
      </c>
      <c r="CU144" s="18">
        <f>CT144*VLOOKUP('Données projet'!$B$13,Paramètres!$A$1:$I$89,3,0)*VLOOKUP('Données projet'!$B$13,Paramètres!$A$1:$I$89,5,0)</f>
        <v>4.0790837374515837E-13</v>
      </c>
      <c r="CV144" s="14">
        <f t="shared" si="149"/>
        <v>5.2028966193600884E-12</v>
      </c>
      <c r="CW144" s="22">
        <f t="shared" si="121"/>
        <v>9.7721520296583044E-12</v>
      </c>
      <c r="CX144" s="62">
        <f t="shared" si="122"/>
        <v>281.5183423928716</v>
      </c>
      <c r="CY144" s="62">
        <f ca="1">AVERAGE(OFFSET($CX$3,0,0,'Données projet'!$E$13+1,1))-AVERAGE(OFFSET($H$3,0,0,'Données projet'!$E$13+1,1))</f>
        <v>530.27599556821826</v>
      </c>
      <c r="CZ144" s="62">
        <f t="shared" si="150"/>
        <v>370.62231794492129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2.9525114210826613E-16</v>
      </c>
      <c r="DI144" s="24">
        <f t="shared" si="123"/>
        <v>2.9525114210826613E-16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1.2946657079737634E-13</v>
      </c>
      <c r="DQ144" s="14">
        <f t="shared" si="151"/>
        <v>1.8873591890224769E-12</v>
      </c>
      <c r="DR144" s="22">
        <f t="shared" si="124"/>
        <v>3.5126381983529106E-12</v>
      </c>
      <c r="DS144" s="62">
        <f t="shared" si="125"/>
        <v>281.51834239286535</v>
      </c>
      <c r="DT144" s="62">
        <f ca="1">AVERAGE(OFFSET($DS$3,0,0,'Données projet'!$E$14+1,1))-AVERAGE(OFFSET($H$3,0,0,'Données projet'!$E$14+1,1))</f>
        <v>520.23742527061836</v>
      </c>
      <c r="DU144" s="62">
        <f t="shared" si="152"/>
        <v>321.35925479331274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-1.1882548278663309E-13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435.44444011810265</v>
      </c>
      <c r="EP144" s="62">
        <f t="shared" si="154"/>
        <v>447.15868732689762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547.89540791313675</v>
      </c>
      <c r="FK144" s="62">
        <f t="shared" si="156"/>
        <v>345.19555189302378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>
        <f>FZ144*VLOOKUP('Données projet'!$B$17,Paramètres!$A$1:$I$89,3,0)*VLOOKUP('Données projet'!$B$17,Paramètres!$A$1:$I$89,5,0)</f>
        <v>0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409.68685886029164</v>
      </c>
      <c r="GF144" s="62">
        <f t="shared" si="158"/>
        <v>330.8416508650887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5.0502750307398387E-16</v>
      </c>
      <c r="GO144" s="23">
        <f t="shared" si="135"/>
        <v>5.0502750307398387E-16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73.098184695482075</v>
      </c>
      <c r="T145" s="62">
        <f t="shared" si="142"/>
        <v>334.38551711782793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5.9588143009279015</v>
      </c>
      <c r="AA145" s="23">
        <f>EXP(-LN(2)/25)*AA144+(1-EXP(-LN(2)/25))/(LN(2)/25)*Calculateur!V145*Calculateur!X145*VLOOKUP('Données projet'!$B$9,Paramètres!$A$1:$I$89,3,0)*0.475*44/12</f>
        <v>0.6158192213735415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6.5746335223014434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70.520400819593021</v>
      </c>
      <c r="AO145" s="62">
        <f t="shared" si="144"/>
        <v>321.48616153644309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5.6846357287993188</v>
      </c>
      <c r="AV145" s="23">
        <f>EXP(-LN(2)/25)*AV144+(1-EXP(-LN(2)/25))/(LN(2)/25)*Calculateur!AQ145*Calculateur!AS145*VLOOKUP('Données projet'!$B$10,Paramètres!$A$1:$I$89,3,0)*0.475*44/12</f>
        <v>0.58748398112629185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6.2721197099256107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1.5961632016114892E-13</v>
      </c>
      <c r="BF145" s="14">
        <f t="shared" si="145"/>
        <v>2.2708641912150958E-12</v>
      </c>
      <c r="BG145" s="22">
        <f t="shared" si="115"/>
        <v>4.2330868906469593E-12</v>
      </c>
      <c r="BH145" s="62">
        <f t="shared" si="116"/>
        <v>281.72330607132068</v>
      </c>
      <c r="BI145" s="62">
        <f ca="1">AVERAGE(OFFSET($BH$3,0,0,'Données projet'!$E$11+1,1))-AVERAGE(OFFSET($H$3,0,0,'Données projet'!$E$11+1,1))</f>
        <v>374.62597460242665</v>
      </c>
      <c r="BJ145" s="62">
        <f t="shared" si="146"/>
        <v>277.50105097454616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3.5833333333333335</v>
      </c>
      <c r="BY145" s="13">
        <f>IF('Données projet'!$A$114&gt;35,BY144+BX145-CG144,IF(A145&lt;'Données projet'!$A$114,$BV$205^A145,IF(A145='Données projet'!$A$114,'Données projet'!$B$114,BY144+BX145-CG144)))</f>
        <v>321.3333333333332</v>
      </c>
      <c r="BZ145" s="14">
        <f>BY145*VLOOKUP('Données projet'!$B$12,Paramètres!$A$1:$I$89,3,0)*VLOOKUP('Données projet'!$B$12,Paramètres!$A$1:$I$89,5,0)</f>
        <v>150.38399999999993</v>
      </c>
      <c r="CA145" s="14">
        <f t="shared" si="147"/>
        <v>38.665838009311798</v>
      </c>
      <c r="CB145" s="22">
        <f t="shared" si="118"/>
        <v>329.26180119955126</v>
      </c>
      <c r="CC145" s="62">
        <f t="shared" si="119"/>
        <v>610.98510727086773</v>
      </c>
      <c r="CD145" s="62">
        <f ca="1">AVERAGE(OFFSET($CC$3,0,0,'Données projet'!$E$12+1,1))-AVERAGE(OFFSET($H$3,0,0,'Données projet'!$E$12+1,1))</f>
        <v>329.79342219561465</v>
      </c>
      <c r="CE145" s="62">
        <f t="shared" si="148"/>
        <v>144.63206563329757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6.8212102632969618E-13</v>
      </c>
      <c r="CU145" s="18">
        <f>CT145*VLOOKUP('Données projet'!$B$13,Paramètres!$A$1:$I$89,3,0)*VLOOKUP('Données projet'!$B$13,Paramètres!$A$1:$I$89,5,0)</f>
        <v>4.0790837374515837E-13</v>
      </c>
      <c r="CV145" s="14">
        <f t="shared" si="149"/>
        <v>5.2028966193600884E-12</v>
      </c>
      <c r="CW145" s="22">
        <f t="shared" si="121"/>
        <v>9.7721520296583044E-12</v>
      </c>
      <c r="CX145" s="62">
        <f t="shared" si="122"/>
        <v>281.72330607132625</v>
      </c>
      <c r="CY145" s="62">
        <f ca="1">AVERAGE(OFFSET($CX$3,0,0,'Données projet'!$E$13+1,1))-AVERAGE(OFFSET($H$3,0,0,'Données projet'!$E$13+1,1))</f>
        <v>530.27599556821826</v>
      </c>
      <c r="CZ145" s="62">
        <f t="shared" si="150"/>
        <v>370.62231794492129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2.0877408473782799E-16</v>
      </c>
      <c r="DI145" s="24">
        <f t="shared" si="123"/>
        <v>2.0877408473782799E-16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1.2946657079737634E-13</v>
      </c>
      <c r="DQ145" s="14">
        <f t="shared" si="151"/>
        <v>1.8873591890224769E-12</v>
      </c>
      <c r="DR145" s="22">
        <f t="shared" si="124"/>
        <v>3.5126381983529106E-12</v>
      </c>
      <c r="DS145" s="62">
        <f t="shared" si="125"/>
        <v>281.72330607132</v>
      </c>
      <c r="DT145" s="62">
        <f ca="1">AVERAGE(OFFSET($DS$3,0,0,'Données projet'!$E$14+1,1))-AVERAGE(OFFSET($H$3,0,0,'Données projet'!$E$14+1,1))</f>
        <v>520.23742527061836</v>
      </c>
      <c r="DU145" s="62">
        <f t="shared" si="152"/>
        <v>321.35925479331274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-1.1882548278663309E-13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435.44444011810265</v>
      </c>
      <c r="EP145" s="62">
        <f t="shared" si="154"/>
        <v>447.15868732689762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547.89540791313675</v>
      </c>
      <c r="FK145" s="62">
        <f t="shared" si="156"/>
        <v>345.19555189302378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>
        <f>FZ145*VLOOKUP('Données projet'!$B$17,Paramètres!$A$1:$I$89,3,0)*VLOOKUP('Données projet'!$B$17,Paramètres!$A$1:$I$89,5,0)</f>
        <v>0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409.68685886029164</v>
      </c>
      <c r="GF145" s="62">
        <f t="shared" si="158"/>
        <v>330.8416508650887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3.5710837210932398E-16</v>
      </c>
      <c r="GO145" s="23">
        <f t="shared" si="135"/>
        <v>3.5710837210932398E-16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73.098184695482075</v>
      </c>
      <c r="T146" s="62">
        <f t="shared" si="142"/>
        <v>334.38551711782793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5.8419655870045499</v>
      </c>
      <c r="AA146" s="23">
        <f>EXP(-LN(2)/25)*AA145+(1-EXP(-LN(2)/25))/(LN(2)/25)*Calculateur!V146*Calculateur!X146*VLOOKUP('Données projet'!$B$9,Paramètres!$A$1:$I$89,3,0)*0.475*44/12</f>
        <v>0.59897961238055664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6.4409451993851068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70.520400819593021</v>
      </c>
      <c r="AO146" s="62">
        <f t="shared" si="144"/>
        <v>321.48616153644309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5.5731634894429929</v>
      </c>
      <c r="AV146" s="23">
        <f>EXP(-LN(2)/25)*AV145+(1-EXP(-LN(2)/25))/(LN(2)/25)*Calculateur!AQ146*Calculateur!AS146*VLOOKUP('Données projet'!$B$10,Paramètres!$A$1:$I$89,3,0)*0.475*44/12</f>
        <v>0.57141920076795349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6.1445826902109459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1.5961632016114892E-13</v>
      </c>
      <c r="BF146" s="14">
        <f t="shared" si="145"/>
        <v>2.2708641912150958E-12</v>
      </c>
      <c r="BG146" s="22">
        <f t="shared" si="115"/>
        <v>4.2330868906469593E-12</v>
      </c>
      <c r="BH146" s="62">
        <f t="shared" si="116"/>
        <v>281.9247140881842</v>
      </c>
      <c r="BI146" s="62">
        <f ca="1">AVERAGE(OFFSET($BH$3,0,0,'Données projet'!$E$11+1,1))-AVERAGE(OFFSET($H$3,0,0,'Données projet'!$E$11+1,1))</f>
        <v>374.62597460242665</v>
      </c>
      <c r="BJ146" s="62">
        <f t="shared" si="146"/>
        <v>277.50105097454616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3.5833333333333335</v>
      </c>
      <c r="BY146" s="13">
        <f>IF('Données projet'!$A$114&gt;35,BY145+BX146-CG145,IF(A146&lt;'Données projet'!$A$114,$BV$205^A146,IF(A146='Données projet'!$A$114,'Données projet'!$B$114,BY145+BX146-CG145)))</f>
        <v>324.91666666666652</v>
      </c>
      <c r="BZ146" s="14">
        <f>BY146*VLOOKUP('Données projet'!$B$12,Paramètres!$A$1:$I$89,3,0)*VLOOKUP('Données projet'!$B$12,Paramètres!$A$1:$I$89,5,0)</f>
        <v>152.06099999999992</v>
      </c>
      <c r="CA146" s="14">
        <f t="shared" si="147"/>
        <v>39.046582627515889</v>
      </c>
      <c r="CB146" s="22">
        <f t="shared" si="118"/>
        <v>332.84570640959004</v>
      </c>
      <c r="CC146" s="62">
        <f t="shared" si="119"/>
        <v>614.77042049777003</v>
      </c>
      <c r="CD146" s="62">
        <f ca="1">AVERAGE(OFFSET($CC$3,0,0,'Données projet'!$E$12+1,1))-AVERAGE(OFFSET($H$3,0,0,'Données projet'!$E$12+1,1))</f>
        <v>329.79342219561465</v>
      </c>
      <c r="CE146" s="62">
        <f t="shared" si="148"/>
        <v>144.63206563329757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6.8212102632969618E-13</v>
      </c>
      <c r="CU146" s="18">
        <f>CT146*VLOOKUP('Données projet'!$B$13,Paramètres!$A$1:$I$89,3,0)*VLOOKUP('Données projet'!$B$13,Paramètres!$A$1:$I$89,5,0)</f>
        <v>4.0790837374515837E-13</v>
      </c>
      <c r="CV146" s="14">
        <f t="shared" si="149"/>
        <v>5.2028966193600884E-12</v>
      </c>
      <c r="CW146" s="22">
        <f t="shared" si="121"/>
        <v>9.7721520296583044E-12</v>
      </c>
      <c r="CX146" s="62">
        <f t="shared" si="122"/>
        <v>281.92471408818977</v>
      </c>
      <c r="CY146" s="62">
        <f ca="1">AVERAGE(OFFSET($CX$3,0,0,'Données projet'!$E$13+1,1))-AVERAGE(OFFSET($H$3,0,0,'Données projet'!$E$13+1,1))</f>
        <v>530.27599556821826</v>
      </c>
      <c r="CZ146" s="62">
        <f t="shared" si="150"/>
        <v>370.62231794492129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1.4762557105413306E-16</v>
      </c>
      <c r="DI146" s="24">
        <f t="shared" si="123"/>
        <v>1.4762557105413306E-16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1.2946657079737634E-13</v>
      </c>
      <c r="DQ146" s="14">
        <f t="shared" si="151"/>
        <v>1.8873591890224769E-12</v>
      </c>
      <c r="DR146" s="22">
        <f t="shared" si="124"/>
        <v>3.5126381983529106E-12</v>
      </c>
      <c r="DS146" s="62">
        <f t="shared" si="125"/>
        <v>281.92471408818352</v>
      </c>
      <c r="DT146" s="62">
        <f ca="1">AVERAGE(OFFSET($DS$3,0,0,'Données projet'!$E$14+1,1))-AVERAGE(OFFSET($H$3,0,0,'Données projet'!$E$14+1,1))</f>
        <v>520.23742527061836</v>
      </c>
      <c r="DU146" s="62">
        <f t="shared" si="152"/>
        <v>321.35925479331274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-1.1882548278663309E-13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435.44444011810265</v>
      </c>
      <c r="EP146" s="62">
        <f t="shared" si="154"/>
        <v>447.15868732689762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547.89540791313675</v>
      </c>
      <c r="FK146" s="62">
        <f t="shared" si="156"/>
        <v>345.19555189302378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>
        <f>FZ146*VLOOKUP('Données projet'!$B$17,Paramètres!$A$1:$I$89,3,0)*VLOOKUP('Données projet'!$B$17,Paramètres!$A$1:$I$89,5,0)</f>
        <v>0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409.68685886029164</v>
      </c>
      <c r="GF146" s="62">
        <f t="shared" si="158"/>
        <v>330.8416508650887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2.5251375153699194E-16</v>
      </c>
      <c r="GO146" s="23">
        <f t="shared" si="135"/>
        <v>2.5251375153699194E-16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73.098184695482075</v>
      </c>
      <c r="T147" s="62">
        <f t="shared" si="142"/>
        <v>334.38551711782793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5.7274082050905575</v>
      </c>
      <c r="AA147" s="23">
        <f>EXP(-LN(2)/25)*AA146+(1-EXP(-LN(2)/25))/(LN(2)/25)*Calculateur!V147*Calculateur!X147*VLOOKUP('Données projet'!$B$9,Paramètres!$A$1:$I$89,3,0)*0.475*44/12</f>
        <v>0.58260048338104153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6.3100086884715987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70.520400819593021</v>
      </c>
      <c r="AO147" s="62">
        <f t="shared" si="144"/>
        <v>321.48616153644309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5.4638771527090917</v>
      </c>
      <c r="AV147" s="23">
        <f>EXP(-LN(2)/25)*AV146+(1-EXP(-LN(2)/25))/(LN(2)/25)*Calculateur!AQ147*Calculateur!AS147*VLOOKUP('Données projet'!$B$10,Paramètres!$A$1:$I$89,3,0)*0.475*44/12</f>
        <v>0.555793712673324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6.019670865382416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1.5961632016114892E-13</v>
      </c>
      <c r="BF147" s="14">
        <f t="shared" si="145"/>
        <v>2.2708641912150958E-12</v>
      </c>
      <c r="BG147" s="22">
        <f t="shared" si="115"/>
        <v>4.2330868906469593E-12</v>
      </c>
      <c r="BH147" s="62">
        <f t="shared" si="116"/>
        <v>282.12262812623595</v>
      </c>
      <c r="BI147" s="62">
        <f ca="1">AVERAGE(OFFSET($BH$3,0,0,'Données projet'!$E$11+1,1))-AVERAGE(OFFSET($H$3,0,0,'Données projet'!$E$11+1,1))</f>
        <v>374.62597460242665</v>
      </c>
      <c r="BJ147" s="62">
        <f t="shared" si="146"/>
        <v>277.50105097454616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3.5833333333333335</v>
      </c>
      <c r="BY147" s="13">
        <f>IF('Données projet'!$A$114&gt;35,BY146+BX147-CG146,IF(A147&lt;'Données projet'!$A$114,$BV$205^A147,IF(A147='Données projet'!$A$114,'Données projet'!$B$114,BY146+BX147-CG146)))</f>
        <v>328.49999999999983</v>
      </c>
      <c r="BZ147" s="14">
        <f>BY147*VLOOKUP('Données projet'!$B$12,Paramètres!$A$1:$I$89,3,0)*VLOOKUP('Données projet'!$B$12,Paramètres!$A$1:$I$89,5,0)</f>
        <v>153.73799999999991</v>
      </c>
      <c r="CA147" s="14">
        <f t="shared" si="147"/>
        <v>39.426838781722402</v>
      </c>
      <c r="CB147" s="22">
        <f t="shared" si="118"/>
        <v>336.42876087816632</v>
      </c>
      <c r="CC147" s="62">
        <f t="shared" si="119"/>
        <v>618.55138900439806</v>
      </c>
      <c r="CD147" s="62">
        <f ca="1">AVERAGE(OFFSET($CC$3,0,0,'Données projet'!$E$12+1,1))-AVERAGE(OFFSET($H$3,0,0,'Données projet'!$E$12+1,1))</f>
        <v>329.79342219561465</v>
      </c>
      <c r="CE147" s="62">
        <f t="shared" si="148"/>
        <v>144.63206563329757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6.8212102632969618E-13</v>
      </c>
      <c r="CU147" s="18">
        <f>CT147*VLOOKUP('Données projet'!$B$13,Paramètres!$A$1:$I$89,3,0)*VLOOKUP('Données projet'!$B$13,Paramètres!$A$1:$I$89,5,0)</f>
        <v>4.0790837374515837E-13</v>
      </c>
      <c r="CV147" s="14">
        <f t="shared" si="149"/>
        <v>5.2028966193600884E-12</v>
      </c>
      <c r="CW147" s="22">
        <f t="shared" si="121"/>
        <v>9.7721520296583044E-12</v>
      </c>
      <c r="CX147" s="62">
        <f t="shared" si="122"/>
        <v>282.12262812624152</v>
      </c>
      <c r="CY147" s="62">
        <f ca="1">AVERAGE(OFFSET($CX$3,0,0,'Données projet'!$E$13+1,1))-AVERAGE(OFFSET($H$3,0,0,'Données projet'!$E$13+1,1))</f>
        <v>530.27599556821826</v>
      </c>
      <c r="CZ147" s="62">
        <f t="shared" si="150"/>
        <v>370.62231794492129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1.0438704236891399E-16</v>
      </c>
      <c r="DI147" s="24">
        <f t="shared" si="123"/>
        <v>1.0438704236891399E-16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1.2946657079737634E-13</v>
      </c>
      <c r="DQ147" s="14">
        <f t="shared" si="151"/>
        <v>1.8873591890224769E-12</v>
      </c>
      <c r="DR147" s="22">
        <f t="shared" si="124"/>
        <v>3.5126381983529106E-12</v>
      </c>
      <c r="DS147" s="62">
        <f t="shared" si="125"/>
        <v>282.12262812623527</v>
      </c>
      <c r="DT147" s="62">
        <f ca="1">AVERAGE(OFFSET($DS$3,0,0,'Données projet'!$E$14+1,1))-AVERAGE(OFFSET($H$3,0,0,'Données projet'!$E$14+1,1))</f>
        <v>520.23742527061836</v>
      </c>
      <c r="DU147" s="62">
        <f t="shared" si="152"/>
        <v>321.35925479331274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-1.1882548278663309E-13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435.44444011810265</v>
      </c>
      <c r="EP147" s="62">
        <f t="shared" si="154"/>
        <v>447.15868732689762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547.89540791313675</v>
      </c>
      <c r="FK147" s="62">
        <f t="shared" si="156"/>
        <v>345.19555189302378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>
        <f>FZ147*VLOOKUP('Données projet'!$B$17,Paramètres!$A$1:$I$89,3,0)*VLOOKUP('Données projet'!$B$17,Paramètres!$A$1:$I$89,5,0)</f>
        <v>0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409.68685886029164</v>
      </c>
      <c r="GF147" s="62">
        <f t="shared" si="158"/>
        <v>330.8416508650887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1.7855418605466199E-16</v>
      </c>
      <c r="GO147" s="23">
        <f t="shared" si="135"/>
        <v>1.7855418605466199E-16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73.098184695482075</v>
      </c>
      <c r="T148" s="62">
        <f t="shared" si="142"/>
        <v>334.38551711782793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5.6150972235627945</v>
      </c>
      <c r="AA148" s="23">
        <f>EXP(-LN(2)/25)*AA147+(1-EXP(-LN(2)/25))/(LN(2)/25)*Calculateur!V148*Calculateur!X148*VLOOKUP('Données projet'!$B$9,Paramètres!$A$1:$I$89,3,0)*0.475*44/12</f>
        <v>0.56666924252535911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6.1817664660881535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70.520400819593021</v>
      </c>
      <c r="AO148" s="62">
        <f t="shared" si="144"/>
        <v>321.48616153644309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5.356733854380459</v>
      </c>
      <c r="AV148" s="23">
        <f>EXP(-LN(2)/25)*AV147+(1-EXP(-LN(2)/25))/(LN(2)/25)*Calculateur!AQ148*Calculateur!AS148*VLOOKUP('Données projet'!$B$10,Paramètres!$A$1:$I$89,3,0)*0.475*44/12</f>
        <v>0.54059550437235093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5.8973293587528097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1.5961632016114892E-13</v>
      </c>
      <c r="BF148" s="14">
        <f t="shared" si="145"/>
        <v>2.2708641912150958E-12</v>
      </c>
      <c r="BG148" s="22">
        <f t="shared" si="115"/>
        <v>4.2330868906469593E-12</v>
      </c>
      <c r="BH148" s="62">
        <f t="shared" si="116"/>
        <v>282.31710879819718</v>
      </c>
      <c r="BI148" s="62">
        <f ca="1">AVERAGE(OFFSET($BH$3,0,0,'Données projet'!$E$11+1,1))-AVERAGE(OFFSET($H$3,0,0,'Données projet'!$E$11+1,1))</f>
        <v>374.62597460242665</v>
      </c>
      <c r="BJ148" s="62">
        <f t="shared" si="146"/>
        <v>277.50105097454616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3.5833333333333335</v>
      </c>
      <c r="BY148" s="13">
        <f>IF('Données projet'!$A$114&gt;35,BY147+BX148-CG147,IF(A148&lt;'Données projet'!$A$114,$BV$205^A148,IF(A148='Données projet'!$A$114,'Données projet'!$B$114,BY147+BX148-CG147)))</f>
        <v>332.08333333333314</v>
      </c>
      <c r="BZ148" s="14">
        <f>BY148*VLOOKUP('Données projet'!$B$12,Paramètres!$A$1:$I$89,3,0)*VLOOKUP('Données projet'!$B$12,Paramètres!$A$1:$I$89,5,0)</f>
        <v>155.41499999999991</v>
      </c>
      <c r="CA148" s="14">
        <f t="shared" si="147"/>
        <v>39.806612416849063</v>
      </c>
      <c r="CB148" s="22">
        <f t="shared" si="118"/>
        <v>340.01097495934533</v>
      </c>
      <c r="CC148" s="62">
        <f t="shared" si="119"/>
        <v>622.32808375753825</v>
      </c>
      <c r="CD148" s="62">
        <f ca="1">AVERAGE(OFFSET($CC$3,0,0,'Données projet'!$E$12+1,1))-AVERAGE(OFFSET($H$3,0,0,'Données projet'!$E$12+1,1))</f>
        <v>329.79342219561465</v>
      </c>
      <c r="CE148" s="62">
        <f t="shared" si="148"/>
        <v>144.63206563329757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6.8212102632969618E-13</v>
      </c>
      <c r="CU148" s="18">
        <f>CT148*VLOOKUP('Données projet'!$B$13,Paramètres!$A$1:$I$89,3,0)*VLOOKUP('Données projet'!$B$13,Paramètres!$A$1:$I$89,5,0)</f>
        <v>4.0790837374515837E-13</v>
      </c>
      <c r="CV148" s="14">
        <f t="shared" si="149"/>
        <v>5.2028966193600884E-12</v>
      </c>
      <c r="CW148" s="22">
        <f t="shared" si="121"/>
        <v>9.7721520296583044E-12</v>
      </c>
      <c r="CX148" s="62">
        <f t="shared" si="122"/>
        <v>282.31710879820275</v>
      </c>
      <c r="CY148" s="62">
        <f ca="1">AVERAGE(OFFSET($CX$3,0,0,'Données projet'!$E$13+1,1))-AVERAGE(OFFSET($H$3,0,0,'Données projet'!$E$13+1,1))</f>
        <v>530.27599556821826</v>
      </c>
      <c r="CZ148" s="62">
        <f t="shared" si="150"/>
        <v>370.62231794492129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7.3812785527066532E-17</v>
      </c>
      <c r="DI148" s="24">
        <f t="shared" si="123"/>
        <v>7.3812785527066532E-17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1.2946657079737634E-13</v>
      </c>
      <c r="DQ148" s="14">
        <f t="shared" si="151"/>
        <v>1.8873591890224769E-12</v>
      </c>
      <c r="DR148" s="22">
        <f t="shared" si="124"/>
        <v>3.5126381983529106E-12</v>
      </c>
      <c r="DS148" s="62">
        <f t="shared" si="125"/>
        <v>282.3171087981965</v>
      </c>
      <c r="DT148" s="62">
        <f ca="1">AVERAGE(OFFSET($DS$3,0,0,'Données projet'!$E$14+1,1))-AVERAGE(OFFSET($H$3,0,0,'Données projet'!$E$14+1,1))</f>
        <v>520.23742527061836</v>
      </c>
      <c r="DU148" s="62">
        <f t="shared" si="152"/>
        <v>321.35925479331274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-1.1882548278663309E-13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435.44444011810265</v>
      </c>
      <c r="EP148" s="62">
        <f t="shared" si="154"/>
        <v>447.15868732689762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547.89540791313675</v>
      </c>
      <c r="FK148" s="62">
        <f t="shared" si="156"/>
        <v>345.19555189302378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>
        <f>FZ148*VLOOKUP('Données projet'!$B$17,Paramètres!$A$1:$I$89,3,0)*VLOOKUP('Données projet'!$B$17,Paramètres!$A$1:$I$89,5,0)</f>
        <v>0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409.68685886029164</v>
      </c>
      <c r="GF148" s="62">
        <f t="shared" si="158"/>
        <v>330.8416508650887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1.2625687576849597E-16</v>
      </c>
      <c r="GO148" s="23">
        <f t="shared" si="135"/>
        <v>1.2625687576849597E-16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73.098184695482075</v>
      </c>
      <c r="T149" s="62">
        <f t="shared" si="142"/>
        <v>334.38551711782793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5.5049885918798562</v>
      </c>
      <c r="AA149" s="23">
        <f>EXP(-LN(2)/25)*AA148+(1-EXP(-LN(2)/25))/(LN(2)/25)*Calculateur!V149*Calculateur!X149*VLOOKUP('Données projet'!$B$9,Paramètres!$A$1:$I$89,3,0)*0.475*44/12</f>
        <v>0.55117364228866284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6.0561622341685188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70.520400819593021</v>
      </c>
      <c r="AO149" s="62">
        <f t="shared" si="144"/>
        <v>321.48616153644309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5.2516915707810918</v>
      </c>
      <c r="AV149" s="23">
        <f>EXP(-LN(2)/25)*AV148+(1-EXP(-LN(2)/25))/(LN(2)/25)*Calculateur!AQ149*Calculateur!AS149*VLOOKUP('Données projet'!$B$10,Paramètres!$A$1:$I$89,3,0)*0.475*44/12</f>
        <v>0.52581289187660696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5.7775044626576992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1.5961632016114892E-13</v>
      </c>
      <c r="BF149" s="14">
        <f t="shared" si="145"/>
        <v>2.2708641912150958E-12</v>
      </c>
      <c r="BG149" s="22">
        <f t="shared" si="115"/>
        <v>4.2330868906469593E-12</v>
      </c>
      <c r="BH149" s="62">
        <f t="shared" si="116"/>
        <v>282.50821566529345</v>
      </c>
      <c r="BI149" s="62">
        <f ca="1">AVERAGE(OFFSET($BH$3,0,0,'Données projet'!$E$11+1,1))-AVERAGE(OFFSET($H$3,0,0,'Données projet'!$E$11+1,1))</f>
        <v>374.62597460242665</v>
      </c>
      <c r="BJ149" s="62">
        <f t="shared" si="146"/>
        <v>277.50105097454616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3.5833333333333335</v>
      </c>
      <c r="BY149" s="13">
        <f>IF('Données projet'!$A$114&gt;35,BY148+BX149-CG148,IF(A149&lt;'Données projet'!$A$114,$BV$205^A149,IF(A149='Données projet'!$A$114,'Données projet'!$B$114,BY148+BX149-CG148)))</f>
        <v>335.66666666666646</v>
      </c>
      <c r="BZ149" s="14">
        <f>BY149*VLOOKUP('Données projet'!$B$12,Paramètres!$A$1:$I$89,3,0)*VLOOKUP('Données projet'!$B$12,Paramètres!$A$1:$I$89,5,0)</f>
        <v>157.0919999999999</v>
      </c>
      <c r="CA149" s="14">
        <f t="shared" si="147"/>
        <v>40.18590934212726</v>
      </c>
      <c r="CB149" s="22">
        <f t="shared" si="118"/>
        <v>343.59235877087144</v>
      </c>
      <c r="CC149" s="62">
        <f t="shared" si="119"/>
        <v>626.10057443616074</v>
      </c>
      <c r="CD149" s="62">
        <f ca="1">AVERAGE(OFFSET($CC$3,0,0,'Données projet'!$E$12+1,1))-AVERAGE(OFFSET($H$3,0,0,'Données projet'!$E$12+1,1))</f>
        <v>329.79342219561465</v>
      </c>
      <c r="CE149" s="62">
        <f t="shared" si="148"/>
        <v>144.63206563329757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6.8212102632969618E-13</v>
      </c>
      <c r="CU149" s="18">
        <f>CT149*VLOOKUP('Données projet'!$B$13,Paramètres!$A$1:$I$89,3,0)*VLOOKUP('Données projet'!$B$13,Paramètres!$A$1:$I$89,5,0)</f>
        <v>4.0790837374515837E-13</v>
      </c>
      <c r="CV149" s="14">
        <f t="shared" si="149"/>
        <v>5.2028966193600884E-12</v>
      </c>
      <c r="CW149" s="22">
        <f t="shared" si="121"/>
        <v>9.7721520296583044E-12</v>
      </c>
      <c r="CX149" s="62">
        <f t="shared" si="122"/>
        <v>282.50821566529902</v>
      </c>
      <c r="CY149" s="62">
        <f ca="1">AVERAGE(OFFSET($CX$3,0,0,'Données projet'!$E$13+1,1))-AVERAGE(OFFSET($H$3,0,0,'Données projet'!$E$13+1,1))</f>
        <v>530.27599556821826</v>
      </c>
      <c r="CZ149" s="62">
        <f t="shared" si="150"/>
        <v>370.62231794492129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5.2193521184456997E-17</v>
      </c>
      <c r="DI149" s="24">
        <f t="shared" si="123"/>
        <v>5.2193521184456997E-17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1.2946657079737634E-13</v>
      </c>
      <c r="DQ149" s="14">
        <f t="shared" si="151"/>
        <v>1.8873591890224769E-12</v>
      </c>
      <c r="DR149" s="22">
        <f t="shared" si="124"/>
        <v>3.5126381983529106E-12</v>
      </c>
      <c r="DS149" s="62">
        <f t="shared" si="125"/>
        <v>282.50821566529277</v>
      </c>
      <c r="DT149" s="62">
        <f ca="1">AVERAGE(OFFSET($DS$3,0,0,'Données projet'!$E$14+1,1))-AVERAGE(OFFSET($H$3,0,0,'Données projet'!$E$14+1,1))</f>
        <v>520.23742527061836</v>
      </c>
      <c r="DU149" s="62">
        <f t="shared" si="152"/>
        <v>321.35925479331274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-1.1882548278663309E-13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435.44444011810265</v>
      </c>
      <c r="EP149" s="62">
        <f t="shared" si="154"/>
        <v>447.15868732689762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547.89540791313675</v>
      </c>
      <c r="FK149" s="62">
        <f t="shared" si="156"/>
        <v>345.19555189302378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>
        <f>FZ149*VLOOKUP('Données projet'!$B$17,Paramètres!$A$1:$I$89,3,0)*VLOOKUP('Données projet'!$B$17,Paramètres!$A$1:$I$89,5,0)</f>
        <v>0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409.68685886029164</v>
      </c>
      <c r="GF149" s="62">
        <f t="shared" si="158"/>
        <v>330.8416508650887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8.9277093027330995E-17</v>
      </c>
      <c r="GO149" s="23">
        <f t="shared" si="135"/>
        <v>8.9277093027330995E-17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73.098184695482075</v>
      </c>
      <c r="T150" s="62">
        <f t="shared" si="142"/>
        <v>334.38551711782793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5.3970391233045865</v>
      </c>
      <c r="AA150" s="23">
        <f>EXP(-LN(2)/25)*AA149+(1-EXP(-LN(2)/25))/(LN(2)/25)*Calculateur!V150*Calculateur!X150*VLOOKUP('Données projet'!$B$9,Paramètres!$A$1:$I$89,3,0)*0.475*44/12</f>
        <v>0.53610177005531723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5.9331408933599032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70.520400819593021</v>
      </c>
      <c r="AO150" s="62">
        <f t="shared" si="144"/>
        <v>321.48616153644309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5.1487091022936413</v>
      </c>
      <c r="AV150" s="23">
        <f>EXP(-LN(2)/25)*AV149+(1-EXP(-LN(2)/25))/(LN(2)/25)*Calculateur!AQ150*Calculateur!AS150*VLOOKUP('Données projet'!$B$10,Paramètres!$A$1:$I$89,3,0)*0.475*44/12</f>
        <v>0.5114345106969429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5.6601436129905842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1.5961632016114892E-13</v>
      </c>
      <c r="BF150" s="14">
        <f t="shared" si="145"/>
        <v>2.2708641912150958E-12</v>
      </c>
      <c r="BG150" s="22">
        <f t="shared" si="115"/>
        <v>4.2330868906469593E-12</v>
      </c>
      <c r="BH150" s="62">
        <f t="shared" si="116"/>
        <v>282.69600725549651</v>
      </c>
      <c r="BI150" s="62">
        <f ca="1">AVERAGE(OFFSET($BH$3,0,0,'Données projet'!$E$11+1,1))-AVERAGE(OFFSET($H$3,0,0,'Données projet'!$E$11+1,1))</f>
        <v>374.62597460242665</v>
      </c>
      <c r="BJ150" s="62">
        <f t="shared" si="146"/>
        <v>277.50105097454616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3.5833333333333335</v>
      </c>
      <c r="BY150" s="13">
        <f>IF('Données projet'!$A$114&gt;35,BY149+BX150-CG149,IF(A150&lt;'Données projet'!$A$114,$BV$205^A150,IF(A150='Données projet'!$A$114,'Données projet'!$B$114,BY149+BX150-CG149)))</f>
        <v>339.24999999999977</v>
      </c>
      <c r="BZ150" s="14">
        <f>BY150*VLOOKUP('Données projet'!$B$12,Paramètres!$A$1:$I$89,3,0)*VLOOKUP('Données projet'!$B$12,Paramètres!$A$1:$I$89,5,0)</f>
        <v>158.76899999999989</v>
      </c>
      <c r="CA150" s="14">
        <f t="shared" si="147"/>
        <v>40.564735235613618</v>
      </c>
      <c r="CB150" s="22">
        <f t="shared" si="118"/>
        <v>347.17292220202688</v>
      </c>
      <c r="CC150" s="62">
        <f t="shared" si="119"/>
        <v>629.86892945751924</v>
      </c>
      <c r="CD150" s="62">
        <f ca="1">AVERAGE(OFFSET($CC$3,0,0,'Données projet'!$E$12+1,1))-AVERAGE(OFFSET($H$3,0,0,'Données projet'!$E$12+1,1))</f>
        <v>329.79342219561465</v>
      </c>
      <c r="CE150" s="62">
        <f t="shared" si="148"/>
        <v>144.63206563329757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6.8212102632969618E-13</v>
      </c>
      <c r="CU150" s="18">
        <f>CT150*VLOOKUP('Données projet'!$B$13,Paramètres!$A$1:$I$89,3,0)*VLOOKUP('Données projet'!$B$13,Paramètres!$A$1:$I$89,5,0)</f>
        <v>4.0790837374515837E-13</v>
      </c>
      <c r="CV150" s="14">
        <f t="shared" si="149"/>
        <v>5.2028966193600884E-12</v>
      </c>
      <c r="CW150" s="22">
        <f t="shared" si="121"/>
        <v>9.7721520296583044E-12</v>
      </c>
      <c r="CX150" s="62">
        <f t="shared" si="122"/>
        <v>282.69600725550208</v>
      </c>
      <c r="CY150" s="62">
        <f ca="1">AVERAGE(OFFSET($CX$3,0,0,'Données projet'!$E$13+1,1))-AVERAGE(OFFSET($H$3,0,0,'Données projet'!$E$13+1,1))</f>
        <v>530.27599556821826</v>
      </c>
      <c r="CZ150" s="62">
        <f t="shared" si="150"/>
        <v>370.62231794492129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3.6906392763533266E-17</v>
      </c>
      <c r="DI150" s="24">
        <f t="shared" si="123"/>
        <v>3.6906392763533266E-17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1.2946657079737634E-13</v>
      </c>
      <c r="DQ150" s="14">
        <f t="shared" si="151"/>
        <v>1.8873591890224769E-12</v>
      </c>
      <c r="DR150" s="22">
        <f t="shared" si="124"/>
        <v>3.5126381983529106E-12</v>
      </c>
      <c r="DS150" s="62">
        <f t="shared" si="125"/>
        <v>282.69600725549583</v>
      </c>
      <c r="DT150" s="62">
        <f ca="1">AVERAGE(OFFSET($DS$3,0,0,'Données projet'!$E$14+1,1))-AVERAGE(OFFSET($H$3,0,0,'Données projet'!$E$14+1,1))</f>
        <v>520.23742527061836</v>
      </c>
      <c r="DU150" s="62">
        <f t="shared" si="152"/>
        <v>321.35925479331274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-1.1882548278663309E-13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435.44444011810265</v>
      </c>
      <c r="EP150" s="62">
        <f t="shared" si="154"/>
        <v>447.15868732689762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547.89540791313675</v>
      </c>
      <c r="FK150" s="62">
        <f t="shared" si="156"/>
        <v>345.19555189302378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>
        <f>FZ150*VLOOKUP('Données projet'!$B$17,Paramètres!$A$1:$I$89,3,0)*VLOOKUP('Données projet'!$B$17,Paramètres!$A$1:$I$89,5,0)</f>
        <v>0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409.68685886029164</v>
      </c>
      <c r="GF150" s="62">
        <f t="shared" si="158"/>
        <v>330.8416508650887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6.3128437884247984E-17</v>
      </c>
      <c r="GO150" s="23">
        <f t="shared" si="135"/>
        <v>6.3128437884247984E-17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73.098184695482075</v>
      </c>
      <c r="T151" s="62">
        <f t="shared" si="142"/>
        <v>334.38551711782793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5.291206477965404</v>
      </c>
      <c r="AA151" s="23">
        <f>EXP(-LN(2)/25)*AA150+(1-EXP(-LN(2)/25))/(LN(2)/25)*Calculateur!V151*Calculateur!X151*VLOOKUP('Données projet'!$B$9,Paramètres!$A$1:$I$89,3,0)*0.475*44/12</f>
        <v>0.52144203896078778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5.8126485169261919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70.520400819593021</v>
      </c>
      <c r="AO151" s="62">
        <f t="shared" si="144"/>
        <v>321.48616153644309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5.0477460572001265</v>
      </c>
      <c r="AV151" s="23">
        <f>EXP(-LN(2)/25)*AV150+(1-EXP(-LN(2)/25))/(LN(2)/25)*Calculateur!AQ151*Calculateur!AS151*VLOOKUP('Données projet'!$B$10,Paramètres!$A$1:$I$89,3,0)*0.475*44/12</f>
        <v>0.49744930710676299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5.5451953643068892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1.5961632016114892E-13</v>
      </c>
      <c r="BF151" s="14">
        <f t="shared" si="145"/>
        <v>2.2708641912150958E-12</v>
      </c>
      <c r="BG151" s="22">
        <f t="shared" si="115"/>
        <v>4.2330868906469593E-12</v>
      </c>
      <c r="BH151" s="62">
        <f t="shared" si="116"/>
        <v>282.88054108144865</v>
      </c>
      <c r="BI151" s="62">
        <f ca="1">AVERAGE(OFFSET($BH$3,0,0,'Données projet'!$E$11+1,1))-AVERAGE(OFFSET($H$3,0,0,'Données projet'!$E$11+1,1))</f>
        <v>374.62597460242665</v>
      </c>
      <c r="BJ151" s="62">
        <f t="shared" si="146"/>
        <v>277.50105097454616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3.5833333333333335</v>
      </c>
      <c r="BY151" s="13">
        <f>IF('Données projet'!$A$114&gt;35,BY150+BX151-CG150,IF(A151&lt;'Données projet'!$A$114,$BV$205^A151,IF(A151='Données projet'!$A$114,'Données projet'!$B$114,BY150+BX151-CG150)))</f>
        <v>342.83333333333309</v>
      </c>
      <c r="BZ151" s="14">
        <f>BY151*VLOOKUP('Données projet'!$B$12,Paramètres!$A$1:$I$89,3,0)*VLOOKUP('Données projet'!$B$12,Paramètres!$A$1:$I$89,5,0)</f>
        <v>160.44599999999988</v>
      </c>
      <c r="CA151" s="14">
        <f t="shared" si="147"/>
        <v>40.943095648505754</v>
      </c>
      <c r="CB151" s="22">
        <f t="shared" si="118"/>
        <v>350.75267492114727</v>
      </c>
      <c r="CC151" s="62">
        <f t="shared" si="119"/>
        <v>633.63321600259178</v>
      </c>
      <c r="CD151" s="62">
        <f ca="1">AVERAGE(OFFSET($CC$3,0,0,'Données projet'!$E$12+1,1))-AVERAGE(OFFSET($H$3,0,0,'Données projet'!$E$12+1,1))</f>
        <v>329.79342219561465</v>
      </c>
      <c r="CE151" s="62">
        <f t="shared" si="148"/>
        <v>144.63206563329757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6.8212102632969618E-13</v>
      </c>
      <c r="CU151" s="18">
        <f>CT151*VLOOKUP('Données projet'!$B$13,Paramètres!$A$1:$I$89,3,0)*VLOOKUP('Données projet'!$B$13,Paramètres!$A$1:$I$89,5,0)</f>
        <v>4.0790837374515837E-13</v>
      </c>
      <c r="CV151" s="14">
        <f t="shared" si="149"/>
        <v>5.2028966193600884E-12</v>
      </c>
      <c r="CW151" s="22">
        <f t="shared" si="121"/>
        <v>9.7721520296583044E-12</v>
      </c>
      <c r="CX151" s="62">
        <f t="shared" si="122"/>
        <v>282.88054108145423</v>
      </c>
      <c r="CY151" s="62">
        <f ca="1">AVERAGE(OFFSET($CX$3,0,0,'Données projet'!$E$13+1,1))-AVERAGE(OFFSET($H$3,0,0,'Données projet'!$E$13+1,1))</f>
        <v>530.27599556821826</v>
      </c>
      <c r="CZ151" s="62">
        <f t="shared" si="150"/>
        <v>370.62231794492129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2.6096760592228498E-17</v>
      </c>
      <c r="DI151" s="24">
        <f t="shared" si="123"/>
        <v>2.6096760592228498E-17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1.2946657079737634E-13</v>
      </c>
      <c r="DQ151" s="14">
        <f t="shared" si="151"/>
        <v>1.8873591890224769E-12</v>
      </c>
      <c r="DR151" s="22">
        <f t="shared" si="124"/>
        <v>3.5126381983529106E-12</v>
      </c>
      <c r="DS151" s="62">
        <f t="shared" si="125"/>
        <v>282.88054108144797</v>
      </c>
      <c r="DT151" s="62">
        <f ca="1">AVERAGE(OFFSET($DS$3,0,0,'Données projet'!$E$14+1,1))-AVERAGE(OFFSET($H$3,0,0,'Données projet'!$E$14+1,1))</f>
        <v>520.23742527061836</v>
      </c>
      <c r="DU151" s="62">
        <f t="shared" si="152"/>
        <v>321.35925479331274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-1.1882548278663309E-13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435.44444011810265</v>
      </c>
      <c r="EP151" s="62">
        <f t="shared" si="154"/>
        <v>447.15868732689762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547.89540791313675</v>
      </c>
      <c r="FK151" s="62">
        <f t="shared" si="156"/>
        <v>345.19555189302378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>
        <f>FZ151*VLOOKUP('Données projet'!$B$17,Paramètres!$A$1:$I$89,3,0)*VLOOKUP('Données projet'!$B$17,Paramètres!$A$1:$I$89,5,0)</f>
        <v>0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409.68685886029164</v>
      </c>
      <c r="GF151" s="62">
        <f t="shared" si="158"/>
        <v>330.8416508650887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4.4638546513665497E-17</v>
      </c>
      <c r="GO151" s="23">
        <f t="shared" si="135"/>
        <v>4.4638546513665497E-17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73.098184695482075</v>
      </c>
      <c r="T152" s="62">
        <f t="shared" si="142"/>
        <v>334.38551711782793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5.1874491462497829</v>
      </c>
      <c r="AA152" s="23">
        <f>EXP(-LN(2)/25)*AA151+(1-EXP(-LN(2)/25))/(LN(2)/25)*Calculateur!V152*Calculateur!X152*VLOOKUP('Données projet'!$B$9,Paramètres!$A$1:$I$89,3,0)*0.475*44/12</f>
        <v>0.50718317898395993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5.6946323252337425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70.520400819593021</v>
      </c>
      <c r="AO152" s="62">
        <f t="shared" si="144"/>
        <v>321.48616153644309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4.9487628358395188</v>
      </c>
      <c r="AV152" s="23">
        <f>EXP(-LN(2)/25)*AV151+(1-EXP(-LN(2)/25))/(LN(2)/25)*Calculateur!AQ152*Calculateur!AS152*VLOOKUP('Données projet'!$B$10,Paramètres!$A$1:$I$89,3,0)*0.475*44/12</f>
        <v>0.48384652964420644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5.4326093654837253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1.5961632016114892E-13</v>
      </c>
      <c r="BF152" s="14">
        <f t="shared" si="145"/>
        <v>2.2708641912150958E-12</v>
      </c>
      <c r="BG152" s="22">
        <f t="shared" si="115"/>
        <v>4.2330868906469593E-12</v>
      </c>
      <c r="BH152" s="62">
        <f t="shared" si="116"/>
        <v>283.06187365807637</v>
      </c>
      <c r="BI152" s="62">
        <f ca="1">AVERAGE(OFFSET($BH$3,0,0,'Données projet'!$E$11+1,1))-AVERAGE(OFFSET($H$3,0,0,'Données projet'!$E$11+1,1))</f>
        <v>374.62597460242665</v>
      </c>
      <c r="BJ152" s="62">
        <f t="shared" si="146"/>
        <v>277.50105097454616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3.5833333333333335</v>
      </c>
      <c r="BY152" s="13">
        <f>IF('Données projet'!$A$114&gt;35,BY151+BX152-CG151,IF(A152&lt;'Données projet'!$A$114,$BV$205^A152,IF(A152='Données projet'!$A$114,'Données projet'!$B$114,BY151+BX152-CG151)))</f>
        <v>346.4166666666664</v>
      </c>
      <c r="BZ152" s="14">
        <f>BY152*VLOOKUP('Données projet'!$B$12,Paramètres!$A$1:$I$89,3,0)*VLOOKUP('Données projet'!$B$12,Paramètres!$A$1:$I$89,5,0)</f>
        <v>162.12299999999988</v>
      </c>
      <c r="CA152" s="14">
        <f t="shared" si="147"/>
        <v>41.32099600927188</v>
      </c>
      <c r="CB152" s="22">
        <f t="shared" si="118"/>
        <v>354.33162638281493</v>
      </c>
      <c r="CC152" s="62">
        <f t="shared" si="119"/>
        <v>637.39350004088715</v>
      </c>
      <c r="CD152" s="62">
        <f ca="1">AVERAGE(OFFSET($CC$3,0,0,'Données projet'!$E$12+1,1))-AVERAGE(OFFSET($H$3,0,0,'Données projet'!$E$12+1,1))</f>
        <v>329.79342219561465</v>
      </c>
      <c r="CE152" s="62">
        <f t="shared" si="148"/>
        <v>144.63206563329757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6.8212102632969618E-13</v>
      </c>
      <c r="CU152" s="18">
        <f>CT152*VLOOKUP('Données projet'!$B$13,Paramètres!$A$1:$I$89,3,0)*VLOOKUP('Données projet'!$B$13,Paramètres!$A$1:$I$89,5,0)</f>
        <v>4.0790837374515837E-13</v>
      </c>
      <c r="CV152" s="14">
        <f t="shared" si="149"/>
        <v>5.2028966193600884E-12</v>
      </c>
      <c r="CW152" s="22">
        <f t="shared" si="121"/>
        <v>9.7721520296583044E-12</v>
      </c>
      <c r="CX152" s="62">
        <f t="shared" si="122"/>
        <v>283.06187365808194</v>
      </c>
      <c r="CY152" s="62">
        <f ca="1">AVERAGE(OFFSET($CX$3,0,0,'Données projet'!$E$13+1,1))-AVERAGE(OFFSET($H$3,0,0,'Données projet'!$E$13+1,1))</f>
        <v>530.27599556821826</v>
      </c>
      <c r="CZ152" s="62">
        <f t="shared" si="150"/>
        <v>370.62231794492129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1.8453196381766633E-17</v>
      </c>
      <c r="DI152" s="24">
        <f t="shared" si="123"/>
        <v>1.8453196381766633E-17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1.2946657079737634E-13</v>
      </c>
      <c r="DQ152" s="14">
        <f t="shared" si="151"/>
        <v>1.8873591890224769E-12</v>
      </c>
      <c r="DR152" s="22">
        <f t="shared" si="124"/>
        <v>3.5126381983529106E-12</v>
      </c>
      <c r="DS152" s="62">
        <f t="shared" si="125"/>
        <v>283.06187365807568</v>
      </c>
      <c r="DT152" s="62">
        <f ca="1">AVERAGE(OFFSET($DS$3,0,0,'Données projet'!$E$14+1,1))-AVERAGE(OFFSET($H$3,0,0,'Données projet'!$E$14+1,1))</f>
        <v>520.23742527061836</v>
      </c>
      <c r="DU152" s="62">
        <f t="shared" si="152"/>
        <v>321.35925479331274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-1.1882548278663309E-13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435.44444011810265</v>
      </c>
      <c r="EP152" s="62">
        <f t="shared" si="154"/>
        <v>447.15868732689762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547.89540791313675</v>
      </c>
      <c r="FK152" s="62">
        <f t="shared" si="156"/>
        <v>345.19555189302378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>
        <f>FZ152*VLOOKUP('Données projet'!$B$17,Paramètres!$A$1:$I$89,3,0)*VLOOKUP('Données projet'!$B$17,Paramètres!$A$1:$I$89,5,0)</f>
        <v>0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409.68685886029164</v>
      </c>
      <c r="GF152" s="62">
        <f t="shared" si="158"/>
        <v>330.8416508650887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3.1564218942123992E-17</v>
      </c>
      <c r="GO152" s="23">
        <f t="shared" si="135"/>
        <v>3.1564218942123992E-17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73.098184695482075</v>
      </c>
      <c r="T153" s="62">
        <f t="shared" si="142"/>
        <v>334.38551711782793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5.0857264325233817</v>
      </c>
      <c r="AA153" s="23">
        <f>EXP(-LN(2)/25)*AA152+(1-EXP(-LN(2)/25))/(LN(2)/25)*Calculateur!V153*Calculateur!X153*VLOOKUP('Données projet'!$B$9,Paramètres!$A$1:$I$89,3,0)*0.475*44/12</f>
        <v>0.49331422828303934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5.5790406608064211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70.520400819593021</v>
      </c>
      <c r="AO153" s="62">
        <f t="shared" si="144"/>
        <v>321.48616153644309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4.8517206150759886</v>
      </c>
      <c r="AV153" s="23">
        <f>EXP(-LN(2)/25)*AV152+(1-EXP(-LN(2)/25))/(LN(2)/25)*Calculateur!AQ153*Calculateur!AS153*VLOOKUP('Données projet'!$B$10,Paramètres!$A$1:$I$89,3,0)*0.475*44/12</f>
        <v>0.47061572084670245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5.3223363359226914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1.5961632016114892E-13</v>
      </c>
      <c r="BF153" s="14">
        <f t="shared" si="145"/>
        <v>2.2708641912150958E-12</v>
      </c>
      <c r="BG153" s="22">
        <f t="shared" si="115"/>
        <v>4.2330868906469593E-12</v>
      </c>
      <c r="BH153" s="62">
        <f t="shared" si="116"/>
        <v>283.24006051989852</v>
      </c>
      <c r="BI153" s="62">
        <f ca="1">AVERAGE(OFFSET($BH$3,0,0,'Données projet'!$E$11+1,1))-AVERAGE(OFFSET($H$3,0,0,'Données projet'!$E$11+1,1))</f>
        <v>374.62597460242665</v>
      </c>
      <c r="BJ153" s="62">
        <f t="shared" si="146"/>
        <v>277.50105097454616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350</v>
      </c>
      <c r="BW153" s="13">
        <f>VLOOKUP(A153,'Données projet'!$A$113:$I$133,9,0)</f>
        <v>3.5833333333333335</v>
      </c>
      <c r="BX153" s="13">
        <f t="array" ref="BX153">INDEX(BW:BW,MIN(IF(ISNUMBER(BW153:BW349),ROW(BW153:BW349),"")))</f>
        <v>3.5833333333333335</v>
      </c>
      <c r="BY153" s="13">
        <f>IF('Données projet'!$A$114&gt;35,BY152+BX153-CG152,IF(A153&lt;'Données projet'!$A$114,$BV$205^A153,IF(A153='Données projet'!$A$114,'Données projet'!$B$114,BY152+BX153-CG152)))</f>
        <v>349.99999999999972</v>
      </c>
      <c r="BZ153" s="14">
        <f>BY153*VLOOKUP('Données projet'!$B$12,Paramètres!$A$1:$I$89,3,0)*VLOOKUP('Données projet'!$B$12,Paramètres!$A$1:$I$89,5,0)</f>
        <v>163.79999999999987</v>
      </c>
      <c r="CA153" s="14">
        <f t="shared" si="147"/>
        <v>41.698441627605291</v>
      </c>
      <c r="CB153" s="22">
        <f t="shared" si="118"/>
        <v>357.90978583474566</v>
      </c>
      <c r="CC153" s="62">
        <f t="shared" si="119"/>
        <v>641.14984635463998</v>
      </c>
      <c r="CD153" s="62">
        <f ca="1">AVERAGE(OFFSET($CC$3,0,0,'Données projet'!$E$12+1,1))-AVERAGE(OFFSET($H$3,0,0,'Données projet'!$E$12+1,1))</f>
        <v>329.79342219561465</v>
      </c>
      <c r="CE153" s="62">
        <f t="shared" si="148"/>
        <v>144.63206563329757</v>
      </c>
      <c r="CF153" s="16">
        <f>IF(ISNA(VLOOKUP(A153,'Données projet'!$A$113:$I$133,3,0)),0,VLOOKUP(A153,'Données projet'!$A$113:$I$133,3,0))</f>
        <v>17</v>
      </c>
      <c r="CG153" s="16">
        <f>IF(ISNA(VLOOKUP(A153,'Données projet'!$A$113:$I$133,4,0)),0,VLOOKUP(A153,'Données projet'!$A$113:$I$133,4,0))</f>
        <v>174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6.8212102632969618E-13</v>
      </c>
      <c r="CU153" s="18">
        <f>CT153*VLOOKUP('Données projet'!$B$13,Paramètres!$A$1:$I$89,3,0)*VLOOKUP('Données projet'!$B$13,Paramètres!$A$1:$I$89,5,0)</f>
        <v>4.0790837374515837E-13</v>
      </c>
      <c r="CV153" s="14">
        <f t="shared" si="149"/>
        <v>5.2028966193600884E-12</v>
      </c>
      <c r="CW153" s="22">
        <f t="shared" si="121"/>
        <v>9.7721520296583044E-12</v>
      </c>
      <c r="CX153" s="62">
        <f t="shared" si="122"/>
        <v>283.24006051990409</v>
      </c>
      <c r="CY153" s="62">
        <f ca="1">AVERAGE(OFFSET($CX$3,0,0,'Données projet'!$E$13+1,1))-AVERAGE(OFFSET($H$3,0,0,'Données projet'!$E$13+1,1))</f>
        <v>530.27599556821826</v>
      </c>
      <c r="CZ153" s="62">
        <f t="shared" si="150"/>
        <v>370.62231794492129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1.3048380296114249E-17</v>
      </c>
      <c r="DI153" s="24">
        <f t="shared" si="123"/>
        <v>1.3048380296114249E-17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1.2946657079737634E-13</v>
      </c>
      <c r="DQ153" s="14">
        <f t="shared" si="151"/>
        <v>1.8873591890224769E-12</v>
      </c>
      <c r="DR153" s="22">
        <f t="shared" si="124"/>
        <v>3.5126381983529106E-12</v>
      </c>
      <c r="DS153" s="62">
        <f t="shared" si="125"/>
        <v>283.24006051989784</v>
      </c>
      <c r="DT153" s="62">
        <f ca="1">AVERAGE(OFFSET($DS$3,0,0,'Données projet'!$E$14+1,1))-AVERAGE(OFFSET($H$3,0,0,'Données projet'!$E$14+1,1))</f>
        <v>520.23742527061836</v>
      </c>
      <c r="DU153" s="62">
        <f t="shared" si="152"/>
        <v>321.35925479331274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-1.1882548278663309E-13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435.44444011810265</v>
      </c>
      <c r="EP153" s="62">
        <f t="shared" si="154"/>
        <v>447.15868732689762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547.89540791313675</v>
      </c>
      <c r="FK153" s="62">
        <f t="shared" si="156"/>
        <v>345.19555189302378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>
        <f>FZ153*VLOOKUP('Données projet'!$B$17,Paramètres!$A$1:$I$89,3,0)*VLOOKUP('Données projet'!$B$17,Paramètres!$A$1:$I$89,5,0)</f>
        <v>0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409.68685886029164</v>
      </c>
      <c r="GF153" s="62">
        <f t="shared" si="158"/>
        <v>330.8416508650887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2.2319273256832749E-17</v>
      </c>
      <c r="GO153" s="23">
        <f t="shared" si="135"/>
        <v>2.2319273256832749E-17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73.098184695482075</v>
      </c>
      <c r="T154" s="62">
        <f t="shared" si="142"/>
        <v>334.38551711782793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4.9859984391684264</v>
      </c>
      <c r="AA154" s="23">
        <f>EXP(-LN(2)/25)*AA153+(1-EXP(-LN(2)/25))/(LN(2)/25)*Calculateur!V154*Calculateur!X154*VLOOKUP('Données projet'!$B$9,Paramètres!$A$1:$I$89,3,0)*0.475*44/12</f>
        <v>0.47982452476837184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5.4658229639367981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70.520400819593021</v>
      </c>
      <c r="AO154" s="62">
        <f t="shared" si="144"/>
        <v>321.48616153644309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4.756581333071721</v>
      </c>
      <c r="AV154" s="23">
        <f>EXP(-LN(2)/25)*AV153+(1-EXP(-LN(2)/25))/(LN(2)/25)*Calculateur!AQ154*Calculateur!AS154*VLOOKUP('Données projet'!$B$10,Paramètres!$A$1:$I$89,3,0)*0.475*44/12</f>
        <v>0.4577467092115442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5.214328042283265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1.5961632016114892E-13</v>
      </c>
      <c r="BF154" s="14">
        <f t="shared" ref="BF154:BF203" si="167">EXP(-1.0587+0.8836*LN(BE154)+0.284)</f>
        <v>2.2708641912150958E-12</v>
      </c>
      <c r="BG154" s="22">
        <f t="shared" ref="BG154:BG203" si="168">(BE154+BF154)*0.475*44/12</f>
        <v>4.2330868906469593E-12</v>
      </c>
      <c r="BH154" s="62">
        <f t="shared" si="116"/>
        <v>283.41515623803417</v>
      </c>
      <c r="BI154" s="62">
        <f ca="1">AVERAGE(OFFSET($BH$3,0,0,'Données projet'!$E$11+1,1))-AVERAGE(OFFSET($H$3,0,0,'Données projet'!$E$11+1,1))</f>
        <v>374.62597460242665</v>
      </c>
      <c r="BJ154" s="62">
        <f t="shared" si="146"/>
        <v>277.50105097454616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3.6666666666666665</v>
      </c>
      <c r="BY154" s="13">
        <f>IF('Données projet'!$A$114&gt;35,BY153+BX154-CG153,IF(A154&lt;'Données projet'!$A$114,$BV$205^A154,IF(A154='Données projet'!$A$114,'Données projet'!$B$114,BY153+BX154-CG153)))</f>
        <v>179.6666666666664</v>
      </c>
      <c r="BZ154" s="14">
        <f>BY154*VLOOKUP('Données projet'!$B$12,Paramètres!$A$1:$I$89,3,0)*VLOOKUP('Données projet'!$B$12,Paramètres!$A$1:$I$89,5,0)</f>
        <v>84.083999999999889</v>
      </c>
      <c r="CA154" s="14">
        <f t="shared" ref="CA154:CA203" si="170">EXP(-1.0587+0.8836*LN(BZ154)+0.284)</f>
        <v>23.132831417334515</v>
      </c>
      <c r="CB154" s="22">
        <f t="shared" ref="CB154:CB203" si="171">(BZ154+CA154)*0.475*44/12</f>
        <v>186.73598138519074</v>
      </c>
      <c r="CC154" s="62">
        <f t="shared" si="119"/>
        <v>470.15113762322073</v>
      </c>
      <c r="CD154" s="62">
        <f ca="1">AVERAGE(OFFSET($CC$3,0,0,'Données projet'!$E$12+1,1))-AVERAGE(OFFSET($H$3,0,0,'Données projet'!$E$12+1,1))</f>
        <v>329.79342219561465</v>
      </c>
      <c r="CE154" s="62">
        <f t="shared" si="148"/>
        <v>144.63206563329757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6.8212102632969618E-13</v>
      </c>
      <c r="CU154" s="18">
        <f>CT154*VLOOKUP('Données projet'!$B$13,Paramètres!$A$1:$I$89,3,0)*VLOOKUP('Données projet'!$B$13,Paramètres!$A$1:$I$89,5,0)</f>
        <v>4.0790837374515837E-13</v>
      </c>
      <c r="CV154" s="14">
        <f t="shared" ref="CV154:CV203" si="173">EXP(-1.0587+0.8836*LN(CU154)+0.284)</f>
        <v>5.2028966193600884E-12</v>
      </c>
      <c r="CW154" s="22">
        <f t="shared" ref="CW154:CW203" si="174">(CU154+CV154)*0.475*44/12</f>
        <v>9.7721520296583044E-12</v>
      </c>
      <c r="CX154" s="62">
        <f t="shared" si="122"/>
        <v>283.41515623803974</v>
      </c>
      <c r="CY154" s="62">
        <f ca="1">AVERAGE(OFFSET($CX$3,0,0,'Données projet'!$E$13+1,1))-AVERAGE(OFFSET($H$3,0,0,'Données projet'!$E$13+1,1))</f>
        <v>530.27599556821826</v>
      </c>
      <c r="CZ154" s="62">
        <f t="shared" si="150"/>
        <v>370.62231794492129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9.2265981908833165E-18</v>
      </c>
      <c r="DI154" s="24">
        <f t="shared" ref="DI154:DI203" si="175">SUM(DF154:DH154)</f>
        <v>9.2265981908833165E-18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1.2946657079737634E-13</v>
      </c>
      <c r="DQ154" s="14">
        <f t="shared" ref="DQ154:DQ203" si="176">EXP(-1.0587+0.8836*LN(DP154)+0.284)</f>
        <v>1.8873591890224769E-12</v>
      </c>
      <c r="DR154" s="22">
        <f t="shared" ref="DR154:DR203" si="177">(DP154+DQ154)*0.475*44/12</f>
        <v>3.5126381983529106E-12</v>
      </c>
      <c r="DS154" s="62">
        <f t="shared" si="125"/>
        <v>283.41515623803349</v>
      </c>
      <c r="DT154" s="62">
        <f ca="1">AVERAGE(OFFSET($DS$3,0,0,'Données projet'!$E$14+1,1))-AVERAGE(OFFSET($H$3,0,0,'Données projet'!$E$14+1,1))</f>
        <v>520.23742527061836</v>
      </c>
      <c r="DU154" s="62">
        <f t="shared" si="152"/>
        <v>321.35925479331274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-1.1882548278663309E-13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435.44444011810265</v>
      </c>
      <c r="EP154" s="62">
        <f t="shared" si="154"/>
        <v>447.15868732689762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547.89540791313675</v>
      </c>
      <c r="FK154" s="62">
        <f t="shared" si="156"/>
        <v>345.19555189302378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>
        <f>FZ154*VLOOKUP('Données projet'!$B$17,Paramètres!$A$1:$I$89,3,0)*VLOOKUP('Données projet'!$B$17,Paramètres!$A$1:$I$89,5,0)</f>
        <v>0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409.68685886029164</v>
      </c>
      <c r="GF154" s="62">
        <f t="shared" si="158"/>
        <v>330.8416508650887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1.5782109471061996E-17</v>
      </c>
      <c r="GO154" s="23">
        <f t="shared" ref="GO154:GO203" si="187">SUM(GL154:GN154)</f>
        <v>1.5782109471061996E-17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73.098184695482075</v>
      </c>
      <c r="T155" s="62">
        <f t="shared" si="142"/>
        <v>334.38551711782793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4.8882260509350921</v>
      </c>
      <c r="AA155" s="23">
        <f>EXP(-LN(2)/25)*AA154+(1-EXP(-LN(2)/25))/(LN(2)/25)*Calculateur!V155*Calculateur!X155*VLOOKUP('Données projet'!$B$9,Paramètres!$A$1:$I$89,3,0)*0.475*44/12</f>
        <v>0.46670369790570559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5.3549297488407976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70.520400819593021</v>
      </c>
      <c r="AO155" s="62">
        <f t="shared" si="144"/>
        <v>321.48616153644309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4.6633076743583253</v>
      </c>
      <c r="AV155" s="23">
        <f>EXP(-LN(2)/25)*AV154+(1-EXP(-LN(2)/25))/(LN(2)/25)*Calculateur!AQ155*Calculateur!AS155*VLOOKUP('Données projet'!$B$10,Paramètres!$A$1:$I$89,3,0)*0.475*44/12</f>
        <v>0.4452296013763013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5.1085372757346263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1.5961632016114892E-13</v>
      </c>
      <c r="BF155" s="14">
        <f t="shared" si="167"/>
        <v>2.2708641912150958E-12</v>
      </c>
      <c r="BG155" s="22">
        <f t="shared" si="168"/>
        <v>4.2330868906469593E-12</v>
      </c>
      <c r="BH155" s="62">
        <f t="shared" si="116"/>
        <v>283.58721443691559</v>
      </c>
      <c r="BI155" s="62">
        <f ca="1">AVERAGE(OFFSET($BH$3,0,0,'Données projet'!$E$11+1,1))-AVERAGE(OFFSET($H$3,0,0,'Données projet'!$E$11+1,1))</f>
        <v>374.62597460242665</v>
      </c>
      <c r="BJ155" s="62">
        <f t="shared" si="146"/>
        <v>277.50105097454616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3.6666666666666665</v>
      </c>
      <c r="BY155" s="13">
        <f>IF('Données projet'!$A$114&gt;35,BY154+BX155-CG154,IF(A155&lt;'Données projet'!$A$114,$BV$205^A155,IF(A155='Données projet'!$A$114,'Données projet'!$B$114,BY154+BX155-CG154)))</f>
        <v>183.33333333333306</v>
      </c>
      <c r="BZ155" s="14">
        <f>BY155*VLOOKUP('Données projet'!$B$12,Paramètres!$A$1:$I$89,3,0)*VLOOKUP('Données projet'!$B$12,Paramètres!$A$1:$I$89,5,0)</f>
        <v>85.799999999999869</v>
      </c>
      <c r="CA155" s="14">
        <f t="shared" si="170"/>
        <v>23.549485995669723</v>
      </c>
      <c r="CB155" s="22">
        <f t="shared" si="171"/>
        <v>190.4503547757912</v>
      </c>
      <c r="CC155" s="62">
        <f t="shared" si="119"/>
        <v>474.03756921270258</v>
      </c>
      <c r="CD155" s="62">
        <f ca="1">AVERAGE(OFFSET($CC$3,0,0,'Données projet'!$E$12+1,1))-AVERAGE(OFFSET($H$3,0,0,'Données projet'!$E$12+1,1))</f>
        <v>329.79342219561465</v>
      </c>
      <c r="CE155" s="62">
        <f t="shared" si="148"/>
        <v>144.63206563329757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6.8212102632969618E-13</v>
      </c>
      <c r="CU155" s="18">
        <f>CT155*VLOOKUP('Données projet'!$B$13,Paramètres!$A$1:$I$89,3,0)*VLOOKUP('Données projet'!$B$13,Paramètres!$A$1:$I$89,5,0)</f>
        <v>4.0790837374515837E-13</v>
      </c>
      <c r="CV155" s="14">
        <f t="shared" si="173"/>
        <v>5.2028966193600884E-12</v>
      </c>
      <c r="CW155" s="22">
        <f t="shared" si="174"/>
        <v>9.7721520296583044E-12</v>
      </c>
      <c r="CX155" s="62">
        <f t="shared" si="122"/>
        <v>283.58721443692116</v>
      </c>
      <c r="CY155" s="62">
        <f ca="1">AVERAGE(OFFSET($CX$3,0,0,'Données projet'!$E$13+1,1))-AVERAGE(OFFSET($H$3,0,0,'Données projet'!$E$13+1,1))</f>
        <v>530.27599556821826</v>
      </c>
      <c r="CZ155" s="62">
        <f t="shared" si="150"/>
        <v>370.62231794492129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6.5241901480571246E-18</v>
      </c>
      <c r="DI155" s="24">
        <f t="shared" si="175"/>
        <v>6.5241901480571246E-18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1.2946657079737634E-13</v>
      </c>
      <c r="DQ155" s="14">
        <f t="shared" si="176"/>
        <v>1.8873591890224769E-12</v>
      </c>
      <c r="DR155" s="22">
        <f t="shared" si="177"/>
        <v>3.5126381983529106E-12</v>
      </c>
      <c r="DS155" s="62">
        <f t="shared" si="125"/>
        <v>283.58721443691491</v>
      </c>
      <c r="DT155" s="62">
        <f ca="1">AVERAGE(OFFSET($DS$3,0,0,'Données projet'!$E$14+1,1))-AVERAGE(OFFSET($H$3,0,0,'Données projet'!$E$14+1,1))</f>
        <v>520.23742527061836</v>
      </c>
      <c r="DU155" s="62">
        <f t="shared" si="152"/>
        <v>321.35925479331274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-1.1882548278663309E-13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435.44444011810265</v>
      </c>
      <c r="EP155" s="62">
        <f t="shared" si="154"/>
        <v>447.15868732689762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547.89540791313675</v>
      </c>
      <c r="FK155" s="62">
        <f t="shared" si="156"/>
        <v>345.19555189302378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>
        <f>FZ155*VLOOKUP('Données projet'!$B$17,Paramètres!$A$1:$I$89,3,0)*VLOOKUP('Données projet'!$B$17,Paramètres!$A$1:$I$89,5,0)</f>
        <v>0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409.68685886029164</v>
      </c>
      <c r="GF155" s="62">
        <f t="shared" si="158"/>
        <v>330.8416508650887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1.1159636628416374E-17</v>
      </c>
      <c r="GO155" s="23">
        <f t="shared" si="187"/>
        <v>1.1159636628416374E-17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73.098184695482075</v>
      </c>
      <c r="T156" s="62">
        <f t="shared" si="142"/>
        <v>334.38551711782793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4.7923709195997448</v>
      </c>
      <c r="AA156" s="23">
        <f>EXP(-LN(2)/25)*AA155+(1-EXP(-LN(2)/25))/(LN(2)/25)*Calculateur!V156*Calculateur!X156*VLOOKUP('Données projet'!$B$9,Paramètres!$A$1:$I$89,3,0)*0.475*44/12</f>
        <v>0.45394166074359327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5.2463125803433384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70.520400819593021</v>
      </c>
      <c r="AO156" s="62">
        <f t="shared" si="144"/>
        <v>321.48616153644309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4.5718630552009847</v>
      </c>
      <c r="AV156" s="23">
        <f>EXP(-LN(2)/25)*AV155+(1-EXP(-LN(2)/25))/(LN(2)/25)*Calculateur!AQ156*Calculateur!AS156*VLOOKUP('Données projet'!$B$10,Paramètres!$A$1:$I$89,3,0)*0.475*44/12</f>
        <v>0.43305477451305918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5.004917829714044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1.5961632016114892E-13</v>
      </c>
      <c r="BF156" s="14">
        <f t="shared" si="167"/>
        <v>2.2708641912150958E-12</v>
      </c>
      <c r="BG156" s="22">
        <f t="shared" si="168"/>
        <v>4.2330868906469593E-12</v>
      </c>
      <c r="BH156" s="62">
        <f t="shared" si="116"/>
        <v>283.75628781071083</v>
      </c>
      <c r="BI156" s="62">
        <f ca="1">AVERAGE(OFFSET($BH$3,0,0,'Données projet'!$E$11+1,1))-AVERAGE(OFFSET($H$3,0,0,'Données projet'!$E$11+1,1))</f>
        <v>374.62597460242665</v>
      </c>
      <c r="BJ156" s="62">
        <f t="shared" si="146"/>
        <v>277.50105097454616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>
        <f>VLOOKUP(A156,'Données projet'!$A$113:$I$133,2,0)</f>
        <v>187</v>
      </c>
      <c r="BW156" s="13">
        <f>VLOOKUP(A156,'Données projet'!$A$113:$I$133,9,0)</f>
        <v>3.6666666666666665</v>
      </c>
      <c r="BX156" s="13">
        <f t="array" ref="BX156">INDEX(BW:BW,MIN(IF(ISNUMBER(BW156:BW352),ROW(BW156:BW352),"")))</f>
        <v>3.6666666666666665</v>
      </c>
      <c r="BY156" s="13">
        <f>IF('Données projet'!$A$114&gt;35,BY155+BX156-CG155,IF(A156&lt;'Données projet'!$A$114,$BV$205^A156,IF(A156='Données projet'!$A$114,'Données projet'!$B$114,BY155+BX156-CG155)))</f>
        <v>186.99999999999972</v>
      </c>
      <c r="BZ156" s="14">
        <f>BY156*VLOOKUP('Données projet'!$B$12,Paramètres!$A$1:$I$89,3,0)*VLOOKUP('Données projet'!$B$12,Paramètres!$A$1:$I$89,5,0)</f>
        <v>87.515999999999863</v>
      </c>
      <c r="CA156" s="14">
        <f t="shared" si="170"/>
        <v>23.965171662037612</v>
      </c>
      <c r="CB156" s="22">
        <f t="shared" si="171"/>
        <v>194.16304064471524</v>
      </c>
      <c r="CC156" s="62">
        <f t="shared" si="119"/>
        <v>477.91932845542186</v>
      </c>
      <c r="CD156" s="62">
        <f ca="1">AVERAGE(OFFSET($CC$3,0,0,'Données projet'!$E$12+1,1))-AVERAGE(OFFSET($H$3,0,0,'Données projet'!$E$12+1,1))</f>
        <v>329.79342219561465</v>
      </c>
      <c r="CE156" s="62">
        <f t="shared" si="148"/>
        <v>144.63206563329757</v>
      </c>
      <c r="CF156" s="16">
        <f>IF(ISNA(VLOOKUP(A156,'Données projet'!$A$113:$I$133,3,0)),0,VLOOKUP(A156,'Données projet'!$A$113:$I$133,3,0))</f>
        <v>18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6.8212102632969618E-13</v>
      </c>
      <c r="CU156" s="18">
        <f>CT156*VLOOKUP('Données projet'!$B$13,Paramètres!$A$1:$I$89,3,0)*VLOOKUP('Données projet'!$B$13,Paramètres!$A$1:$I$89,5,0)</f>
        <v>4.0790837374515837E-13</v>
      </c>
      <c r="CV156" s="14">
        <f t="shared" si="173"/>
        <v>5.2028966193600884E-12</v>
      </c>
      <c r="CW156" s="22">
        <f t="shared" si="174"/>
        <v>9.7721520296583044E-12</v>
      </c>
      <c r="CX156" s="62">
        <f t="shared" si="122"/>
        <v>283.7562878107164</v>
      </c>
      <c r="CY156" s="62">
        <f ca="1">AVERAGE(OFFSET($CX$3,0,0,'Données projet'!$E$13+1,1))-AVERAGE(OFFSET($H$3,0,0,'Données projet'!$E$13+1,1))</f>
        <v>530.27599556821826</v>
      </c>
      <c r="CZ156" s="62">
        <f t="shared" si="150"/>
        <v>370.62231794492129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4.6132990954416582E-18</v>
      </c>
      <c r="DI156" s="24">
        <f t="shared" si="175"/>
        <v>4.6132990954416582E-18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1.2946657079737634E-13</v>
      </c>
      <c r="DQ156" s="14">
        <f t="shared" si="176"/>
        <v>1.8873591890224769E-12</v>
      </c>
      <c r="DR156" s="22">
        <f t="shared" si="177"/>
        <v>3.5126381983529106E-12</v>
      </c>
      <c r="DS156" s="62">
        <f t="shared" si="125"/>
        <v>283.75628781071015</v>
      </c>
      <c r="DT156" s="62">
        <f ca="1">AVERAGE(OFFSET($DS$3,0,0,'Données projet'!$E$14+1,1))-AVERAGE(OFFSET($H$3,0,0,'Données projet'!$E$14+1,1))</f>
        <v>520.23742527061836</v>
      </c>
      <c r="DU156" s="62">
        <f t="shared" si="152"/>
        <v>321.35925479331274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-1.1882548278663309E-13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435.44444011810265</v>
      </c>
      <c r="EP156" s="62">
        <f t="shared" si="154"/>
        <v>447.15868732689762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547.89540791313675</v>
      </c>
      <c r="FK156" s="62">
        <f t="shared" si="156"/>
        <v>345.19555189302378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>
        <f>FZ156*VLOOKUP('Données projet'!$B$17,Paramètres!$A$1:$I$89,3,0)*VLOOKUP('Données projet'!$B$17,Paramètres!$A$1:$I$89,5,0)</f>
        <v>0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409.68685886029164</v>
      </c>
      <c r="GF156" s="62">
        <f t="shared" si="158"/>
        <v>330.8416508650887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7.891054735530998E-18</v>
      </c>
      <c r="GO156" s="23">
        <f t="shared" si="187"/>
        <v>7.891054735530998E-18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73.098184695482075</v>
      </c>
      <c r="T157" s="62">
        <f t="shared" si="142"/>
        <v>334.38551711782793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4.6983954489240265</v>
      </c>
      <c r="AA157" s="23">
        <f>EXP(-LN(2)/25)*AA156+(1-EXP(-LN(2)/25))/(LN(2)/25)*Calculateur!V157*Calculateur!X157*VLOOKUP('Données projet'!$B$9,Paramètres!$A$1:$I$89,3,0)*0.475*44/12</f>
        <v>0.44152860215880529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5.1399240510828319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70.520400819593021</v>
      </c>
      <c r="AO157" s="62">
        <f t="shared" si="144"/>
        <v>321.48616153644309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4.4822116092496094</v>
      </c>
      <c r="AV157" s="23">
        <f>EXP(-LN(2)/25)*AV156+(1-EXP(-LN(2)/25))/(LN(2)/25)*Calculateur!AQ157*Calculateur!AS157*VLOOKUP('Données projet'!$B$10,Paramètres!$A$1:$I$89,3,0)*0.475*44/12</f>
        <v>0.42121286893063875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4.9034244781802485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1.5961632016114892E-13</v>
      </c>
      <c r="BF157" s="14">
        <f t="shared" si="167"/>
        <v>2.2708641912150958E-12</v>
      </c>
      <c r="BG157" s="22">
        <f t="shared" si="168"/>
        <v>4.2330868906469593E-12</v>
      </c>
      <c r="BH157" s="62">
        <f t="shared" si="116"/>
        <v>283.92242813946228</v>
      </c>
      <c r="BI157" s="62">
        <f ca="1">AVERAGE(OFFSET($BH$3,0,0,'Données projet'!$E$11+1,1))-AVERAGE(OFFSET($H$3,0,0,'Données projet'!$E$11+1,1))</f>
        <v>374.62597460242665</v>
      </c>
      <c r="BJ157" s="62">
        <f t="shared" si="146"/>
        <v>277.50105097454616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2.3333333333333335</v>
      </c>
      <c r="BY157" s="13">
        <f>IF('Données projet'!$A$114&gt;35,BY156+BX157-CG156,IF(A157&lt;'Données projet'!$A$114,$BV$205^A157,IF(A157='Données projet'!$A$114,'Données projet'!$B$114,BY156+BX157-CG156)))</f>
        <v>189.33333333333306</v>
      </c>
      <c r="BZ157" s="14">
        <f>BY157*VLOOKUP('Données projet'!$B$12,Paramètres!$A$1:$I$89,3,0)*VLOOKUP('Données projet'!$B$12,Paramètres!$A$1:$I$89,5,0)</f>
        <v>88.607999999999876</v>
      </c>
      <c r="CA157" s="14">
        <f t="shared" si="170"/>
        <v>24.229204160563253</v>
      </c>
      <c r="CB157" s="22">
        <f t="shared" si="171"/>
        <v>196.52479724631414</v>
      </c>
      <c r="CC157" s="62">
        <f t="shared" si="119"/>
        <v>480.44722538577219</v>
      </c>
      <c r="CD157" s="62">
        <f ca="1">AVERAGE(OFFSET($CC$3,0,0,'Données projet'!$E$12+1,1))-AVERAGE(OFFSET($H$3,0,0,'Données projet'!$E$12+1,1))</f>
        <v>329.79342219561465</v>
      </c>
      <c r="CE157" s="62">
        <f t="shared" si="148"/>
        <v>144.63206563329757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6.8212102632969618E-13</v>
      </c>
      <c r="CU157" s="18">
        <f>CT157*VLOOKUP('Données projet'!$B$13,Paramètres!$A$1:$I$89,3,0)*VLOOKUP('Données projet'!$B$13,Paramètres!$A$1:$I$89,5,0)</f>
        <v>4.0790837374515837E-13</v>
      </c>
      <c r="CV157" s="14">
        <f t="shared" si="173"/>
        <v>5.2028966193600884E-12</v>
      </c>
      <c r="CW157" s="22">
        <f t="shared" si="174"/>
        <v>9.7721520296583044E-12</v>
      </c>
      <c r="CX157" s="62">
        <f t="shared" si="122"/>
        <v>283.92242813946785</v>
      </c>
      <c r="CY157" s="62">
        <f ca="1">AVERAGE(OFFSET($CX$3,0,0,'Données projet'!$E$13+1,1))-AVERAGE(OFFSET($H$3,0,0,'Données projet'!$E$13+1,1))</f>
        <v>530.27599556821826</v>
      </c>
      <c r="CZ157" s="62">
        <f t="shared" si="150"/>
        <v>370.62231794492129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3.2620950740285623E-18</v>
      </c>
      <c r="DI157" s="24">
        <f t="shared" si="175"/>
        <v>3.2620950740285623E-18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1.2946657079737634E-13</v>
      </c>
      <c r="DQ157" s="14">
        <f t="shared" si="176"/>
        <v>1.8873591890224769E-12</v>
      </c>
      <c r="DR157" s="22">
        <f t="shared" si="177"/>
        <v>3.5126381983529106E-12</v>
      </c>
      <c r="DS157" s="62">
        <f t="shared" si="125"/>
        <v>283.9224281394616</v>
      </c>
      <c r="DT157" s="62">
        <f ca="1">AVERAGE(OFFSET($DS$3,0,0,'Données projet'!$E$14+1,1))-AVERAGE(OFFSET($H$3,0,0,'Données projet'!$E$14+1,1))</f>
        <v>520.23742527061836</v>
      </c>
      <c r="DU157" s="62">
        <f t="shared" si="152"/>
        <v>321.35925479331274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-1.1882548278663309E-13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435.44444011810265</v>
      </c>
      <c r="EP157" s="62">
        <f t="shared" si="154"/>
        <v>447.15868732689762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547.89540791313675</v>
      </c>
      <c r="FK157" s="62">
        <f t="shared" si="156"/>
        <v>345.19555189302378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>
        <f>FZ157*VLOOKUP('Données projet'!$B$17,Paramètres!$A$1:$I$89,3,0)*VLOOKUP('Données projet'!$B$17,Paramètres!$A$1:$I$89,5,0)</f>
        <v>0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409.68685886029164</v>
      </c>
      <c r="GF157" s="62">
        <f t="shared" si="158"/>
        <v>330.8416508650887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5.5798183142081872E-18</v>
      </c>
      <c r="GO157" s="23">
        <f t="shared" si="187"/>
        <v>5.5798183142081872E-18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73.098184695482075</v>
      </c>
      <c r="T158" s="62">
        <f t="shared" si="142"/>
        <v>334.38551711782793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4.6062627799088824</v>
      </c>
      <c r="AA158" s="23">
        <f>EXP(-LN(2)/25)*AA157+(1-EXP(-LN(2)/25))/(LN(2)/25)*Calculateur!V158*Calculateur!X158*VLOOKUP('Données projet'!$B$9,Paramètres!$A$1:$I$89,3,0)*0.475*44/12</f>
        <v>0.42945497931379273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5.0357177592226749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70.520400819593021</v>
      </c>
      <c r="AO158" s="62">
        <f t="shared" si="144"/>
        <v>321.48616153644309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4.3943181734713583</v>
      </c>
      <c r="AV158" s="23">
        <f>EXP(-LN(2)/25)*AV157+(1-EXP(-LN(2)/25))/(LN(2)/25)*Calculateur!AQ158*Calculateur!AS158*VLOOKUP('Données projet'!$B$10,Paramètres!$A$1:$I$89,3,0)*0.475*44/12</f>
        <v>0.40969478087910838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4.8040129543504664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1.5961632016114892E-13</v>
      </c>
      <c r="BF158" s="14">
        <f t="shared" si="167"/>
        <v>2.2708641912150958E-12</v>
      </c>
      <c r="BG158" s="22">
        <f t="shared" si="168"/>
        <v>4.2330868906469593E-12</v>
      </c>
      <c r="BH158" s="62">
        <f t="shared" si="116"/>
        <v>284.08568630494398</v>
      </c>
      <c r="BI158" s="62">
        <f ca="1">AVERAGE(OFFSET($BH$3,0,0,'Données projet'!$E$11+1,1))-AVERAGE(OFFSET($H$3,0,0,'Données projet'!$E$11+1,1))</f>
        <v>374.62597460242665</v>
      </c>
      <c r="BJ158" s="62">
        <f t="shared" si="146"/>
        <v>277.50105097454616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2.3333333333333335</v>
      </c>
      <c r="BY158" s="13">
        <f>IF('Données projet'!$A$114&gt;35,BY157+BX158-CG157,IF(A158&lt;'Données projet'!$A$114,$BV$205^A158,IF(A158='Données projet'!$A$114,'Données projet'!$B$114,BY157+BX158-CG157)))</f>
        <v>191.6666666666664</v>
      </c>
      <c r="BZ158" s="14">
        <f>BY158*VLOOKUP('Données projet'!$B$12,Paramètres!$A$1:$I$89,3,0)*VLOOKUP('Données projet'!$B$12,Paramètres!$A$1:$I$89,5,0)</f>
        <v>89.699999999999875</v>
      </c>
      <c r="CA158" s="14">
        <f t="shared" si="170"/>
        <v>24.492858164013278</v>
      </c>
      <c r="CB158" s="22">
        <f t="shared" si="171"/>
        <v>198.88589463565623</v>
      </c>
      <c r="CC158" s="62">
        <f t="shared" si="119"/>
        <v>482.97158094059603</v>
      </c>
      <c r="CD158" s="62">
        <f ca="1">AVERAGE(OFFSET($CC$3,0,0,'Données projet'!$E$12+1,1))-AVERAGE(OFFSET($H$3,0,0,'Données projet'!$E$12+1,1))</f>
        <v>329.79342219561465</v>
      </c>
      <c r="CE158" s="62">
        <f t="shared" si="148"/>
        <v>144.63206563329757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6.8212102632969618E-13</v>
      </c>
      <c r="CU158" s="18">
        <f>CT158*VLOOKUP('Données projet'!$B$13,Paramètres!$A$1:$I$89,3,0)*VLOOKUP('Données projet'!$B$13,Paramètres!$A$1:$I$89,5,0)</f>
        <v>4.0790837374515837E-13</v>
      </c>
      <c r="CV158" s="14">
        <f t="shared" si="173"/>
        <v>5.2028966193600884E-12</v>
      </c>
      <c r="CW158" s="22">
        <f t="shared" si="174"/>
        <v>9.7721520296583044E-12</v>
      </c>
      <c r="CX158" s="62">
        <f t="shared" si="122"/>
        <v>284.08568630494955</v>
      </c>
      <c r="CY158" s="62">
        <f ca="1">AVERAGE(OFFSET($CX$3,0,0,'Données projet'!$E$13+1,1))-AVERAGE(OFFSET($H$3,0,0,'Données projet'!$E$13+1,1))</f>
        <v>530.27599556821826</v>
      </c>
      <c r="CZ158" s="62">
        <f t="shared" si="150"/>
        <v>370.62231794492129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2.3066495477208291E-18</v>
      </c>
      <c r="DI158" s="24">
        <f t="shared" si="175"/>
        <v>2.3066495477208291E-18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1.2946657079737634E-13</v>
      </c>
      <c r="DQ158" s="14">
        <f t="shared" si="176"/>
        <v>1.8873591890224769E-12</v>
      </c>
      <c r="DR158" s="22">
        <f t="shared" si="177"/>
        <v>3.5126381983529106E-12</v>
      </c>
      <c r="DS158" s="62">
        <f t="shared" si="125"/>
        <v>284.08568630494329</v>
      </c>
      <c r="DT158" s="62">
        <f ca="1">AVERAGE(OFFSET($DS$3,0,0,'Données projet'!$E$14+1,1))-AVERAGE(OFFSET($H$3,0,0,'Données projet'!$E$14+1,1))</f>
        <v>520.23742527061836</v>
      </c>
      <c r="DU158" s="62">
        <f t="shared" si="152"/>
        <v>321.35925479331274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-1.1882548278663309E-13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435.44444011810265</v>
      </c>
      <c r="EP158" s="62">
        <f t="shared" si="154"/>
        <v>447.15868732689762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547.89540791313675</v>
      </c>
      <c r="FK158" s="62">
        <f t="shared" si="156"/>
        <v>345.19555189302378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>
        <f>FZ158*VLOOKUP('Données projet'!$B$17,Paramètres!$A$1:$I$89,3,0)*VLOOKUP('Données projet'!$B$17,Paramètres!$A$1:$I$89,5,0)</f>
        <v>0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409.68685886029164</v>
      </c>
      <c r="GF158" s="62">
        <f t="shared" si="158"/>
        <v>330.8416508650887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3.945527367765499E-18</v>
      </c>
      <c r="GO158" s="23">
        <f t="shared" si="187"/>
        <v>3.945527367765499E-18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73.098184695482075</v>
      </c>
      <c r="T159" s="62">
        <f t="shared" si="142"/>
        <v>334.38551711782793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4.515936776337746</v>
      </c>
      <c r="AA159" s="23">
        <f>EXP(-LN(2)/25)*AA158+(1-EXP(-LN(2)/25))/(LN(2)/25)*Calculateur!V159*Calculateur!X159*VLOOKUP('Données projet'!$B$9,Paramètres!$A$1:$I$89,3,0)*0.475*44/12</f>
        <v>0.41771151032040121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4.9336482866581477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70.520400819593021</v>
      </c>
      <c r="AO159" s="62">
        <f t="shared" si="144"/>
        <v>321.48616153644309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4.3081482743590165</v>
      </c>
      <c r="AV159" s="23">
        <f>EXP(-LN(2)/25)*AV158+(1-EXP(-LN(2)/25))/(LN(2)/25)*Calculateur!AQ159*Calculateur!AS159*VLOOKUP('Données projet'!$B$10,Paramètres!$A$1:$I$89,3,0)*0.475*44/12</f>
        <v>0.39849165555105698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4.7066399299100734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1.5961632016114892E-13</v>
      </c>
      <c r="BF159" s="14">
        <f t="shared" si="167"/>
        <v>2.2708641912150958E-12</v>
      </c>
      <c r="BG159" s="22">
        <f t="shared" si="168"/>
        <v>4.2330868906469593E-12</v>
      </c>
      <c r="BH159" s="62">
        <f t="shared" si="116"/>
        <v>284.24611230624515</v>
      </c>
      <c r="BI159" s="62">
        <f ca="1">AVERAGE(OFFSET($BH$3,0,0,'Données projet'!$E$11+1,1))-AVERAGE(OFFSET($H$3,0,0,'Données projet'!$E$11+1,1))</f>
        <v>374.62597460242665</v>
      </c>
      <c r="BJ159" s="62">
        <f t="shared" si="146"/>
        <v>277.50105097454616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2.3333333333333335</v>
      </c>
      <c r="BY159" s="13">
        <f>IF('Données projet'!$A$114&gt;35,BY158+BX159-CG158,IF(A159&lt;'Données projet'!$A$114,$BV$205^A159,IF(A159='Données projet'!$A$114,'Données projet'!$B$114,BY158+BX159-CG158)))</f>
        <v>193.99999999999974</v>
      </c>
      <c r="BZ159" s="14">
        <f>BY159*VLOOKUP('Données projet'!$B$12,Paramètres!$A$1:$I$89,3,0)*VLOOKUP('Données projet'!$B$12,Paramètres!$A$1:$I$89,5,0)</f>
        <v>90.791999999999874</v>
      </c>
      <c r="CA159" s="14">
        <f t="shared" si="170"/>
        <v>24.756138813110152</v>
      </c>
      <c r="CB159" s="22">
        <f t="shared" si="171"/>
        <v>201.24634176616664</v>
      </c>
      <c r="CC159" s="62">
        <f t="shared" si="119"/>
        <v>485.49245407240755</v>
      </c>
      <c r="CD159" s="62">
        <f ca="1">AVERAGE(OFFSET($CC$3,0,0,'Données projet'!$E$12+1,1))-AVERAGE(OFFSET($H$3,0,0,'Données projet'!$E$12+1,1))</f>
        <v>329.79342219561465</v>
      </c>
      <c r="CE159" s="62">
        <f t="shared" si="148"/>
        <v>144.63206563329757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6.8212102632969618E-13</v>
      </c>
      <c r="CU159" s="18">
        <f>CT159*VLOOKUP('Données projet'!$B$13,Paramètres!$A$1:$I$89,3,0)*VLOOKUP('Données projet'!$B$13,Paramètres!$A$1:$I$89,5,0)</f>
        <v>4.0790837374515837E-13</v>
      </c>
      <c r="CV159" s="14">
        <f t="shared" si="173"/>
        <v>5.2028966193600884E-12</v>
      </c>
      <c r="CW159" s="22">
        <f t="shared" si="174"/>
        <v>9.7721520296583044E-12</v>
      </c>
      <c r="CX159" s="62">
        <f t="shared" si="122"/>
        <v>284.24611230625072</v>
      </c>
      <c r="CY159" s="62">
        <f ca="1">AVERAGE(OFFSET($CX$3,0,0,'Données projet'!$E$13+1,1))-AVERAGE(OFFSET($H$3,0,0,'Données projet'!$E$13+1,1))</f>
        <v>530.27599556821826</v>
      </c>
      <c r="CZ159" s="62">
        <f t="shared" si="150"/>
        <v>370.62231794492129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1.6310475370142811E-18</v>
      </c>
      <c r="DI159" s="24">
        <f t="shared" si="175"/>
        <v>1.6310475370142811E-18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1.2946657079737634E-13</v>
      </c>
      <c r="DQ159" s="14">
        <f t="shared" si="176"/>
        <v>1.8873591890224769E-12</v>
      </c>
      <c r="DR159" s="22">
        <f t="shared" si="177"/>
        <v>3.5126381983529106E-12</v>
      </c>
      <c r="DS159" s="62">
        <f t="shared" si="125"/>
        <v>284.24611230624447</v>
      </c>
      <c r="DT159" s="62">
        <f ca="1">AVERAGE(OFFSET($DS$3,0,0,'Données projet'!$E$14+1,1))-AVERAGE(OFFSET($H$3,0,0,'Données projet'!$E$14+1,1))</f>
        <v>520.23742527061836</v>
      </c>
      <c r="DU159" s="62">
        <f t="shared" si="152"/>
        <v>321.35925479331274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-1.1882548278663309E-13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435.44444011810265</v>
      </c>
      <c r="EP159" s="62">
        <f t="shared" si="154"/>
        <v>447.15868732689762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547.89540791313675</v>
      </c>
      <c r="FK159" s="62">
        <f t="shared" si="156"/>
        <v>345.19555189302378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>
        <f>FZ159*VLOOKUP('Données projet'!$B$17,Paramètres!$A$1:$I$89,3,0)*VLOOKUP('Données projet'!$B$17,Paramètres!$A$1:$I$89,5,0)</f>
        <v>0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409.68685886029164</v>
      </c>
      <c r="GF159" s="62">
        <f t="shared" si="158"/>
        <v>330.8416508650887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2.7899091571040936E-18</v>
      </c>
      <c r="GO159" s="23">
        <f t="shared" si="187"/>
        <v>2.7899091571040936E-18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73.098184695482075</v>
      </c>
      <c r="T160" s="62">
        <f t="shared" si="142"/>
        <v>334.38551711782793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4.4273820106032167</v>
      </c>
      <c r="AA160" s="23">
        <f>EXP(-LN(2)/25)*AA159+(1-EXP(-LN(2)/25))/(LN(2)/25)*Calculateur!V160*Calculateur!X160*VLOOKUP('Données projet'!$B$9,Paramètres!$A$1:$I$89,3,0)*0.475*44/12</f>
        <v>0.40628916710419621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4.8336711777074131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70.520400819593021</v>
      </c>
      <c r="AO160" s="62">
        <f t="shared" si="144"/>
        <v>321.48616153644309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4.2236681144098185</v>
      </c>
      <c r="AV160" s="23">
        <f>EXP(-LN(2)/25)*AV159+(1-EXP(-LN(2)/25))/(LN(2)/25)*Calculateur!AQ160*Calculateur!AS160*VLOOKUP('Données projet'!$B$10,Paramètres!$A$1:$I$89,3,0)*0.475*44/12</f>
        <v>0.38759488027424793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4.6112629946840666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1.5961632016114892E-13</v>
      </c>
      <c r="BF160" s="14">
        <f t="shared" si="167"/>
        <v>2.2708641912150958E-12</v>
      </c>
      <c r="BG160" s="22">
        <f t="shared" si="168"/>
        <v>4.2330868906469593E-12</v>
      </c>
      <c r="BH160" s="62">
        <f t="shared" si="116"/>
        <v>284.40375527508246</v>
      </c>
      <c r="BI160" s="62">
        <f ca="1">AVERAGE(OFFSET($BH$3,0,0,'Données projet'!$E$11+1,1))-AVERAGE(OFFSET($H$3,0,0,'Données projet'!$E$11+1,1))</f>
        <v>374.62597460242665</v>
      </c>
      <c r="BJ160" s="62">
        <f t="shared" si="146"/>
        <v>277.50105097454616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2.3333333333333335</v>
      </c>
      <c r="BY160" s="13">
        <f>IF('Données projet'!$A$114&gt;35,BY159+BX160-CG159,IF(A160&lt;'Données projet'!$A$114,$BV$205^A160,IF(A160='Données projet'!$A$114,'Données projet'!$B$114,BY159+BX160-CG159)))</f>
        <v>196.33333333333309</v>
      </c>
      <c r="BZ160" s="14">
        <f>BY160*VLOOKUP('Données projet'!$B$12,Paramètres!$A$1:$I$89,3,0)*VLOOKUP('Données projet'!$B$12,Paramètres!$A$1:$I$89,5,0)</f>
        <v>91.883999999999887</v>
      </c>
      <c r="CA160" s="14">
        <f t="shared" si="170"/>
        <v>25.019051117801521</v>
      </c>
      <c r="CB160" s="22">
        <f t="shared" si="171"/>
        <v>203.60614736350411</v>
      </c>
      <c r="CC160" s="62">
        <f t="shared" si="119"/>
        <v>488.00990263858239</v>
      </c>
      <c r="CD160" s="62">
        <f ca="1">AVERAGE(OFFSET($CC$3,0,0,'Données projet'!$E$12+1,1))-AVERAGE(OFFSET($H$3,0,0,'Données projet'!$E$12+1,1))</f>
        <v>329.79342219561465</v>
      </c>
      <c r="CE160" s="62">
        <f t="shared" si="148"/>
        <v>144.63206563329757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6.8212102632969618E-13</v>
      </c>
      <c r="CU160" s="18">
        <f>CT160*VLOOKUP('Données projet'!$B$13,Paramètres!$A$1:$I$89,3,0)*VLOOKUP('Données projet'!$B$13,Paramètres!$A$1:$I$89,5,0)</f>
        <v>4.0790837374515837E-13</v>
      </c>
      <c r="CV160" s="14">
        <f t="shared" si="173"/>
        <v>5.2028966193600884E-12</v>
      </c>
      <c r="CW160" s="22">
        <f t="shared" si="174"/>
        <v>9.7721520296583044E-12</v>
      </c>
      <c r="CX160" s="62">
        <f t="shared" si="122"/>
        <v>284.40375527508803</v>
      </c>
      <c r="CY160" s="62">
        <f ca="1">AVERAGE(OFFSET($CX$3,0,0,'Données projet'!$E$13+1,1))-AVERAGE(OFFSET($H$3,0,0,'Données projet'!$E$13+1,1))</f>
        <v>530.27599556821826</v>
      </c>
      <c r="CZ160" s="62">
        <f t="shared" si="150"/>
        <v>370.62231794492129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1.1533247738604146E-18</v>
      </c>
      <c r="DI160" s="24">
        <f t="shared" si="175"/>
        <v>1.1533247738604146E-18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1.2946657079737634E-13</v>
      </c>
      <c r="DQ160" s="14">
        <f t="shared" si="176"/>
        <v>1.8873591890224769E-12</v>
      </c>
      <c r="DR160" s="22">
        <f t="shared" si="177"/>
        <v>3.5126381983529106E-12</v>
      </c>
      <c r="DS160" s="62">
        <f t="shared" si="125"/>
        <v>284.40375527508178</v>
      </c>
      <c r="DT160" s="62">
        <f ca="1">AVERAGE(OFFSET($DS$3,0,0,'Données projet'!$E$14+1,1))-AVERAGE(OFFSET($H$3,0,0,'Données projet'!$E$14+1,1))</f>
        <v>520.23742527061836</v>
      </c>
      <c r="DU160" s="62">
        <f t="shared" si="152"/>
        <v>321.35925479331274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-1.1882548278663309E-13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435.44444011810265</v>
      </c>
      <c r="EP160" s="62">
        <f t="shared" si="154"/>
        <v>447.15868732689762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547.89540791313675</v>
      </c>
      <c r="FK160" s="62">
        <f t="shared" si="156"/>
        <v>345.19555189302378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>
        <f>FZ160*VLOOKUP('Données projet'!$B$17,Paramètres!$A$1:$I$89,3,0)*VLOOKUP('Données projet'!$B$17,Paramètres!$A$1:$I$89,5,0)</f>
        <v>0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409.68685886029164</v>
      </c>
      <c r="GF160" s="62">
        <f t="shared" si="158"/>
        <v>330.8416508650887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1.9727636838827495E-18</v>
      </c>
      <c r="GO160" s="23">
        <f t="shared" si="187"/>
        <v>1.9727636838827495E-18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73.098184695482075</v>
      </c>
      <c r="T161" s="62">
        <f t="shared" si="142"/>
        <v>334.38551711782793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4.3405637498116683</v>
      </c>
      <c r="AA161" s="23">
        <f>EXP(-LN(2)/25)*AA160+(1-EXP(-LN(2)/25))/(LN(2)/25)*Calculateur!V161*Calculateur!X161*VLOOKUP('Données projet'!$B$9,Paramètres!$A$1:$I$89,3,0)*0.475*44/12</f>
        <v>0.39517916846391327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4.7357429182755819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70.520400819593021</v>
      </c>
      <c r="AO161" s="62">
        <f t="shared" si="144"/>
        <v>321.48616153644309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4.1408445588694152</v>
      </c>
      <c r="AV161" s="23">
        <f>EXP(-LN(2)/25)*AV160+(1-EXP(-LN(2)/25))/(LN(2)/25)*Calculateur!AQ161*Calculateur!AS161*VLOOKUP('Données projet'!$B$10,Paramètres!$A$1:$I$89,3,0)*0.475*44/12</f>
        <v>0.37699607789041972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4.5178406367598347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1.5961632016114892E-13</v>
      </c>
      <c r="BF161" s="14">
        <f t="shared" si="167"/>
        <v>2.2708641912150958E-12</v>
      </c>
      <c r="BG161" s="22">
        <f t="shared" si="168"/>
        <v>4.2330868906469593E-12</v>
      </c>
      <c r="BH161" s="62">
        <f t="shared" si="116"/>
        <v>284.55866349084744</v>
      </c>
      <c r="BI161" s="62">
        <f ca="1">AVERAGE(OFFSET($BH$3,0,0,'Données projet'!$E$11+1,1))-AVERAGE(OFFSET($H$3,0,0,'Données projet'!$E$11+1,1))</f>
        <v>374.62597460242665</v>
      </c>
      <c r="BJ161" s="62">
        <f t="shared" si="146"/>
        <v>277.50105097454616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2.3333333333333335</v>
      </c>
      <c r="BY161" s="13">
        <f>IF('Données projet'!$A$114&gt;35,BY160+BX161-CG160,IF(A161&lt;'Données projet'!$A$114,$BV$205^A161,IF(A161='Données projet'!$A$114,'Données projet'!$B$114,BY160+BX161-CG160)))</f>
        <v>198.66666666666643</v>
      </c>
      <c r="BZ161" s="14">
        <f>BY161*VLOOKUP('Données projet'!$B$12,Paramètres!$A$1:$I$89,3,0)*VLOOKUP('Données projet'!$B$12,Paramètres!$A$1:$I$89,5,0)</f>
        <v>92.975999999999885</v>
      </c>
      <c r="CA161" s="14">
        <f t="shared" si="170"/>
        <v>25.281599962100838</v>
      </c>
      <c r="CB161" s="22">
        <f t="shared" si="171"/>
        <v>205.96531993399208</v>
      </c>
      <c r="CC161" s="62">
        <f t="shared" si="119"/>
        <v>490.52398342483531</v>
      </c>
      <c r="CD161" s="62">
        <f ca="1">AVERAGE(OFFSET($CC$3,0,0,'Données projet'!$E$12+1,1))-AVERAGE(OFFSET($H$3,0,0,'Données projet'!$E$12+1,1))</f>
        <v>329.79342219561465</v>
      </c>
      <c r="CE161" s="62">
        <f t="shared" si="148"/>
        <v>144.63206563329757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6.8212102632969618E-13</v>
      </c>
      <c r="CU161" s="18">
        <f>CT161*VLOOKUP('Données projet'!$B$13,Paramètres!$A$1:$I$89,3,0)*VLOOKUP('Données projet'!$B$13,Paramètres!$A$1:$I$89,5,0)</f>
        <v>4.0790837374515837E-13</v>
      </c>
      <c r="CV161" s="14">
        <f t="shared" si="173"/>
        <v>5.2028966193600884E-12</v>
      </c>
      <c r="CW161" s="22">
        <f t="shared" si="174"/>
        <v>9.7721520296583044E-12</v>
      </c>
      <c r="CX161" s="62">
        <f t="shared" si="122"/>
        <v>284.55866349085301</v>
      </c>
      <c r="CY161" s="62">
        <f ca="1">AVERAGE(OFFSET($CX$3,0,0,'Données projet'!$E$13+1,1))-AVERAGE(OFFSET($H$3,0,0,'Données projet'!$E$13+1,1))</f>
        <v>530.27599556821826</v>
      </c>
      <c r="CZ161" s="62">
        <f t="shared" si="150"/>
        <v>370.62231794492129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8.1552376850714057E-19</v>
      </c>
      <c r="DI161" s="24">
        <f t="shared" si="175"/>
        <v>8.1552376850714057E-19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1.2946657079737634E-13</v>
      </c>
      <c r="DQ161" s="14">
        <f t="shared" si="176"/>
        <v>1.8873591890224769E-12</v>
      </c>
      <c r="DR161" s="22">
        <f t="shared" si="177"/>
        <v>3.5126381983529106E-12</v>
      </c>
      <c r="DS161" s="62">
        <f t="shared" si="125"/>
        <v>284.55866349084675</v>
      </c>
      <c r="DT161" s="62">
        <f ca="1">AVERAGE(OFFSET($DS$3,0,0,'Données projet'!$E$14+1,1))-AVERAGE(OFFSET($H$3,0,0,'Données projet'!$E$14+1,1))</f>
        <v>520.23742527061836</v>
      </c>
      <c r="DU161" s="62">
        <f t="shared" si="152"/>
        <v>321.35925479331274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-1.1882548278663309E-13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435.44444011810265</v>
      </c>
      <c r="EP161" s="62">
        <f t="shared" si="154"/>
        <v>447.15868732689762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547.89540791313675</v>
      </c>
      <c r="FK161" s="62">
        <f t="shared" si="156"/>
        <v>345.19555189302378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>
        <f>FZ161*VLOOKUP('Données projet'!$B$17,Paramètres!$A$1:$I$89,3,0)*VLOOKUP('Données projet'!$B$17,Paramètres!$A$1:$I$89,5,0)</f>
        <v>0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409.68685886029164</v>
      </c>
      <c r="GF161" s="62">
        <f t="shared" si="158"/>
        <v>330.8416508650887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1.3949545785520468E-18</v>
      </c>
      <c r="GO161" s="23">
        <f t="shared" si="187"/>
        <v>1.3949545785520468E-18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73.098184695482075</v>
      </c>
      <c r="T162" s="62">
        <f t="shared" si="142"/>
        <v>334.38551711782793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4.2554479421603313</v>
      </c>
      <c r="AA162" s="23">
        <f>EXP(-LN(2)/25)*AA161+(1-EXP(-LN(2)/25))/(LN(2)/25)*Calculateur!V162*Calculateur!X162*VLOOKUP('Données projet'!$B$9,Paramètres!$A$1:$I$89,3,0)*0.475*44/12</f>
        <v>0.38437297332069831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4.6398209154810299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70.520400819593021</v>
      </c>
      <c r="AO162" s="62">
        <f t="shared" si="144"/>
        <v>321.48616153644309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4.0596451227357777</v>
      </c>
      <c r="AV162" s="23">
        <f>EXP(-LN(2)/25)*AV161+(1-EXP(-LN(2)/25))/(LN(2)/25)*Calculateur!AQ162*Calculateur!AS162*VLOOKUP('Données projet'!$B$10,Paramètres!$A$1:$I$89,3,0)*0.475*44/12</f>
        <v>0.36668710031514412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4.4263322230509221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1.5961632016114892E-13</v>
      </c>
      <c r="BF162" s="14">
        <f t="shared" si="167"/>
        <v>2.2708641912150958E-12</v>
      </c>
      <c r="BG162" s="22">
        <f t="shared" si="168"/>
        <v>4.2330868906469593E-12</v>
      </c>
      <c r="BH162" s="62">
        <f t="shared" si="116"/>
        <v>284.71088439539182</v>
      </c>
      <c r="BI162" s="62">
        <f ca="1">AVERAGE(OFFSET($BH$3,0,0,'Données projet'!$E$11+1,1))-AVERAGE(OFFSET($H$3,0,0,'Données projet'!$E$11+1,1))</f>
        <v>374.62597460242665</v>
      </c>
      <c r="BJ162" s="62">
        <f t="shared" si="146"/>
        <v>277.50105097454616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2.3333333333333335</v>
      </c>
      <c r="BY162" s="13">
        <f>IF('Données projet'!$A$114&gt;35,BY161+BX162-CG161,IF(A162&lt;'Données projet'!$A$114,$BV$205^A162,IF(A162='Données projet'!$A$114,'Données projet'!$B$114,BY161+BX162-CG161)))</f>
        <v>200.99999999999977</v>
      </c>
      <c r="BZ162" s="14">
        <f>BY162*VLOOKUP('Données projet'!$B$12,Paramètres!$A$1:$I$89,3,0)*VLOOKUP('Données projet'!$B$12,Paramètres!$A$1:$I$89,5,0)</f>
        <v>94.067999999999898</v>
      </c>
      <c r="CA162" s="14">
        <f t="shared" si="170"/>
        <v>25.543790108694004</v>
      </c>
      <c r="CB162" s="22">
        <f t="shared" si="171"/>
        <v>208.32386777264188</v>
      </c>
      <c r="CC162" s="62">
        <f t="shared" si="119"/>
        <v>493.03475216802951</v>
      </c>
      <c r="CD162" s="62">
        <f ca="1">AVERAGE(OFFSET($CC$3,0,0,'Données projet'!$E$12+1,1))-AVERAGE(OFFSET($H$3,0,0,'Données projet'!$E$12+1,1))</f>
        <v>329.79342219561465</v>
      </c>
      <c r="CE162" s="62">
        <f t="shared" si="148"/>
        <v>144.63206563329757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6.8212102632969618E-13</v>
      </c>
      <c r="CU162" s="18">
        <f>CT162*VLOOKUP('Données projet'!$B$13,Paramètres!$A$1:$I$89,3,0)*VLOOKUP('Données projet'!$B$13,Paramètres!$A$1:$I$89,5,0)</f>
        <v>4.0790837374515837E-13</v>
      </c>
      <c r="CV162" s="14">
        <f t="shared" si="173"/>
        <v>5.2028966193600884E-12</v>
      </c>
      <c r="CW162" s="22">
        <f t="shared" si="174"/>
        <v>9.7721520296583044E-12</v>
      </c>
      <c r="CX162" s="62">
        <f t="shared" si="122"/>
        <v>284.71088439539739</v>
      </c>
      <c r="CY162" s="62">
        <f ca="1">AVERAGE(OFFSET($CX$3,0,0,'Données projet'!$E$13+1,1))-AVERAGE(OFFSET($H$3,0,0,'Données projet'!$E$13+1,1))</f>
        <v>530.27599556821826</v>
      </c>
      <c r="CZ162" s="62">
        <f t="shared" si="150"/>
        <v>370.62231794492129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5.7666238693020728E-19</v>
      </c>
      <c r="DI162" s="24">
        <f t="shared" si="175"/>
        <v>5.7666238693020728E-19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1.2946657079737634E-13</v>
      </c>
      <c r="DQ162" s="14">
        <f t="shared" si="176"/>
        <v>1.8873591890224769E-12</v>
      </c>
      <c r="DR162" s="22">
        <f t="shared" si="177"/>
        <v>3.5126381983529106E-12</v>
      </c>
      <c r="DS162" s="62">
        <f t="shared" si="125"/>
        <v>284.71088439539113</v>
      </c>
      <c r="DT162" s="62">
        <f ca="1">AVERAGE(OFFSET($DS$3,0,0,'Données projet'!$E$14+1,1))-AVERAGE(OFFSET($H$3,0,0,'Données projet'!$E$14+1,1))</f>
        <v>520.23742527061836</v>
      </c>
      <c r="DU162" s="62">
        <f t="shared" si="152"/>
        <v>321.35925479331274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-1.1882548278663309E-13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435.44444011810265</v>
      </c>
      <c r="EP162" s="62">
        <f t="shared" si="154"/>
        <v>447.15868732689762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547.89540791313675</v>
      </c>
      <c r="FK162" s="62">
        <f t="shared" si="156"/>
        <v>345.19555189302378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>
        <f>FZ162*VLOOKUP('Données projet'!$B$17,Paramètres!$A$1:$I$89,3,0)*VLOOKUP('Données projet'!$B$17,Paramètres!$A$1:$I$89,5,0)</f>
        <v>0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409.68685886029164</v>
      </c>
      <c r="GF162" s="62">
        <f t="shared" si="158"/>
        <v>330.8416508650887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9.8638184194137475E-19</v>
      </c>
      <c r="GO162" s="23">
        <f t="shared" si="187"/>
        <v>9.8638184194137475E-19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73.098184695482075</v>
      </c>
      <c r="T163" s="62">
        <f t="shared" si="142"/>
        <v>334.38551711782793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4.1720012035815213</v>
      </c>
      <c r="AA163" s="23">
        <f>EXP(-LN(2)/25)*AA162+(1-EXP(-LN(2)/25))/(LN(2)/25)*Calculateur!V163*Calculateur!X163*VLOOKUP('Données projet'!$B$9,Paramètres!$A$1:$I$89,3,0)*0.475*44/12</f>
        <v>0.37386227415194762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4.5458634777334685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70.520400819593021</v>
      </c>
      <c r="AO163" s="62">
        <f t="shared" si="144"/>
        <v>321.48616153644309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3.9800379580179555</v>
      </c>
      <c r="AV163" s="23">
        <f>EXP(-LN(2)/25)*AV162+(1-EXP(-LN(2)/25))/(LN(2)/25)*Calculateur!AQ163*Calculateur!AS163*VLOOKUP('Données projet'!$B$10,Paramètres!$A$1:$I$89,3,0)*0.475*44/12</f>
        <v>0.35666002227378996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4.3366979802917456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1.5961632016114892E-13</v>
      </c>
      <c r="BF163" s="14">
        <f t="shared" si="167"/>
        <v>2.2708641912150958E-12</v>
      </c>
      <c r="BG163" s="22">
        <f t="shared" si="168"/>
        <v>4.2330868906469593E-12</v>
      </c>
      <c r="BH163" s="62">
        <f t="shared" si="116"/>
        <v>284.86046460755716</v>
      </c>
      <c r="BI163" s="62">
        <f ca="1">AVERAGE(OFFSET($BH$3,0,0,'Données projet'!$E$11+1,1))-AVERAGE(OFFSET($H$3,0,0,'Données projet'!$E$11+1,1))</f>
        <v>374.62597460242665</v>
      </c>
      <c r="BJ163" s="62">
        <f t="shared" si="146"/>
        <v>277.50105097454616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2.3333333333333335</v>
      </c>
      <c r="BY163" s="13">
        <f>IF('Données projet'!$A$114&gt;35,BY162+BX163-CG162,IF(A163&lt;'Données projet'!$A$114,$BV$205^A163,IF(A163='Données projet'!$A$114,'Données projet'!$B$114,BY162+BX163-CG162)))</f>
        <v>203.33333333333312</v>
      </c>
      <c r="BZ163" s="14">
        <f>BY163*VLOOKUP('Données projet'!$B$12,Paramètres!$A$1:$I$89,3,0)*VLOOKUP('Données projet'!$B$12,Paramètres!$A$1:$I$89,5,0)</f>
        <v>95.159999999999897</v>
      </c>
      <c r="CA163" s="14">
        <f t="shared" si="170"/>
        <v>25.805626203326149</v>
      </c>
      <c r="CB163" s="22">
        <f t="shared" si="171"/>
        <v>210.68179897079287</v>
      </c>
      <c r="CC163" s="62">
        <f t="shared" si="119"/>
        <v>495.5422635783458</v>
      </c>
      <c r="CD163" s="62">
        <f ca="1">AVERAGE(OFFSET($CC$3,0,0,'Données projet'!$E$12+1,1))-AVERAGE(OFFSET($H$3,0,0,'Données projet'!$E$12+1,1))</f>
        <v>329.79342219561465</v>
      </c>
      <c r="CE163" s="62">
        <f t="shared" si="148"/>
        <v>144.63206563329757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6.8212102632969618E-13</v>
      </c>
      <c r="CU163" s="18">
        <f>CT163*VLOOKUP('Données projet'!$B$13,Paramètres!$A$1:$I$89,3,0)*VLOOKUP('Données projet'!$B$13,Paramètres!$A$1:$I$89,5,0)</f>
        <v>4.0790837374515837E-13</v>
      </c>
      <c r="CV163" s="14">
        <f t="shared" si="173"/>
        <v>5.2028966193600884E-12</v>
      </c>
      <c r="CW163" s="22">
        <f t="shared" si="174"/>
        <v>9.7721520296583044E-12</v>
      </c>
      <c r="CX163" s="62">
        <f t="shared" si="122"/>
        <v>284.86046460756273</v>
      </c>
      <c r="CY163" s="62">
        <f ca="1">AVERAGE(OFFSET($CX$3,0,0,'Données projet'!$E$13+1,1))-AVERAGE(OFFSET($H$3,0,0,'Données projet'!$E$13+1,1))</f>
        <v>530.27599556821826</v>
      </c>
      <c r="CZ163" s="62">
        <f t="shared" si="150"/>
        <v>370.62231794492129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4.0776188425357029E-19</v>
      </c>
      <c r="DI163" s="24">
        <f t="shared" si="175"/>
        <v>4.0776188425357029E-19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1.2946657079737634E-13</v>
      </c>
      <c r="DQ163" s="14">
        <f t="shared" si="176"/>
        <v>1.8873591890224769E-12</v>
      </c>
      <c r="DR163" s="22">
        <f t="shared" si="177"/>
        <v>3.5126381983529106E-12</v>
      </c>
      <c r="DS163" s="62">
        <f t="shared" si="125"/>
        <v>284.86046460755648</v>
      </c>
      <c r="DT163" s="62">
        <f ca="1">AVERAGE(OFFSET($DS$3,0,0,'Données projet'!$E$14+1,1))-AVERAGE(OFFSET($H$3,0,0,'Données projet'!$E$14+1,1))</f>
        <v>520.23742527061836</v>
      </c>
      <c r="DU163" s="62">
        <f t="shared" si="152"/>
        <v>321.35925479331274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-1.1882548278663309E-13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435.44444011810265</v>
      </c>
      <c r="EP163" s="62">
        <f t="shared" si="154"/>
        <v>447.15868732689762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547.89540791313675</v>
      </c>
      <c r="FK163" s="62">
        <f t="shared" si="156"/>
        <v>345.19555189302378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>
        <f>FZ163*VLOOKUP('Données projet'!$B$17,Paramètres!$A$1:$I$89,3,0)*VLOOKUP('Données projet'!$B$17,Paramètres!$A$1:$I$89,5,0)</f>
        <v>0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409.68685886029164</v>
      </c>
      <c r="GF163" s="62">
        <f t="shared" si="158"/>
        <v>330.8416508650887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6.974772892760234E-19</v>
      </c>
      <c r="GO163" s="23">
        <f t="shared" si="187"/>
        <v>6.974772892760234E-19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73.098184695482075</v>
      </c>
      <c r="T164" s="62">
        <f t="shared" si="142"/>
        <v>334.38551711782793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4.0901908046487563</v>
      </c>
      <c r="AA164" s="23">
        <f>EXP(-LN(2)/25)*AA163+(1-EXP(-LN(2)/25))/(LN(2)/25)*Calculateur!V164*Calculateur!X164*VLOOKUP('Données projet'!$B$9,Paramètres!$A$1:$I$89,3,0)*0.475*44/12</f>
        <v>0.36363899060470006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4.4538297952534567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70.520400819593021</v>
      </c>
      <c r="AO164" s="62">
        <f t="shared" si="144"/>
        <v>321.48616153644309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3.9019918412446737</v>
      </c>
      <c r="AV164" s="23">
        <f>EXP(-LN(2)/25)*AV163+(1-EXP(-LN(2)/25))/(LN(2)/25)*Calculateur!AQ164*Calculateur!AS164*VLOOKUP('Données projet'!$B$10,Paramètres!$A$1:$I$89,3,0)*0.475*44/12</f>
        <v>0.34690713520877775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4.248898976453451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1.5961632016114892E-13</v>
      </c>
      <c r="BF164" s="14">
        <f t="shared" si="167"/>
        <v>2.2708641912150958E-12</v>
      </c>
      <c r="BG164" s="22">
        <f t="shared" si="168"/>
        <v>4.2330868906469593E-12</v>
      </c>
      <c r="BH164" s="62">
        <f t="shared" si="116"/>
        <v>285.0074499374528</v>
      </c>
      <c r="BI164" s="62">
        <f ca="1">AVERAGE(OFFSET($BH$3,0,0,'Données projet'!$E$11+1,1))-AVERAGE(OFFSET($H$3,0,0,'Données projet'!$E$11+1,1))</f>
        <v>374.62597460242665</v>
      </c>
      <c r="BJ164" s="62">
        <f t="shared" si="146"/>
        <v>277.50105097454616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2.3333333333333335</v>
      </c>
      <c r="BY164" s="13">
        <f>IF('Données projet'!$A$114&gt;35,BY163+BX164-CG163,IF(A164&lt;'Données projet'!$A$114,$BV$205^A164,IF(A164='Données projet'!$A$114,'Données projet'!$B$114,BY163+BX164-CG163)))</f>
        <v>205.66666666666646</v>
      </c>
      <c r="BZ164" s="14">
        <f>BY164*VLOOKUP('Données projet'!$B$12,Paramètres!$A$1:$I$89,3,0)*VLOOKUP('Données projet'!$B$12,Paramètres!$A$1:$I$89,5,0)</f>
        <v>96.251999999999896</v>
      </c>
      <c r="CA164" s="14">
        <f t="shared" si="170"/>
        <v>26.067112778981212</v>
      </c>
      <c r="CB164" s="22">
        <f t="shared" si="171"/>
        <v>213.03912142339209</v>
      </c>
      <c r="CC164" s="62">
        <f t="shared" si="119"/>
        <v>498.04657136084069</v>
      </c>
      <c r="CD164" s="62">
        <f ca="1">AVERAGE(OFFSET($CC$3,0,0,'Données projet'!$E$12+1,1))-AVERAGE(OFFSET($H$3,0,0,'Données projet'!$E$12+1,1))</f>
        <v>329.79342219561465</v>
      </c>
      <c r="CE164" s="62">
        <f t="shared" si="148"/>
        <v>144.63206563329757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6.8212102632969618E-13</v>
      </c>
      <c r="CU164" s="18">
        <f>CT164*VLOOKUP('Données projet'!$B$13,Paramètres!$A$1:$I$89,3,0)*VLOOKUP('Données projet'!$B$13,Paramètres!$A$1:$I$89,5,0)</f>
        <v>4.0790837374515837E-13</v>
      </c>
      <c r="CV164" s="14">
        <f t="shared" si="173"/>
        <v>5.2028966193600884E-12</v>
      </c>
      <c r="CW164" s="22">
        <f t="shared" si="174"/>
        <v>9.7721520296583044E-12</v>
      </c>
      <c r="CX164" s="62">
        <f t="shared" si="122"/>
        <v>285.00744993745838</v>
      </c>
      <c r="CY164" s="62">
        <f ca="1">AVERAGE(OFFSET($CX$3,0,0,'Données projet'!$E$13+1,1))-AVERAGE(OFFSET($H$3,0,0,'Données projet'!$E$13+1,1))</f>
        <v>530.27599556821826</v>
      </c>
      <c r="CZ164" s="62">
        <f t="shared" si="150"/>
        <v>370.62231794492129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2.8833119346510364E-19</v>
      </c>
      <c r="DI164" s="24">
        <f t="shared" si="175"/>
        <v>2.8833119346510364E-19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1.2946657079737634E-13</v>
      </c>
      <c r="DQ164" s="14">
        <f t="shared" si="176"/>
        <v>1.8873591890224769E-12</v>
      </c>
      <c r="DR164" s="22">
        <f t="shared" si="177"/>
        <v>3.5126381983529106E-12</v>
      </c>
      <c r="DS164" s="62">
        <f t="shared" si="125"/>
        <v>285.00744993745212</v>
      </c>
      <c r="DT164" s="62">
        <f ca="1">AVERAGE(OFFSET($DS$3,0,0,'Données projet'!$E$14+1,1))-AVERAGE(OFFSET($H$3,0,0,'Données projet'!$E$14+1,1))</f>
        <v>520.23742527061836</v>
      </c>
      <c r="DU164" s="62">
        <f t="shared" si="152"/>
        <v>321.35925479331274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-1.1882548278663309E-13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435.44444011810265</v>
      </c>
      <c r="EP164" s="62">
        <f t="shared" si="154"/>
        <v>447.15868732689762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547.89540791313675</v>
      </c>
      <c r="FK164" s="62">
        <f t="shared" si="156"/>
        <v>345.19555189302378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>
        <f>FZ164*VLOOKUP('Données projet'!$B$17,Paramètres!$A$1:$I$89,3,0)*VLOOKUP('Données projet'!$B$17,Paramètres!$A$1:$I$89,5,0)</f>
        <v>0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409.68685886029164</v>
      </c>
      <c r="GF164" s="62">
        <f t="shared" si="158"/>
        <v>330.8416508650887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4.9319092097068738E-19</v>
      </c>
      <c r="GO164" s="23">
        <f t="shared" si="187"/>
        <v>4.9319092097068738E-19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73.098184695482075</v>
      </c>
      <c r="T165" s="62">
        <f t="shared" si="142"/>
        <v>334.38551711782793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4.009984657739647</v>
      </c>
      <c r="AA165" s="23">
        <f>EXP(-LN(2)/25)*AA164+(1-EXP(-LN(2)/25))/(LN(2)/25)*Calculateur!V165*Calculateur!X165*VLOOKUP('Données projet'!$B$9,Paramètres!$A$1:$I$89,3,0)*0.475*44/12</f>
        <v>0.35369526328367112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4.3636799210233184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70.520400819593021</v>
      </c>
      <c r="AO165" s="62">
        <f t="shared" si="144"/>
        <v>321.48616153644309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3.8254761612178854</v>
      </c>
      <c r="AV165" s="23">
        <f>EXP(-LN(2)/25)*AV164+(1-EXP(-LN(2)/25))/(LN(2)/25)*Calculateur!AQ165*Calculateur!AS165*VLOOKUP('Données projet'!$B$10,Paramètres!$A$1:$I$89,3,0)*0.475*44/12</f>
        <v>0.33742094135344036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4.1628971025713257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1.5961632016114892E-13</v>
      </c>
      <c r="BF165" s="14">
        <f t="shared" si="167"/>
        <v>2.2708641912150958E-12</v>
      </c>
      <c r="BG165" s="22">
        <f t="shared" si="168"/>
        <v>4.2330868906469593E-12</v>
      </c>
      <c r="BH165" s="62">
        <f t="shared" si="116"/>
        <v>285.15188540048467</v>
      </c>
      <c r="BI165" s="62">
        <f ca="1">AVERAGE(OFFSET($BH$3,0,0,'Données projet'!$E$11+1,1))-AVERAGE(OFFSET($H$3,0,0,'Données projet'!$E$11+1,1))</f>
        <v>374.62597460242665</v>
      </c>
      <c r="BJ165" s="62">
        <f t="shared" si="146"/>
        <v>277.50105097454616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2.3333333333333335</v>
      </c>
      <c r="BY165" s="13">
        <f>IF('Données projet'!$A$114&gt;35,BY164+BX165-CG164,IF(A165&lt;'Données projet'!$A$114,$BV$205^A165,IF(A165='Données projet'!$A$114,'Données projet'!$B$114,BY164+BX165-CG164)))</f>
        <v>207.9999999999998</v>
      </c>
      <c r="BZ165" s="14">
        <f>BY165*VLOOKUP('Données projet'!$B$12,Paramètres!$A$1:$I$89,3,0)*VLOOKUP('Données projet'!$B$12,Paramètres!$A$1:$I$89,5,0)</f>
        <v>97.343999999999909</v>
      </c>
      <c r="CA165" s="14">
        <f t="shared" si="170"/>
        <v>26.328254259866426</v>
      </c>
      <c r="CB165" s="22">
        <f t="shared" si="171"/>
        <v>215.39584283593385</v>
      </c>
      <c r="CC165" s="62">
        <f t="shared" si="119"/>
        <v>500.54772823641429</v>
      </c>
      <c r="CD165" s="62">
        <f ca="1">AVERAGE(OFFSET($CC$3,0,0,'Données projet'!$E$12+1,1))-AVERAGE(OFFSET($H$3,0,0,'Données projet'!$E$12+1,1))</f>
        <v>329.79342219561465</v>
      </c>
      <c r="CE165" s="62">
        <f t="shared" si="148"/>
        <v>144.63206563329757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6.8212102632969618E-13</v>
      </c>
      <c r="CU165" s="18">
        <f>CT165*VLOOKUP('Données projet'!$B$13,Paramètres!$A$1:$I$89,3,0)*VLOOKUP('Données projet'!$B$13,Paramètres!$A$1:$I$89,5,0)</f>
        <v>4.0790837374515837E-13</v>
      </c>
      <c r="CV165" s="14">
        <f t="shared" si="173"/>
        <v>5.2028966193600884E-12</v>
      </c>
      <c r="CW165" s="22">
        <f t="shared" si="174"/>
        <v>9.7721520296583044E-12</v>
      </c>
      <c r="CX165" s="62">
        <f t="shared" si="122"/>
        <v>285.15188540049024</v>
      </c>
      <c r="CY165" s="62">
        <f ca="1">AVERAGE(OFFSET($CX$3,0,0,'Données projet'!$E$13+1,1))-AVERAGE(OFFSET($H$3,0,0,'Données projet'!$E$13+1,1))</f>
        <v>530.27599556821826</v>
      </c>
      <c r="CZ165" s="62">
        <f t="shared" si="150"/>
        <v>370.62231794492129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2.0388094212678514E-19</v>
      </c>
      <c r="DI165" s="24">
        <f t="shared" si="175"/>
        <v>2.0388094212678514E-19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1.2946657079737634E-13</v>
      </c>
      <c r="DQ165" s="14">
        <f t="shared" si="176"/>
        <v>1.8873591890224769E-12</v>
      </c>
      <c r="DR165" s="22">
        <f t="shared" si="177"/>
        <v>3.5126381983529106E-12</v>
      </c>
      <c r="DS165" s="62">
        <f t="shared" si="125"/>
        <v>285.15188540048399</v>
      </c>
      <c r="DT165" s="62">
        <f ca="1">AVERAGE(OFFSET($DS$3,0,0,'Données projet'!$E$14+1,1))-AVERAGE(OFFSET($H$3,0,0,'Données projet'!$E$14+1,1))</f>
        <v>520.23742527061836</v>
      </c>
      <c r="DU165" s="62">
        <f t="shared" si="152"/>
        <v>321.35925479331274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-1.1882548278663309E-13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435.44444011810265</v>
      </c>
      <c r="EP165" s="62">
        <f t="shared" si="154"/>
        <v>447.15868732689762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547.89540791313675</v>
      </c>
      <c r="FK165" s="62">
        <f t="shared" si="156"/>
        <v>345.19555189302378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>
        <f>FZ165*VLOOKUP('Données projet'!$B$17,Paramètres!$A$1:$I$89,3,0)*VLOOKUP('Données projet'!$B$17,Paramètres!$A$1:$I$89,5,0)</f>
        <v>0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409.68685886029164</v>
      </c>
      <c r="GF165" s="62">
        <f t="shared" si="158"/>
        <v>330.8416508650887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3.487386446380117E-19</v>
      </c>
      <c r="GO165" s="23">
        <f t="shared" si="187"/>
        <v>3.487386446380117E-19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73.098184695482075</v>
      </c>
      <c r="T166" s="62">
        <f t="shared" si="142"/>
        <v>334.38551711782793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3.931351304450506</v>
      </c>
      <c r="AA166" s="23">
        <f>EXP(-LN(2)/25)*AA165+(1-EXP(-LN(2)/25))/(LN(2)/25)*Calculateur!V166*Calculateur!X166*VLOOKUP('Données projet'!$B$9,Paramètres!$A$1:$I$89,3,0)*0.475*44/12</f>
        <v>0.34402344770915361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4.2753747521596592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70.520400819593021</v>
      </c>
      <c r="AO166" s="62">
        <f t="shared" si="144"/>
        <v>321.48616153644309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3.7504609070064658</v>
      </c>
      <c r="AV166" s="23">
        <f>EXP(-LN(2)/25)*AV165+(1-EXP(-LN(2)/25))/(LN(2)/25)*Calculateur!AQ166*Calculateur!AS166*VLOOKUP('Données projet'!$B$10,Paramètres!$A$1:$I$89,3,0)*0.475*44/12</f>
        <v>0.32819414796793439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4.0786550549744005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1.5961632016114892E-13</v>
      </c>
      <c r="BF166" s="14">
        <f t="shared" si="167"/>
        <v>2.2708641912150958E-12</v>
      </c>
      <c r="BG166" s="22">
        <f t="shared" si="168"/>
        <v>4.2330868906469593E-12</v>
      </c>
      <c r="BH166" s="62">
        <f t="shared" si="116"/>
        <v>285.29381523114228</v>
      </c>
      <c r="BI166" s="62">
        <f ca="1">AVERAGE(OFFSET($BH$3,0,0,'Données projet'!$E$11+1,1))-AVERAGE(OFFSET($H$3,0,0,'Données projet'!$E$11+1,1))</f>
        <v>374.62597460242665</v>
      </c>
      <c r="BJ166" s="62">
        <f t="shared" si="146"/>
        <v>277.50105097454616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2.3333333333333335</v>
      </c>
      <c r="BY166" s="13">
        <f>IF('Données projet'!$A$114&gt;35,BY165+BX166-CG165,IF(A166&lt;'Données projet'!$A$114,$BV$205^A166,IF(A166='Données projet'!$A$114,'Données projet'!$B$114,BY165+BX166-CG165)))</f>
        <v>210.33333333333314</v>
      </c>
      <c r="BZ166" s="14">
        <f>BY166*VLOOKUP('Données projet'!$B$12,Paramètres!$A$1:$I$89,3,0)*VLOOKUP('Données projet'!$B$12,Paramètres!$A$1:$I$89,5,0)</f>
        <v>98.435999999999908</v>
      </c>
      <c r="CA166" s="14">
        <f t="shared" si="170"/>
        <v>26.589054965213027</v>
      </c>
      <c r="CB166" s="22">
        <f t="shared" si="171"/>
        <v>217.75197073107915</v>
      </c>
      <c r="CC166" s="62">
        <f t="shared" si="119"/>
        <v>503.04578596221722</v>
      </c>
      <c r="CD166" s="62">
        <f ca="1">AVERAGE(OFFSET($CC$3,0,0,'Données projet'!$E$12+1,1))-AVERAGE(OFFSET($H$3,0,0,'Données projet'!$E$12+1,1))</f>
        <v>329.79342219561465</v>
      </c>
      <c r="CE166" s="62">
        <f t="shared" si="148"/>
        <v>144.63206563329757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6.8212102632969618E-13</v>
      </c>
      <c r="CU166" s="18">
        <f>CT166*VLOOKUP('Données projet'!$B$13,Paramètres!$A$1:$I$89,3,0)*VLOOKUP('Données projet'!$B$13,Paramètres!$A$1:$I$89,5,0)</f>
        <v>4.0790837374515837E-13</v>
      </c>
      <c r="CV166" s="14">
        <f t="shared" si="173"/>
        <v>5.2028966193600884E-12</v>
      </c>
      <c r="CW166" s="22">
        <f t="shared" si="174"/>
        <v>9.7721520296583044E-12</v>
      </c>
      <c r="CX166" s="62">
        <f t="shared" si="122"/>
        <v>285.29381523114785</v>
      </c>
      <c r="CY166" s="62">
        <f ca="1">AVERAGE(OFFSET($CX$3,0,0,'Données projet'!$E$13+1,1))-AVERAGE(OFFSET($H$3,0,0,'Données projet'!$E$13+1,1))</f>
        <v>530.27599556821826</v>
      </c>
      <c r="CZ166" s="62">
        <f t="shared" si="150"/>
        <v>370.62231794492129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1.4416559673255182E-19</v>
      </c>
      <c r="DI166" s="24">
        <f t="shared" si="175"/>
        <v>1.4416559673255182E-19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1.2946657079737634E-13</v>
      </c>
      <c r="DQ166" s="14">
        <f t="shared" si="176"/>
        <v>1.8873591890224769E-12</v>
      </c>
      <c r="DR166" s="22">
        <f t="shared" si="177"/>
        <v>3.5126381983529106E-12</v>
      </c>
      <c r="DS166" s="62">
        <f t="shared" si="125"/>
        <v>285.29381523114159</v>
      </c>
      <c r="DT166" s="62">
        <f ca="1">AVERAGE(OFFSET($DS$3,0,0,'Données projet'!$E$14+1,1))-AVERAGE(OFFSET($H$3,0,0,'Données projet'!$E$14+1,1))</f>
        <v>520.23742527061836</v>
      </c>
      <c r="DU166" s="62">
        <f t="shared" si="152"/>
        <v>321.35925479331274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-1.1882548278663309E-13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435.44444011810265</v>
      </c>
      <c r="EP166" s="62">
        <f t="shared" si="154"/>
        <v>447.15868732689762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547.89540791313675</v>
      </c>
      <c r="FK166" s="62">
        <f t="shared" si="156"/>
        <v>345.19555189302378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>
        <f>FZ166*VLOOKUP('Données projet'!$B$17,Paramètres!$A$1:$I$89,3,0)*VLOOKUP('Données projet'!$B$17,Paramètres!$A$1:$I$89,5,0)</f>
        <v>0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409.68685886029164</v>
      </c>
      <c r="GF166" s="62">
        <f t="shared" si="158"/>
        <v>330.8416508650887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2.4659546048534369E-19</v>
      </c>
      <c r="GO166" s="23">
        <f t="shared" si="187"/>
        <v>2.4659546048534369E-19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73.098184695482075</v>
      </c>
      <c r="T167" s="62">
        <f t="shared" si="142"/>
        <v>334.38551711782793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3.8542599032577556</v>
      </c>
      <c r="AA167" s="23">
        <f>EXP(-LN(2)/25)*AA166+(1-EXP(-LN(2)/25))/(LN(2)/25)*Calculateur!V167*Calculateur!X167*VLOOKUP('Données projet'!$B$9,Paramètres!$A$1:$I$89,3,0)*0.475*44/12</f>
        <v>0.33461610844013995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4.1888760116978956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70.520400819593021</v>
      </c>
      <c r="AO167" s="62">
        <f t="shared" si="144"/>
        <v>321.48616153644309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3.676916656175345</v>
      </c>
      <c r="AV167" s="23">
        <f>EXP(-LN(2)/25)*AV166+(1-EXP(-LN(2)/25))/(LN(2)/25)*Calculateur!AQ167*Calculateur!AS167*VLOOKUP('Données projet'!$B$10,Paramètres!$A$1:$I$89,3,0)*0.475*44/12</f>
        <v>0.31921966173277105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3.9961363179081162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1.5961632016114892E-13</v>
      </c>
      <c r="BF167" s="14">
        <f t="shared" si="167"/>
        <v>2.2708641912150958E-12</v>
      </c>
      <c r="BG167" s="22">
        <f t="shared" si="168"/>
        <v>4.2330868906469593E-12</v>
      </c>
      <c r="BH167" s="62">
        <f t="shared" si="116"/>
        <v>285.43328289654556</v>
      </c>
      <c r="BI167" s="62">
        <f ca="1">AVERAGE(OFFSET($BH$3,0,0,'Données projet'!$E$11+1,1))-AVERAGE(OFFSET($H$3,0,0,'Données projet'!$E$11+1,1))</f>
        <v>374.62597460242665</v>
      </c>
      <c r="BJ167" s="62">
        <f t="shared" si="146"/>
        <v>277.50105097454616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2.3333333333333335</v>
      </c>
      <c r="BY167" s="13">
        <f>IF('Données projet'!$A$114&gt;35,BY166+BX167-CG166,IF(A167&lt;'Données projet'!$A$114,$BV$205^A167,IF(A167='Données projet'!$A$114,'Données projet'!$B$114,BY166+BX167-CG166)))</f>
        <v>212.66666666666649</v>
      </c>
      <c r="BZ167" s="14">
        <f>BY167*VLOOKUP('Données projet'!$B$12,Paramètres!$A$1:$I$89,3,0)*VLOOKUP('Données projet'!$B$12,Paramètres!$A$1:$I$89,5,0)</f>
        <v>99.527999999999921</v>
      </c>
      <c r="CA167" s="14">
        <f t="shared" si="170"/>
        <v>26.849519112903298</v>
      </c>
      <c r="CB167" s="22">
        <f t="shared" si="171"/>
        <v>220.10751245497309</v>
      </c>
      <c r="CC167" s="62">
        <f t="shared" si="119"/>
        <v>505.54079535151448</v>
      </c>
      <c r="CD167" s="62">
        <f ca="1">AVERAGE(OFFSET($CC$3,0,0,'Données projet'!$E$12+1,1))-AVERAGE(OFFSET($H$3,0,0,'Données projet'!$E$12+1,1))</f>
        <v>329.79342219561465</v>
      </c>
      <c r="CE167" s="62">
        <f t="shared" si="148"/>
        <v>144.63206563329757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6.8212102632969618E-13</v>
      </c>
      <c r="CU167" s="18">
        <f>CT167*VLOOKUP('Données projet'!$B$13,Paramètres!$A$1:$I$89,3,0)*VLOOKUP('Données projet'!$B$13,Paramètres!$A$1:$I$89,5,0)</f>
        <v>4.0790837374515837E-13</v>
      </c>
      <c r="CV167" s="14">
        <f t="shared" si="173"/>
        <v>5.2028966193600884E-12</v>
      </c>
      <c r="CW167" s="22">
        <f t="shared" si="174"/>
        <v>9.7721520296583044E-12</v>
      </c>
      <c r="CX167" s="62">
        <f t="shared" si="122"/>
        <v>285.43328289655113</v>
      </c>
      <c r="CY167" s="62">
        <f ca="1">AVERAGE(OFFSET($CX$3,0,0,'Données projet'!$E$13+1,1))-AVERAGE(OFFSET($H$3,0,0,'Données projet'!$E$13+1,1))</f>
        <v>530.27599556821826</v>
      </c>
      <c r="CZ167" s="62">
        <f t="shared" si="150"/>
        <v>370.62231794492129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1.0194047106339257E-19</v>
      </c>
      <c r="DI167" s="24">
        <f t="shared" si="175"/>
        <v>1.0194047106339257E-19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1.2946657079737634E-13</v>
      </c>
      <c r="DQ167" s="14">
        <f t="shared" si="176"/>
        <v>1.8873591890224769E-12</v>
      </c>
      <c r="DR167" s="22">
        <f t="shared" si="177"/>
        <v>3.5126381983529106E-12</v>
      </c>
      <c r="DS167" s="62">
        <f t="shared" si="125"/>
        <v>285.43328289654488</v>
      </c>
      <c r="DT167" s="62">
        <f ca="1">AVERAGE(OFFSET($DS$3,0,0,'Données projet'!$E$14+1,1))-AVERAGE(OFFSET($H$3,0,0,'Données projet'!$E$14+1,1))</f>
        <v>520.23742527061836</v>
      </c>
      <c r="DU167" s="62">
        <f t="shared" si="152"/>
        <v>321.35925479331274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-1.1882548278663309E-13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435.44444011810265</v>
      </c>
      <c r="EP167" s="62">
        <f t="shared" si="154"/>
        <v>447.15868732689762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547.89540791313675</v>
      </c>
      <c r="FK167" s="62">
        <f t="shared" si="156"/>
        <v>345.19555189302378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>
        <f>FZ167*VLOOKUP('Données projet'!$B$17,Paramètres!$A$1:$I$89,3,0)*VLOOKUP('Données projet'!$B$17,Paramètres!$A$1:$I$89,5,0)</f>
        <v>0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409.68685886029164</v>
      </c>
      <c r="GF167" s="62">
        <f t="shared" si="158"/>
        <v>330.8416508650887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1.7436932231900585E-19</v>
      </c>
      <c r="GO167" s="23">
        <f t="shared" si="187"/>
        <v>1.7436932231900585E-19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73.098184695482075</v>
      </c>
      <c r="T168" s="62">
        <f t="shared" si="142"/>
        <v>334.38551711782793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3.7786802174212832</v>
      </c>
      <c r="AA168" s="23">
        <f>EXP(-LN(2)/25)*AA167+(1-EXP(-LN(2)/25))/(LN(2)/25)*Calculateur!V168*Calculateur!X168*VLOOKUP('Données projet'!$B$9,Paramètres!$A$1:$I$89,3,0)*0.475*44/12</f>
        <v>0.32546601335814795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4.1041462307794312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70.520400819593021</v>
      </c>
      <c r="AO168" s="62">
        <f t="shared" si="144"/>
        <v>321.48616153644309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3.6048145632454589</v>
      </c>
      <c r="AV168" s="23">
        <f>EXP(-LN(2)/25)*AV167+(1-EXP(-LN(2)/25))/(LN(2)/25)*Calculateur!AQ168*Calculateur!AS168*VLOOKUP('Données projet'!$B$10,Paramètres!$A$1:$I$89,3,0)*0.475*44/12</f>
        <v>0.31049058329565599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3.9153051465411148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1.5961632016114892E-13</v>
      </c>
      <c r="BF168" s="14">
        <f t="shared" si="167"/>
        <v>2.2708641912150958E-12</v>
      </c>
      <c r="BG168" s="22">
        <f t="shared" si="168"/>
        <v>4.2330868906469593E-12</v>
      </c>
      <c r="BH168" s="62">
        <f t="shared" si="116"/>
        <v>285.57033110975703</v>
      </c>
      <c r="BI168" s="62">
        <f ca="1">AVERAGE(OFFSET($BH$3,0,0,'Données projet'!$E$11+1,1))-AVERAGE(OFFSET($H$3,0,0,'Données projet'!$E$11+1,1))</f>
        <v>374.62597460242665</v>
      </c>
      <c r="BJ168" s="62">
        <f t="shared" si="146"/>
        <v>277.50105097454616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>
        <f>VLOOKUP(A168,'Données projet'!$A$113:$I$133,2,0)</f>
        <v>215</v>
      </c>
      <c r="BW168" s="13">
        <f>VLOOKUP(A168,'Données projet'!$A$113:$I$133,9,0)</f>
        <v>2.3333333333333335</v>
      </c>
      <c r="BX168" s="13">
        <f t="array" ref="BX168">INDEX(BW:BW,MIN(IF(ISNUMBER(BW168:BW364),ROW(BW168:BW364),"")))</f>
        <v>2.3333333333333335</v>
      </c>
      <c r="BY168" s="13">
        <f>IF('Données projet'!$A$114&gt;35,BY167+BX168-CG167,IF(A168&lt;'Données projet'!$A$114,$BV$205^A168,IF(A168='Données projet'!$A$114,'Données projet'!$B$114,BY167+BX168-CG167)))</f>
        <v>214.99999999999983</v>
      </c>
      <c r="BZ168" s="14">
        <f>BY168*VLOOKUP('Données projet'!$B$12,Paramètres!$A$1:$I$89,3,0)*VLOOKUP('Données projet'!$B$12,Paramètres!$A$1:$I$89,5,0)</f>
        <v>100.61999999999992</v>
      </c>
      <c r="CA168" s="14">
        <f t="shared" si="170"/>
        <v>27.109650822934128</v>
      </c>
      <c r="CB168" s="22">
        <f t="shared" si="171"/>
        <v>222.46247518327678</v>
      </c>
      <c r="CC168" s="62">
        <f t="shared" si="119"/>
        <v>508.03280629302958</v>
      </c>
      <c r="CD168" s="62">
        <f ca="1">AVERAGE(OFFSET($CC$3,0,0,'Données projet'!$E$12+1,1))-AVERAGE(OFFSET($H$3,0,0,'Données projet'!$E$12+1,1))</f>
        <v>329.79342219561465</v>
      </c>
      <c r="CE168" s="62">
        <f t="shared" si="148"/>
        <v>144.63206563329757</v>
      </c>
      <c r="CF168" s="16">
        <f>IF(ISNA(VLOOKUP(A168,'Données projet'!$A$113:$I$133,3,0)),0,VLOOKUP(A168,'Données projet'!$A$113:$I$133,3,0))</f>
        <v>19</v>
      </c>
      <c r="CG168" s="16">
        <f>IF(ISNA(VLOOKUP(A168,'Données projet'!$A$113:$I$133,4,0)),0,VLOOKUP(A168,'Données projet'!$A$113:$I$133,4,0))</f>
        <v>215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6.8212102632969618E-13</v>
      </c>
      <c r="CU168" s="18">
        <f>CT168*VLOOKUP('Données projet'!$B$13,Paramètres!$A$1:$I$89,3,0)*VLOOKUP('Données projet'!$B$13,Paramètres!$A$1:$I$89,5,0)</f>
        <v>4.0790837374515837E-13</v>
      </c>
      <c r="CV168" s="14">
        <f t="shared" si="173"/>
        <v>5.2028966193600884E-12</v>
      </c>
      <c r="CW168" s="22">
        <f t="shared" si="174"/>
        <v>9.7721520296583044E-12</v>
      </c>
      <c r="CX168" s="62">
        <f t="shared" si="122"/>
        <v>285.57033110976261</v>
      </c>
      <c r="CY168" s="62">
        <f ca="1">AVERAGE(OFFSET($CX$3,0,0,'Données projet'!$E$13+1,1))-AVERAGE(OFFSET($H$3,0,0,'Données projet'!$E$13+1,1))</f>
        <v>530.27599556821826</v>
      </c>
      <c r="CZ168" s="62">
        <f t="shared" si="150"/>
        <v>370.62231794492129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7.208279836627591E-20</v>
      </c>
      <c r="DI168" s="24">
        <f t="shared" si="175"/>
        <v>7.208279836627591E-20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1.2946657079737634E-13</v>
      </c>
      <c r="DQ168" s="14">
        <f t="shared" si="176"/>
        <v>1.8873591890224769E-12</v>
      </c>
      <c r="DR168" s="22">
        <f t="shared" si="177"/>
        <v>3.5126381983529106E-12</v>
      </c>
      <c r="DS168" s="62">
        <f t="shared" si="125"/>
        <v>285.57033110975635</v>
      </c>
      <c r="DT168" s="62">
        <f ca="1">AVERAGE(OFFSET($DS$3,0,0,'Données projet'!$E$14+1,1))-AVERAGE(OFFSET($H$3,0,0,'Données projet'!$E$14+1,1))</f>
        <v>520.23742527061836</v>
      </c>
      <c r="DU168" s="62">
        <f t="shared" si="152"/>
        <v>321.35925479331274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-1.1882548278663309E-13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435.44444011810265</v>
      </c>
      <c r="EP168" s="62">
        <f t="shared" si="154"/>
        <v>447.15868732689762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547.89540791313675</v>
      </c>
      <c r="FK168" s="62">
        <f t="shared" si="156"/>
        <v>345.19555189302378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>
        <f>FZ168*VLOOKUP('Données projet'!$B$17,Paramètres!$A$1:$I$89,3,0)*VLOOKUP('Données projet'!$B$17,Paramètres!$A$1:$I$89,5,0)</f>
        <v>0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409.68685886029164</v>
      </c>
      <c r="GF168" s="62">
        <f t="shared" si="158"/>
        <v>330.8416508650887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1.2329773024267184E-19</v>
      </c>
      <c r="GO168" s="23">
        <f t="shared" si="187"/>
        <v>1.2329773024267184E-19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73.098184695482075</v>
      </c>
      <c r="T169" s="62">
        <f t="shared" si="142"/>
        <v>334.38551711782793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3.7045826031250075</v>
      </c>
      <c r="AA169" s="23">
        <f>EXP(-LN(2)/25)*AA168+(1-EXP(-LN(2)/25))/(LN(2)/25)*Calculateur!V169*Calculateur!X169*VLOOKUP('Données projet'!$B$9,Paramètres!$A$1:$I$89,3,0)*0.475*44/12</f>
        <v>0.31656612810735563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4.0211487312323628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70.520400819593021</v>
      </c>
      <c r="AO169" s="62">
        <f t="shared" si="144"/>
        <v>321.48616153644309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3.5341263483799934</v>
      </c>
      <c r="AV169" s="23">
        <f>EXP(-LN(2)/25)*AV168+(1-EXP(-LN(2)/25))/(LN(2)/25)*Calculateur!AQ169*Calculateur!AS169*VLOOKUP('Données projet'!$B$10,Paramètres!$A$1:$I$89,3,0)*0.475*44/12</f>
        <v>0.30200020196744615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3.8361265503474398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1.5961632016114892E-13</v>
      </c>
      <c r="BF169" s="14">
        <f t="shared" si="167"/>
        <v>2.2708641912150958E-12</v>
      </c>
      <c r="BG169" s="22">
        <f t="shared" si="168"/>
        <v>4.2330868906469593E-12</v>
      </c>
      <c r="BH169" s="62">
        <f t="shared" si="116"/>
        <v>285.70500184286323</v>
      </c>
      <c r="BI169" s="62">
        <f ca="1">AVERAGE(OFFSET($BH$3,0,0,'Données projet'!$E$11+1,1))-AVERAGE(OFFSET($H$3,0,0,'Données projet'!$E$11+1,1))</f>
        <v>374.62597460242665</v>
      </c>
      <c r="BJ169" s="62">
        <f t="shared" si="146"/>
        <v>277.50105097454616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-1.7053025658242404E-13</v>
      </c>
      <c r="BZ169" s="14">
        <f>BY169*VLOOKUP('Données projet'!$B$12,Paramètres!$A$1:$I$89,3,0)*VLOOKUP('Données projet'!$B$12,Paramètres!$A$1:$I$89,5,0)</f>
        <v>-7.9808160080574461E-14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329.79342219561465</v>
      </c>
      <c r="CE169" s="62">
        <f t="shared" si="148"/>
        <v>144.63206563329757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6.8212102632969618E-13</v>
      </c>
      <c r="CU169" s="18">
        <f>CT169*VLOOKUP('Données projet'!$B$13,Paramètres!$A$1:$I$89,3,0)*VLOOKUP('Données projet'!$B$13,Paramètres!$A$1:$I$89,5,0)</f>
        <v>4.0790837374515837E-13</v>
      </c>
      <c r="CV169" s="14">
        <f t="shared" si="173"/>
        <v>5.2028966193600884E-12</v>
      </c>
      <c r="CW169" s="22">
        <f t="shared" si="174"/>
        <v>9.7721520296583044E-12</v>
      </c>
      <c r="CX169" s="62">
        <f t="shared" si="122"/>
        <v>285.7050018428688</v>
      </c>
      <c r="CY169" s="62">
        <f ca="1">AVERAGE(OFFSET($CX$3,0,0,'Données projet'!$E$13+1,1))-AVERAGE(OFFSET($H$3,0,0,'Données projet'!$E$13+1,1))</f>
        <v>530.27599556821826</v>
      </c>
      <c r="CZ169" s="62">
        <f t="shared" si="150"/>
        <v>370.62231794492129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5.0970235531696286E-20</v>
      </c>
      <c r="DI169" s="24">
        <f t="shared" si="175"/>
        <v>5.0970235531696286E-20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1.2946657079737634E-13</v>
      </c>
      <c r="DQ169" s="14">
        <f t="shared" si="176"/>
        <v>1.8873591890224769E-12</v>
      </c>
      <c r="DR169" s="22">
        <f t="shared" si="177"/>
        <v>3.5126381983529106E-12</v>
      </c>
      <c r="DS169" s="62">
        <f t="shared" si="125"/>
        <v>285.70500184286254</v>
      </c>
      <c r="DT169" s="62">
        <f ca="1">AVERAGE(OFFSET($DS$3,0,0,'Données projet'!$E$14+1,1))-AVERAGE(OFFSET($H$3,0,0,'Données projet'!$E$14+1,1))</f>
        <v>520.23742527061836</v>
      </c>
      <c r="DU169" s="62">
        <f t="shared" si="152"/>
        <v>321.35925479331274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-1.1882548278663309E-13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435.44444011810265</v>
      </c>
      <c r="EP169" s="62">
        <f t="shared" si="154"/>
        <v>447.15868732689762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547.89540791313675</v>
      </c>
      <c r="FK169" s="62">
        <f t="shared" si="156"/>
        <v>345.19555189302378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>
        <f>FZ169*VLOOKUP('Données projet'!$B$17,Paramètres!$A$1:$I$89,3,0)*VLOOKUP('Données projet'!$B$17,Paramètres!$A$1:$I$89,5,0)</f>
        <v>0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409.68685886029164</v>
      </c>
      <c r="GF169" s="62">
        <f t="shared" si="158"/>
        <v>330.8416508650887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8.7184661159502925E-20</v>
      </c>
      <c r="GO169" s="23">
        <f t="shared" si="187"/>
        <v>8.7184661159502925E-20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73.098184695482075</v>
      </c>
      <c r="T170" s="62">
        <f t="shared" si="142"/>
        <v>334.38551711782793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3.6319379978499997</v>
      </c>
      <c r="AA170" s="23">
        <f>EXP(-LN(2)/25)*AA169+(1-EXP(-LN(2)/25))/(LN(2)/25)*Calculateur!V170*Calculateur!X170*VLOOKUP('Données projet'!$B$9,Paramètres!$A$1:$I$89,3,0)*0.475*44/12</f>
        <v>0.30790961068677081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3.9398476085367706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70.520400819593021</v>
      </c>
      <c r="AO170" s="62">
        <f t="shared" si="144"/>
        <v>321.48616153644309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3.4648242862924858</v>
      </c>
      <c r="AV170" s="23">
        <f>EXP(-LN(2)/25)*AV169+(1-EXP(-LN(2)/25))/(LN(2)/25)*Calculateur!AQ170*Calculateur!AS170*VLOOKUP('Données projet'!$B$10,Paramètres!$A$1:$I$89,3,0)*0.475*44/12</f>
        <v>0.29374199056314593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3.7585662768556318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1.5961632016114892E-13</v>
      </c>
      <c r="BF170" s="14">
        <f t="shared" si="167"/>
        <v>2.2708641912150958E-12</v>
      </c>
      <c r="BG170" s="22">
        <f t="shared" si="168"/>
        <v>4.2330868906469593E-12</v>
      </c>
      <c r="BH170" s="62">
        <f t="shared" si="116"/>
        <v>285.83733633982871</v>
      </c>
      <c r="BI170" s="62">
        <f ca="1">AVERAGE(OFFSET($BH$3,0,0,'Données projet'!$E$11+1,1))-AVERAGE(OFFSET($H$3,0,0,'Données projet'!$E$11+1,1))</f>
        <v>374.62597460242665</v>
      </c>
      <c r="BJ170" s="62">
        <f t="shared" si="146"/>
        <v>277.50105097454616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-1.7053025658242404E-13</v>
      </c>
      <c r="BZ170" s="14">
        <f>BY170*VLOOKUP('Données projet'!$B$12,Paramètres!$A$1:$I$89,3,0)*VLOOKUP('Données projet'!$B$12,Paramètres!$A$1:$I$89,5,0)</f>
        <v>-7.9808160080574461E-14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329.79342219561465</v>
      </c>
      <c r="CE170" s="62">
        <f t="shared" si="148"/>
        <v>144.63206563329757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6.8212102632969618E-13</v>
      </c>
      <c r="CU170" s="18">
        <f>CT170*VLOOKUP('Données projet'!$B$13,Paramètres!$A$1:$I$89,3,0)*VLOOKUP('Données projet'!$B$13,Paramètres!$A$1:$I$89,5,0)</f>
        <v>4.0790837374515837E-13</v>
      </c>
      <c r="CV170" s="14">
        <f t="shared" si="173"/>
        <v>5.2028966193600884E-12</v>
      </c>
      <c r="CW170" s="22">
        <f t="shared" si="174"/>
        <v>9.7721520296583044E-12</v>
      </c>
      <c r="CX170" s="62">
        <f t="shared" si="122"/>
        <v>285.83733633983428</v>
      </c>
      <c r="CY170" s="62">
        <f ca="1">AVERAGE(OFFSET($CX$3,0,0,'Données projet'!$E$13+1,1))-AVERAGE(OFFSET($H$3,0,0,'Données projet'!$E$13+1,1))</f>
        <v>530.27599556821826</v>
      </c>
      <c r="CZ170" s="62">
        <f t="shared" si="150"/>
        <v>370.62231794492129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3.6041399183137955E-20</v>
      </c>
      <c r="DI170" s="24">
        <f t="shared" si="175"/>
        <v>3.6041399183137955E-20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1.2946657079737634E-13</v>
      </c>
      <c r="DQ170" s="14">
        <f t="shared" si="176"/>
        <v>1.8873591890224769E-12</v>
      </c>
      <c r="DR170" s="22">
        <f t="shared" si="177"/>
        <v>3.5126381983529106E-12</v>
      </c>
      <c r="DS170" s="62">
        <f t="shared" si="125"/>
        <v>285.83733633982803</v>
      </c>
      <c r="DT170" s="62">
        <f ca="1">AVERAGE(OFFSET($DS$3,0,0,'Données projet'!$E$14+1,1))-AVERAGE(OFFSET($H$3,0,0,'Données projet'!$E$14+1,1))</f>
        <v>520.23742527061836</v>
      </c>
      <c r="DU170" s="62">
        <f t="shared" si="152"/>
        <v>321.35925479331274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-1.1882548278663309E-13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435.44444011810265</v>
      </c>
      <c r="EP170" s="62">
        <f t="shared" si="154"/>
        <v>447.15868732689762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547.89540791313675</v>
      </c>
      <c r="FK170" s="62">
        <f t="shared" si="156"/>
        <v>345.19555189302378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>
        <f>FZ170*VLOOKUP('Données projet'!$B$17,Paramètres!$A$1:$I$89,3,0)*VLOOKUP('Données projet'!$B$17,Paramètres!$A$1:$I$89,5,0)</f>
        <v>0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409.68685886029164</v>
      </c>
      <c r="GF170" s="62">
        <f t="shared" si="158"/>
        <v>330.8416508650887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6.1648865121335922E-20</v>
      </c>
      <c r="GO170" s="23">
        <f t="shared" si="187"/>
        <v>6.1648865121335922E-20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73.098184695482075</v>
      </c>
      <c r="T171" s="62">
        <f t="shared" si="142"/>
        <v>334.38551711782793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3.5607179089756009</v>
      </c>
      <c r="AA171" s="23">
        <f>EXP(-LN(2)/25)*AA170+(1-EXP(-LN(2)/25))/(LN(2)/25)*Calculateur!V171*Calculateur!X171*VLOOKUP('Données projet'!$B$9,Paramètres!$A$1:$I$89,3,0)*0.475*44/12</f>
        <v>0.29948980619027837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3.8602077151658793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70.520400819593021</v>
      </c>
      <c r="AO171" s="62">
        <f t="shared" si="144"/>
        <v>321.48616153644309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3.3968811953724303</v>
      </c>
      <c r="AV171" s="23">
        <f>EXP(-LN(2)/25)*AV170+(1-EXP(-LN(2)/25))/(LN(2)/25)*Calculateur!AQ171*Calculateur!AS171*VLOOKUP('Données projet'!$B$10,Paramètres!$A$1:$I$89,3,0)*0.475*44/12</f>
        <v>0.28570960038397675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3.6825907957564068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1.5961632016114892E-13</v>
      </c>
      <c r="BF171" s="14">
        <f t="shared" si="167"/>
        <v>2.2708641912150958E-12</v>
      </c>
      <c r="BG171" s="22">
        <f t="shared" si="168"/>
        <v>4.2330868906469593E-12</v>
      </c>
      <c r="BH171" s="62">
        <f t="shared" si="116"/>
        <v>285.96737512912739</v>
      </c>
      <c r="BI171" s="62">
        <f ca="1">AVERAGE(OFFSET($BH$3,0,0,'Données projet'!$E$11+1,1))-AVERAGE(OFFSET($H$3,0,0,'Données projet'!$E$11+1,1))</f>
        <v>374.62597460242665</v>
      </c>
      <c r="BJ171" s="62">
        <f t="shared" si="146"/>
        <v>277.50105097454616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-1.7053025658242404E-13</v>
      </c>
      <c r="BZ171" s="14">
        <f>BY171*VLOOKUP('Données projet'!$B$12,Paramètres!$A$1:$I$89,3,0)*VLOOKUP('Données projet'!$B$12,Paramètres!$A$1:$I$89,5,0)</f>
        <v>-7.9808160080574461E-14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329.79342219561465</v>
      </c>
      <c r="CE171" s="62">
        <f t="shared" si="148"/>
        <v>144.63206563329757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6.8212102632969618E-13</v>
      </c>
      <c r="CU171" s="18">
        <f>CT171*VLOOKUP('Données projet'!$B$13,Paramètres!$A$1:$I$89,3,0)*VLOOKUP('Données projet'!$B$13,Paramètres!$A$1:$I$89,5,0)</f>
        <v>4.0790837374515837E-13</v>
      </c>
      <c r="CV171" s="14">
        <f t="shared" si="173"/>
        <v>5.2028966193600884E-12</v>
      </c>
      <c r="CW171" s="22">
        <f t="shared" si="174"/>
        <v>9.7721520296583044E-12</v>
      </c>
      <c r="CX171" s="62">
        <f t="shared" si="122"/>
        <v>285.96737512913296</v>
      </c>
      <c r="CY171" s="62">
        <f ca="1">AVERAGE(OFFSET($CX$3,0,0,'Données projet'!$E$13+1,1))-AVERAGE(OFFSET($H$3,0,0,'Données projet'!$E$13+1,1))</f>
        <v>530.27599556821826</v>
      </c>
      <c r="CZ171" s="62">
        <f t="shared" si="150"/>
        <v>370.62231794492129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2.5485117765848143E-20</v>
      </c>
      <c r="DI171" s="24">
        <f t="shared" si="175"/>
        <v>2.5485117765848143E-20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1.2946657079737634E-13</v>
      </c>
      <c r="DQ171" s="14">
        <f t="shared" si="176"/>
        <v>1.8873591890224769E-12</v>
      </c>
      <c r="DR171" s="22">
        <f t="shared" si="177"/>
        <v>3.5126381983529106E-12</v>
      </c>
      <c r="DS171" s="62">
        <f t="shared" si="125"/>
        <v>285.96737512912671</v>
      </c>
      <c r="DT171" s="62">
        <f ca="1">AVERAGE(OFFSET($DS$3,0,0,'Données projet'!$E$14+1,1))-AVERAGE(OFFSET($H$3,0,0,'Données projet'!$E$14+1,1))</f>
        <v>520.23742527061836</v>
      </c>
      <c r="DU171" s="62">
        <f t="shared" si="152"/>
        <v>321.35925479331274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-1.1882548278663309E-13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435.44444011810265</v>
      </c>
      <c r="EP171" s="62">
        <f t="shared" si="154"/>
        <v>447.15868732689762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547.89540791313675</v>
      </c>
      <c r="FK171" s="62">
        <f t="shared" si="156"/>
        <v>345.19555189302378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>
        <f>FZ171*VLOOKUP('Données projet'!$B$17,Paramètres!$A$1:$I$89,3,0)*VLOOKUP('Données projet'!$B$17,Paramètres!$A$1:$I$89,5,0)</f>
        <v>0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409.68685886029164</v>
      </c>
      <c r="GF171" s="62">
        <f t="shared" si="158"/>
        <v>330.8416508650887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4.3592330579751462E-20</v>
      </c>
      <c r="GO171" s="23">
        <f t="shared" si="187"/>
        <v>4.3592330579751462E-20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73.098184695482075</v>
      </c>
      <c r="T172" s="62">
        <f t="shared" si="142"/>
        <v>334.38551711782793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3.4908944026040643</v>
      </c>
      <c r="AA172" s="23">
        <f>EXP(-LN(2)/25)*AA171+(1-EXP(-LN(2)/25))/(LN(2)/25)*Calculateur!V172*Calculateur!X172*VLOOKUP('Données projet'!$B$9,Paramètres!$A$1:$I$89,3,0)*0.475*44/12</f>
        <v>0.29130024169052082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3.7821946442945853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70.520400819593021</v>
      </c>
      <c r="AO172" s="62">
        <f t="shared" si="144"/>
        <v>321.48616153644309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3.3302704270241237</v>
      </c>
      <c r="AV172" s="23">
        <f>EXP(-LN(2)/25)*AV171+(1-EXP(-LN(2)/25))/(LN(2)/25)*Calculateur!AQ172*Calculateur!AS172*VLOOKUP('Données projet'!$B$10,Paramètres!$A$1:$I$89,3,0)*0.475*44/12</f>
        <v>0.277896856336662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3.6081672833607858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1.5961632016114892E-13</v>
      </c>
      <c r="BF172" s="14">
        <f t="shared" si="167"/>
        <v>2.2708641912150958E-12</v>
      </c>
      <c r="BG172" s="22">
        <f t="shared" si="168"/>
        <v>4.2330868906469593E-12</v>
      </c>
      <c r="BH172" s="62">
        <f t="shared" si="116"/>
        <v>286.09515803615494</v>
      </c>
      <c r="BI172" s="62">
        <f ca="1">AVERAGE(OFFSET($BH$3,0,0,'Données projet'!$E$11+1,1))-AVERAGE(OFFSET($H$3,0,0,'Données projet'!$E$11+1,1))</f>
        <v>374.62597460242665</v>
      </c>
      <c r="BJ172" s="62">
        <f t="shared" si="146"/>
        <v>277.50105097454616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-1.7053025658242404E-13</v>
      </c>
      <c r="BZ172" s="14">
        <f>BY172*VLOOKUP('Données projet'!$B$12,Paramètres!$A$1:$I$89,3,0)*VLOOKUP('Données projet'!$B$12,Paramètres!$A$1:$I$89,5,0)</f>
        <v>-7.9808160080574461E-14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329.79342219561465</v>
      </c>
      <c r="CE172" s="62">
        <f t="shared" si="148"/>
        <v>144.63206563329757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6.8212102632969618E-13</v>
      </c>
      <c r="CU172" s="18">
        <f>CT172*VLOOKUP('Données projet'!$B$13,Paramètres!$A$1:$I$89,3,0)*VLOOKUP('Données projet'!$B$13,Paramètres!$A$1:$I$89,5,0)</f>
        <v>4.0790837374515837E-13</v>
      </c>
      <c r="CV172" s="14">
        <f t="shared" si="173"/>
        <v>5.2028966193600884E-12</v>
      </c>
      <c r="CW172" s="22">
        <f t="shared" si="174"/>
        <v>9.7721520296583044E-12</v>
      </c>
      <c r="CX172" s="62">
        <f t="shared" si="122"/>
        <v>286.09515803616051</v>
      </c>
      <c r="CY172" s="62">
        <f ca="1">AVERAGE(OFFSET($CX$3,0,0,'Données projet'!$E$13+1,1))-AVERAGE(OFFSET($H$3,0,0,'Données projet'!$E$13+1,1))</f>
        <v>530.27599556821826</v>
      </c>
      <c r="CZ172" s="62">
        <f t="shared" si="150"/>
        <v>370.62231794492129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1.8020699591568977E-20</v>
      </c>
      <c r="DI172" s="24">
        <f t="shared" si="175"/>
        <v>1.8020699591568977E-20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1.2946657079737634E-13</v>
      </c>
      <c r="DQ172" s="14">
        <f t="shared" si="176"/>
        <v>1.8873591890224769E-12</v>
      </c>
      <c r="DR172" s="22">
        <f t="shared" si="177"/>
        <v>3.5126381983529106E-12</v>
      </c>
      <c r="DS172" s="62">
        <f t="shared" si="125"/>
        <v>286.09515803615426</v>
      </c>
      <c r="DT172" s="62">
        <f ca="1">AVERAGE(OFFSET($DS$3,0,0,'Données projet'!$E$14+1,1))-AVERAGE(OFFSET($H$3,0,0,'Données projet'!$E$14+1,1))</f>
        <v>520.23742527061836</v>
      </c>
      <c r="DU172" s="62">
        <f t="shared" si="152"/>
        <v>321.35925479331274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-1.1882548278663309E-13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435.44444011810265</v>
      </c>
      <c r="EP172" s="62">
        <f t="shared" si="154"/>
        <v>447.15868732689762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547.89540791313675</v>
      </c>
      <c r="FK172" s="62">
        <f t="shared" si="156"/>
        <v>345.19555189302378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>
        <f>FZ172*VLOOKUP('Données projet'!$B$17,Paramètres!$A$1:$I$89,3,0)*VLOOKUP('Données projet'!$B$17,Paramètres!$A$1:$I$89,5,0)</f>
        <v>0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409.68685886029164</v>
      </c>
      <c r="GF172" s="62">
        <f t="shared" si="158"/>
        <v>330.8416508650887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3.0824432560667961E-20</v>
      </c>
      <c r="GO172" s="23">
        <f t="shared" si="187"/>
        <v>3.0824432560667961E-20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73.098184695482075</v>
      </c>
      <c r="T173" s="62">
        <f t="shared" si="142"/>
        <v>334.38551711782793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3.4224400926043397</v>
      </c>
      <c r="AA173" s="23">
        <f>EXP(-LN(2)/25)*AA172+(1-EXP(-LN(2)/25))/(LN(2)/25)*Calculateur!V173*Calculateur!X173*VLOOKUP('Données projet'!$B$9,Paramètres!$A$1:$I$89,3,0)*0.475*44/12</f>
        <v>0.28333462126267961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3.7057747138670192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70.520400819593021</v>
      </c>
      <c r="AO173" s="62">
        <f t="shared" si="144"/>
        <v>321.48616153644309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3.2649658552145704</v>
      </c>
      <c r="AV173" s="23">
        <f>EXP(-LN(2)/25)*AV172+(1-EXP(-LN(2)/25))/(LN(2)/25)*Calculateur!AQ173*Calculateur!AS173*VLOOKUP('Données projet'!$B$10,Paramètres!$A$1:$I$89,3,0)*0.475*44/12</f>
        <v>0.27029775218617547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3.5352636074007457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1.5961632016114892E-13</v>
      </c>
      <c r="BF173" s="14">
        <f t="shared" si="167"/>
        <v>2.2708641912150958E-12</v>
      </c>
      <c r="BG173" s="22">
        <f t="shared" si="168"/>
        <v>4.2330868906469593E-12</v>
      </c>
      <c r="BH173" s="62">
        <f t="shared" si="116"/>
        <v>286.22072419542536</v>
      </c>
      <c r="BI173" s="62">
        <f ca="1">AVERAGE(OFFSET($BH$3,0,0,'Données projet'!$E$11+1,1))-AVERAGE(OFFSET($H$3,0,0,'Données projet'!$E$11+1,1))</f>
        <v>374.62597460242665</v>
      </c>
      <c r="BJ173" s="62">
        <f t="shared" si="146"/>
        <v>277.50105097454616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-1.7053025658242404E-13</v>
      </c>
      <c r="BZ173" s="14">
        <f>BY173*VLOOKUP('Données projet'!$B$12,Paramètres!$A$1:$I$89,3,0)*VLOOKUP('Données projet'!$B$12,Paramètres!$A$1:$I$89,5,0)</f>
        <v>-7.9808160080574461E-14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329.79342219561465</v>
      </c>
      <c r="CE173" s="62">
        <f t="shared" si="148"/>
        <v>144.63206563329757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6.8212102632969618E-13</v>
      </c>
      <c r="CU173" s="18">
        <f>CT173*VLOOKUP('Données projet'!$B$13,Paramètres!$A$1:$I$89,3,0)*VLOOKUP('Données projet'!$B$13,Paramètres!$A$1:$I$89,5,0)</f>
        <v>4.0790837374515837E-13</v>
      </c>
      <c r="CV173" s="14">
        <f t="shared" si="173"/>
        <v>5.2028966193600884E-12</v>
      </c>
      <c r="CW173" s="22">
        <f t="shared" si="174"/>
        <v>9.7721520296583044E-12</v>
      </c>
      <c r="CX173" s="62">
        <f t="shared" si="122"/>
        <v>286.22072419543093</v>
      </c>
      <c r="CY173" s="62">
        <f ca="1">AVERAGE(OFFSET($CX$3,0,0,'Données projet'!$E$13+1,1))-AVERAGE(OFFSET($H$3,0,0,'Données projet'!$E$13+1,1))</f>
        <v>530.27599556821826</v>
      </c>
      <c r="CZ173" s="62">
        <f t="shared" si="150"/>
        <v>370.62231794492129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1.2742558882924071E-20</v>
      </c>
      <c r="DI173" s="24">
        <f t="shared" si="175"/>
        <v>1.2742558882924071E-20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1.2946657079737634E-13</v>
      </c>
      <c r="DQ173" s="14">
        <f t="shared" si="176"/>
        <v>1.8873591890224769E-12</v>
      </c>
      <c r="DR173" s="22">
        <f t="shared" si="177"/>
        <v>3.5126381983529106E-12</v>
      </c>
      <c r="DS173" s="62">
        <f t="shared" si="125"/>
        <v>286.22072419542468</v>
      </c>
      <c r="DT173" s="62">
        <f ca="1">AVERAGE(OFFSET($DS$3,0,0,'Données projet'!$E$14+1,1))-AVERAGE(OFFSET($H$3,0,0,'Données projet'!$E$14+1,1))</f>
        <v>520.23742527061836</v>
      </c>
      <c r="DU173" s="62">
        <f t="shared" si="152"/>
        <v>321.35925479331274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-1.1882548278663309E-13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435.44444011810265</v>
      </c>
      <c r="EP173" s="62">
        <f t="shared" si="154"/>
        <v>447.15868732689762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547.89540791313675</v>
      </c>
      <c r="FK173" s="62">
        <f t="shared" si="156"/>
        <v>345.19555189302378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>
        <f>FZ173*VLOOKUP('Données projet'!$B$17,Paramètres!$A$1:$I$89,3,0)*VLOOKUP('Données projet'!$B$17,Paramètres!$A$1:$I$89,5,0)</f>
        <v>0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409.68685886029164</v>
      </c>
      <c r="GF173" s="62">
        <f t="shared" si="158"/>
        <v>330.8416508650887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2.1796165289875731E-20</v>
      </c>
      <c r="GO173" s="23">
        <f t="shared" si="187"/>
        <v>2.1796165289875731E-20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73.098184695482075</v>
      </c>
      <c r="T174" s="62">
        <f t="shared" si="142"/>
        <v>334.38551711782793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3.3553281298707032</v>
      </c>
      <c r="AA174" s="23">
        <f>EXP(-LN(2)/25)*AA173+(1-EXP(-LN(2)/25))/(LN(2)/25)*Calculateur!V174*Calculateur!X174*VLOOKUP('Données projet'!$B$9,Paramètres!$A$1:$I$89,3,0)*0.475*44/12</f>
        <v>0.27558682114433147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3.6309149510150345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70.520400819593021</v>
      </c>
      <c r="AO174" s="62">
        <f t="shared" si="144"/>
        <v>321.48616153644309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3.2009418662263469</v>
      </c>
      <c r="AV174" s="23">
        <f>EXP(-LN(2)/25)*AV173+(1-EXP(-LN(2)/25))/(LN(2)/25)*Calculateur!AQ174*Calculateur!AS174*VLOOKUP('Données projet'!$B$10,Paramètres!$A$1:$I$89,3,0)*0.475*44/12</f>
        <v>0.26290644593830348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3.4638483121646502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1.5961632016114892E-13</v>
      </c>
      <c r="BF174" s="14">
        <f t="shared" si="167"/>
        <v>2.2708641912150958E-12</v>
      </c>
      <c r="BG174" s="22">
        <f t="shared" si="168"/>
        <v>4.2330868906469593E-12</v>
      </c>
      <c r="BH174" s="62">
        <f t="shared" si="116"/>
        <v>286.34411206255629</v>
      </c>
      <c r="BI174" s="62">
        <f ca="1">AVERAGE(OFFSET($BH$3,0,0,'Données projet'!$E$11+1,1))-AVERAGE(OFFSET($H$3,0,0,'Données projet'!$E$11+1,1))</f>
        <v>374.62597460242665</v>
      </c>
      <c r="BJ174" s="62">
        <f t="shared" si="146"/>
        <v>277.50105097454616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-1.7053025658242404E-13</v>
      </c>
      <c r="BZ174" s="14">
        <f>BY174*VLOOKUP('Données projet'!$B$12,Paramètres!$A$1:$I$89,3,0)*VLOOKUP('Données projet'!$B$12,Paramètres!$A$1:$I$89,5,0)</f>
        <v>-7.9808160080574461E-14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329.79342219561465</v>
      </c>
      <c r="CE174" s="62">
        <f t="shared" si="148"/>
        <v>144.63206563329757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6.8212102632969618E-13</v>
      </c>
      <c r="CU174" s="18">
        <f>CT174*VLOOKUP('Données projet'!$B$13,Paramètres!$A$1:$I$89,3,0)*VLOOKUP('Données projet'!$B$13,Paramètres!$A$1:$I$89,5,0)</f>
        <v>4.0790837374515837E-13</v>
      </c>
      <c r="CV174" s="14">
        <f t="shared" si="173"/>
        <v>5.2028966193600884E-12</v>
      </c>
      <c r="CW174" s="22">
        <f t="shared" si="174"/>
        <v>9.7721520296583044E-12</v>
      </c>
      <c r="CX174" s="62">
        <f t="shared" si="122"/>
        <v>286.34411206256186</v>
      </c>
      <c r="CY174" s="62">
        <f ca="1">AVERAGE(OFFSET($CX$3,0,0,'Données projet'!$E$13+1,1))-AVERAGE(OFFSET($H$3,0,0,'Données projet'!$E$13+1,1))</f>
        <v>530.27599556821826</v>
      </c>
      <c r="CZ174" s="62">
        <f t="shared" si="150"/>
        <v>370.62231794492129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9.0103497957844887E-21</v>
      </c>
      <c r="DI174" s="24">
        <f t="shared" si="175"/>
        <v>9.0103497957844887E-21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1.2946657079737634E-13</v>
      </c>
      <c r="DQ174" s="14">
        <f t="shared" si="176"/>
        <v>1.8873591890224769E-12</v>
      </c>
      <c r="DR174" s="22">
        <f t="shared" si="177"/>
        <v>3.5126381983529106E-12</v>
      </c>
      <c r="DS174" s="62">
        <f t="shared" si="125"/>
        <v>286.34411206255561</v>
      </c>
      <c r="DT174" s="62">
        <f ca="1">AVERAGE(OFFSET($DS$3,0,0,'Données projet'!$E$14+1,1))-AVERAGE(OFFSET($H$3,0,0,'Données projet'!$E$14+1,1))</f>
        <v>520.23742527061836</v>
      </c>
      <c r="DU174" s="62">
        <f t="shared" si="152"/>
        <v>321.35925479331274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-1.1882548278663309E-13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435.44444011810265</v>
      </c>
      <c r="EP174" s="62">
        <f t="shared" si="154"/>
        <v>447.15868732689762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547.89540791313675</v>
      </c>
      <c r="FK174" s="62">
        <f t="shared" si="156"/>
        <v>345.19555189302378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>
        <f>FZ174*VLOOKUP('Données projet'!$B$17,Paramètres!$A$1:$I$89,3,0)*VLOOKUP('Données projet'!$B$17,Paramètres!$A$1:$I$89,5,0)</f>
        <v>0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409.68685886029164</v>
      </c>
      <c r="GF174" s="62">
        <f t="shared" si="158"/>
        <v>330.8416508650887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1.541221628033398E-20</v>
      </c>
      <c r="GO174" s="23">
        <f t="shared" si="187"/>
        <v>1.541221628033398E-20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73.098184695482075</v>
      </c>
      <c r="T175" s="62">
        <f t="shared" si="142"/>
        <v>334.38551711782793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3.2895321917920182</v>
      </c>
      <c r="AA175" s="23">
        <f>EXP(-LN(2)/25)*AA174+(1-EXP(-LN(2)/25))/(LN(2)/25)*Calculateur!V175*Calculateur!X175*VLOOKUP('Données projet'!$B$9,Paramètres!$A$1:$I$89,3,0)*0.475*44/12</f>
        <v>0.26805088502765867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3.557583076819677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70.520400819593021</v>
      </c>
      <c r="AO175" s="62">
        <f t="shared" si="144"/>
        <v>321.48616153644309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3.1381733486114052</v>
      </c>
      <c r="AV175" s="23">
        <f>EXP(-LN(2)/25)*AV174+(1-EXP(-LN(2)/25))/(LN(2)/25)*Calculateur!AQ175*Calculateur!AS175*VLOOKUP('Données projet'!$B$10,Paramètres!$A$1:$I$89,3,0)*0.475*44/12</f>
        <v>0.25571725534847145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3.3938906039598766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1.5961632016114892E-13</v>
      </c>
      <c r="BF175" s="14">
        <f t="shared" si="167"/>
        <v>2.2708641912150958E-12</v>
      </c>
      <c r="BG175" s="22">
        <f t="shared" si="168"/>
        <v>4.2330868906469593E-12</v>
      </c>
      <c r="BH175" s="62">
        <f t="shared" si="116"/>
        <v>286.46535942604652</v>
      </c>
      <c r="BI175" s="62">
        <f ca="1">AVERAGE(OFFSET($BH$3,0,0,'Données projet'!$E$11+1,1))-AVERAGE(OFFSET($H$3,0,0,'Données projet'!$E$11+1,1))</f>
        <v>374.62597460242665</v>
      </c>
      <c r="BJ175" s="62">
        <f t="shared" si="146"/>
        <v>277.50105097454616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-1.7053025658242404E-13</v>
      </c>
      <c r="BZ175" s="14">
        <f>BY175*VLOOKUP('Données projet'!$B$12,Paramètres!$A$1:$I$89,3,0)*VLOOKUP('Données projet'!$B$12,Paramètres!$A$1:$I$89,5,0)</f>
        <v>-7.9808160080574461E-14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329.79342219561465</v>
      </c>
      <c r="CE175" s="62">
        <f t="shared" si="148"/>
        <v>144.63206563329757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6.8212102632969618E-13</v>
      </c>
      <c r="CU175" s="18">
        <f>CT175*VLOOKUP('Données projet'!$B$13,Paramètres!$A$1:$I$89,3,0)*VLOOKUP('Données projet'!$B$13,Paramètres!$A$1:$I$89,5,0)</f>
        <v>4.0790837374515837E-13</v>
      </c>
      <c r="CV175" s="14">
        <f t="shared" si="173"/>
        <v>5.2028966193600884E-12</v>
      </c>
      <c r="CW175" s="22">
        <f t="shared" si="174"/>
        <v>9.7721520296583044E-12</v>
      </c>
      <c r="CX175" s="62">
        <f t="shared" si="122"/>
        <v>286.46535942605209</v>
      </c>
      <c r="CY175" s="62">
        <f ca="1">AVERAGE(OFFSET($CX$3,0,0,'Données projet'!$E$13+1,1))-AVERAGE(OFFSET($H$3,0,0,'Données projet'!$E$13+1,1))</f>
        <v>530.27599556821826</v>
      </c>
      <c r="CZ175" s="62">
        <f t="shared" si="150"/>
        <v>370.62231794492129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6.3712794414620357E-21</v>
      </c>
      <c r="DI175" s="24">
        <f t="shared" si="175"/>
        <v>6.3712794414620357E-21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1.2946657079737634E-13</v>
      </c>
      <c r="DQ175" s="14">
        <f t="shared" si="176"/>
        <v>1.8873591890224769E-12</v>
      </c>
      <c r="DR175" s="22">
        <f t="shared" si="177"/>
        <v>3.5126381983529106E-12</v>
      </c>
      <c r="DS175" s="62">
        <f t="shared" si="125"/>
        <v>286.46535942604584</v>
      </c>
      <c r="DT175" s="62">
        <f ca="1">AVERAGE(OFFSET($DS$3,0,0,'Données projet'!$E$14+1,1))-AVERAGE(OFFSET($H$3,0,0,'Données projet'!$E$14+1,1))</f>
        <v>520.23742527061836</v>
      </c>
      <c r="DU175" s="62">
        <f t="shared" si="152"/>
        <v>321.35925479331274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-1.1882548278663309E-13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435.44444011810265</v>
      </c>
      <c r="EP175" s="62">
        <f t="shared" si="154"/>
        <v>447.15868732689762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547.89540791313675</v>
      </c>
      <c r="FK175" s="62">
        <f t="shared" si="156"/>
        <v>345.19555189302378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>
        <f>FZ175*VLOOKUP('Données projet'!$B$17,Paramètres!$A$1:$I$89,3,0)*VLOOKUP('Données projet'!$B$17,Paramètres!$A$1:$I$89,5,0)</f>
        <v>0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409.68685886029164</v>
      </c>
      <c r="GF175" s="62">
        <f t="shared" si="158"/>
        <v>330.8416508650887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1.0898082644937866E-20</v>
      </c>
      <c r="GO175" s="23">
        <f t="shared" si="187"/>
        <v>1.0898082644937866E-20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73.098184695482075</v>
      </c>
      <c r="T176" s="62">
        <f t="shared" si="142"/>
        <v>334.38551711782793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3.2250264719274964</v>
      </c>
      <c r="AA176" s="23">
        <f>EXP(-LN(2)/25)*AA175+(1-EXP(-LN(2)/25))/(LN(2)/25)*Calculateur!V176*Calculateur!X176*VLOOKUP('Données projet'!$B$9,Paramètres!$A$1:$I$89,3,0)*0.475*44/12</f>
        <v>0.26072101948039395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3.4857474914078903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70.520400819593021</v>
      </c>
      <c r="AO176" s="62">
        <f t="shared" si="144"/>
        <v>321.48616153644309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3.0766356833418769</v>
      </c>
      <c r="AV176" s="23">
        <f>EXP(-LN(2)/25)*AV175+(1-EXP(-LN(2)/25))/(LN(2)/25)*Calculateur!AQ176*Calculateur!AS176*VLOOKUP('Données projet'!$B$10,Paramètres!$A$1:$I$89,3,0)*0.475*44/12</f>
        <v>0.2487246535533815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3.3253603368952582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1.5961632016114892E-13</v>
      </c>
      <c r="BF176" s="14">
        <f t="shared" si="167"/>
        <v>2.2708641912150958E-12</v>
      </c>
      <c r="BG176" s="22">
        <f t="shared" si="168"/>
        <v>4.2330868906469593E-12</v>
      </c>
      <c r="BH176" s="62">
        <f t="shared" si="116"/>
        <v>286.58450341884856</v>
      </c>
      <c r="BI176" s="62">
        <f ca="1">AVERAGE(OFFSET($BH$3,0,0,'Données projet'!$E$11+1,1))-AVERAGE(OFFSET($H$3,0,0,'Données projet'!$E$11+1,1))</f>
        <v>374.62597460242665</v>
      </c>
      <c r="BJ176" s="62">
        <f t="shared" si="146"/>
        <v>277.50105097454616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-1.7053025658242404E-13</v>
      </c>
      <c r="BZ176" s="14">
        <f>BY176*VLOOKUP('Données projet'!$B$12,Paramètres!$A$1:$I$89,3,0)*VLOOKUP('Données projet'!$B$12,Paramètres!$A$1:$I$89,5,0)</f>
        <v>-7.9808160080574461E-14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329.79342219561465</v>
      </c>
      <c r="CE176" s="62">
        <f t="shared" si="148"/>
        <v>144.63206563329757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6.8212102632969618E-13</v>
      </c>
      <c r="CU176" s="18">
        <f>CT176*VLOOKUP('Données projet'!$B$13,Paramètres!$A$1:$I$89,3,0)*VLOOKUP('Données projet'!$B$13,Paramètres!$A$1:$I$89,5,0)</f>
        <v>4.0790837374515837E-13</v>
      </c>
      <c r="CV176" s="14">
        <f t="shared" si="173"/>
        <v>5.2028966193600884E-12</v>
      </c>
      <c r="CW176" s="22">
        <f t="shared" si="174"/>
        <v>9.7721520296583044E-12</v>
      </c>
      <c r="CX176" s="62">
        <f t="shared" si="122"/>
        <v>286.58450341885413</v>
      </c>
      <c r="CY176" s="62">
        <f ca="1">AVERAGE(OFFSET($CX$3,0,0,'Données projet'!$E$13+1,1))-AVERAGE(OFFSET($H$3,0,0,'Données projet'!$E$13+1,1))</f>
        <v>530.27599556821826</v>
      </c>
      <c r="CZ176" s="62">
        <f t="shared" si="150"/>
        <v>370.62231794492129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4.5051748978922444E-21</v>
      </c>
      <c r="DI176" s="24">
        <f t="shared" si="175"/>
        <v>4.5051748978922444E-21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1.2946657079737634E-13</v>
      </c>
      <c r="DQ176" s="14">
        <f t="shared" si="176"/>
        <v>1.8873591890224769E-12</v>
      </c>
      <c r="DR176" s="22">
        <f t="shared" si="177"/>
        <v>3.5126381983529106E-12</v>
      </c>
      <c r="DS176" s="62">
        <f t="shared" si="125"/>
        <v>286.58450341884787</v>
      </c>
      <c r="DT176" s="62">
        <f ca="1">AVERAGE(OFFSET($DS$3,0,0,'Données projet'!$E$14+1,1))-AVERAGE(OFFSET($H$3,0,0,'Données projet'!$E$14+1,1))</f>
        <v>520.23742527061836</v>
      </c>
      <c r="DU176" s="62">
        <f t="shared" si="152"/>
        <v>321.35925479331274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-1.1882548278663309E-13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435.44444011810265</v>
      </c>
      <c r="EP176" s="62">
        <f t="shared" si="154"/>
        <v>447.15868732689762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547.89540791313675</v>
      </c>
      <c r="FK176" s="62">
        <f t="shared" si="156"/>
        <v>345.19555189302378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>
        <f>FZ176*VLOOKUP('Données projet'!$B$17,Paramètres!$A$1:$I$89,3,0)*VLOOKUP('Données projet'!$B$17,Paramètres!$A$1:$I$89,5,0)</f>
        <v>0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409.68685886029164</v>
      </c>
      <c r="GF176" s="62">
        <f t="shared" si="158"/>
        <v>330.8416508650887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7.7061081401669902E-21</v>
      </c>
      <c r="GO176" s="23">
        <f t="shared" si="187"/>
        <v>7.7061081401669902E-21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73.098184695482075</v>
      </c>
      <c r="T177" s="62">
        <f t="shared" si="142"/>
        <v>334.38551711782793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3.1617856698849138</v>
      </c>
      <c r="AA177" s="23">
        <f>EXP(-LN(2)/25)*AA176+(1-EXP(-LN(2)/25))/(LN(2)/25)*Calculateur!V177*Calculateur!X177*VLOOKUP('Données projet'!$B$9,Paramètres!$A$1:$I$89,3,0)*0.475*44/12</f>
        <v>0.25359158949198002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3.4153772593768936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70.520400819593021</v>
      </c>
      <c r="AO177" s="62">
        <f t="shared" si="144"/>
        <v>321.48616153644309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3.0163047341540143</v>
      </c>
      <c r="AV177" s="23">
        <f>EXP(-LN(2)/25)*AV176+(1-EXP(-LN(2)/25))/(LN(2)/25)*Calculateur!AQ177*Calculateur!AS177*VLOOKUP('Données projet'!$B$10,Paramètres!$A$1:$I$89,3,0)*0.475*44/12</f>
        <v>0.24192326482210322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3.2582279989761176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1.5961632016114892E-13</v>
      </c>
      <c r="BF177" s="14">
        <f t="shared" si="167"/>
        <v>2.2708641912150958E-12</v>
      </c>
      <c r="BG177" s="22">
        <f t="shared" si="168"/>
        <v>4.2330868906469593E-12</v>
      </c>
      <c r="BH177" s="62">
        <f t="shared" si="116"/>
        <v>286.70158052974165</v>
      </c>
      <c r="BI177" s="62">
        <f ca="1">AVERAGE(OFFSET($BH$3,0,0,'Données projet'!$E$11+1,1))-AVERAGE(OFFSET($H$3,0,0,'Données projet'!$E$11+1,1))</f>
        <v>374.62597460242665</v>
      </c>
      <c r="BJ177" s="62">
        <f t="shared" si="146"/>
        <v>277.50105097454616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-1.7053025658242404E-13</v>
      </c>
      <c r="BZ177" s="14">
        <f>BY177*VLOOKUP('Données projet'!$B$12,Paramètres!$A$1:$I$89,3,0)*VLOOKUP('Données projet'!$B$12,Paramètres!$A$1:$I$89,5,0)</f>
        <v>-7.9808160080574461E-14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329.79342219561465</v>
      </c>
      <c r="CE177" s="62">
        <f t="shared" si="148"/>
        <v>144.63206563329757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6.8212102632969618E-13</v>
      </c>
      <c r="CU177" s="18">
        <f>CT177*VLOOKUP('Données projet'!$B$13,Paramètres!$A$1:$I$89,3,0)*VLOOKUP('Données projet'!$B$13,Paramètres!$A$1:$I$89,5,0)</f>
        <v>4.0790837374515837E-13</v>
      </c>
      <c r="CV177" s="14">
        <f t="shared" si="173"/>
        <v>5.2028966193600884E-12</v>
      </c>
      <c r="CW177" s="22">
        <f t="shared" si="174"/>
        <v>9.7721520296583044E-12</v>
      </c>
      <c r="CX177" s="62">
        <f t="shared" si="122"/>
        <v>286.70158052974722</v>
      </c>
      <c r="CY177" s="62">
        <f ca="1">AVERAGE(OFFSET($CX$3,0,0,'Données projet'!$E$13+1,1))-AVERAGE(OFFSET($H$3,0,0,'Données projet'!$E$13+1,1))</f>
        <v>530.27599556821826</v>
      </c>
      <c r="CZ177" s="62">
        <f t="shared" si="150"/>
        <v>370.62231794492129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3.1856397207310179E-21</v>
      </c>
      <c r="DI177" s="24">
        <f t="shared" si="175"/>
        <v>3.1856397207310179E-21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1.2946657079737634E-13</v>
      </c>
      <c r="DQ177" s="14">
        <f t="shared" si="176"/>
        <v>1.8873591890224769E-12</v>
      </c>
      <c r="DR177" s="22">
        <f t="shared" si="177"/>
        <v>3.5126381983529106E-12</v>
      </c>
      <c r="DS177" s="62">
        <f t="shared" si="125"/>
        <v>286.70158052974097</v>
      </c>
      <c r="DT177" s="62">
        <f ca="1">AVERAGE(OFFSET($DS$3,0,0,'Données projet'!$E$14+1,1))-AVERAGE(OFFSET($H$3,0,0,'Données projet'!$E$14+1,1))</f>
        <v>520.23742527061836</v>
      </c>
      <c r="DU177" s="62">
        <f t="shared" si="152"/>
        <v>321.35925479331274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-1.1882548278663309E-13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435.44444011810265</v>
      </c>
      <c r="EP177" s="62">
        <f t="shared" si="154"/>
        <v>447.15868732689762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547.89540791313675</v>
      </c>
      <c r="FK177" s="62">
        <f t="shared" si="156"/>
        <v>345.19555189302378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>
        <f>FZ177*VLOOKUP('Données projet'!$B$17,Paramètres!$A$1:$I$89,3,0)*VLOOKUP('Données projet'!$B$17,Paramètres!$A$1:$I$89,5,0)</f>
        <v>0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409.68685886029164</v>
      </c>
      <c r="GF177" s="62">
        <f t="shared" si="158"/>
        <v>330.8416508650887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5.4490413224689328E-21</v>
      </c>
      <c r="GO177" s="23">
        <f t="shared" si="187"/>
        <v>5.4490413224689328E-21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73.098184695482075</v>
      </c>
      <c r="T178" s="62">
        <f t="shared" si="142"/>
        <v>334.38551711782793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3.0997849813973057</v>
      </c>
      <c r="AA178" s="23">
        <f>EXP(-LN(2)/25)*AA177+(1-EXP(-LN(2)/25))/(LN(2)/25)*Calculateur!V178*Calculateur!X178*VLOOKUP('Données projet'!$B$9,Paramètres!$A$1:$I$89,3,0)*0.475*44/12</f>
        <v>0.24665711414151972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3.3464420955388254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70.520400819593021</v>
      </c>
      <c r="AO178" s="62">
        <f t="shared" si="144"/>
        <v>321.48616153644309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2.9571568380814801</v>
      </c>
      <c r="AV178" s="23">
        <f>EXP(-LN(2)/25)*AV177+(1-EXP(-LN(2)/25))/(LN(2)/25)*Calculateur!AQ178*Calculateur!AS178*VLOOKUP('Données projet'!$B$10,Paramètres!$A$1:$I$89,3,0)*0.475*44/12</f>
        <v>0.23530786042335122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3.1924646985048315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1.5961632016114892E-13</v>
      </c>
      <c r="BF178" s="14">
        <f t="shared" si="167"/>
        <v>2.2708641912150958E-12</v>
      </c>
      <c r="BG178" s="22">
        <f t="shared" si="168"/>
        <v>4.2330868906469593E-12</v>
      </c>
      <c r="BH178" s="62">
        <f t="shared" si="116"/>
        <v>286.81662661450588</v>
      </c>
      <c r="BI178" s="62">
        <f ca="1">AVERAGE(OFFSET($BH$3,0,0,'Données projet'!$E$11+1,1))-AVERAGE(OFFSET($H$3,0,0,'Données projet'!$E$11+1,1))</f>
        <v>374.62597460242665</v>
      </c>
      <c r="BJ178" s="62">
        <f t="shared" si="146"/>
        <v>277.50105097454616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-1.7053025658242404E-13</v>
      </c>
      <c r="BZ178" s="14">
        <f>BY178*VLOOKUP('Données projet'!$B$12,Paramètres!$A$1:$I$89,3,0)*VLOOKUP('Données projet'!$B$12,Paramètres!$A$1:$I$89,5,0)</f>
        <v>-7.9808160080574461E-14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329.79342219561465</v>
      </c>
      <c r="CE178" s="62">
        <f t="shared" si="148"/>
        <v>144.63206563329757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6.8212102632969618E-13</v>
      </c>
      <c r="CU178" s="18">
        <f>CT178*VLOOKUP('Données projet'!$B$13,Paramètres!$A$1:$I$89,3,0)*VLOOKUP('Données projet'!$B$13,Paramètres!$A$1:$I$89,5,0)</f>
        <v>4.0790837374515837E-13</v>
      </c>
      <c r="CV178" s="14">
        <f t="shared" si="173"/>
        <v>5.2028966193600884E-12</v>
      </c>
      <c r="CW178" s="22">
        <f t="shared" si="174"/>
        <v>9.7721520296583044E-12</v>
      </c>
      <c r="CX178" s="62">
        <f t="shared" si="122"/>
        <v>286.81662661451145</v>
      </c>
      <c r="CY178" s="62">
        <f ca="1">AVERAGE(OFFSET($CX$3,0,0,'Données projet'!$E$13+1,1))-AVERAGE(OFFSET($H$3,0,0,'Données projet'!$E$13+1,1))</f>
        <v>530.27599556821826</v>
      </c>
      <c r="CZ178" s="62">
        <f t="shared" si="150"/>
        <v>370.62231794492129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2.2525874489461222E-21</v>
      </c>
      <c r="DI178" s="24">
        <f t="shared" si="175"/>
        <v>2.2525874489461222E-21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1.2946657079737634E-13</v>
      </c>
      <c r="DQ178" s="14">
        <f t="shared" si="176"/>
        <v>1.8873591890224769E-12</v>
      </c>
      <c r="DR178" s="22">
        <f t="shared" si="177"/>
        <v>3.5126381983529106E-12</v>
      </c>
      <c r="DS178" s="62">
        <f t="shared" si="125"/>
        <v>286.8166266145052</v>
      </c>
      <c r="DT178" s="62">
        <f ca="1">AVERAGE(OFFSET($DS$3,0,0,'Données projet'!$E$14+1,1))-AVERAGE(OFFSET($H$3,0,0,'Données projet'!$E$14+1,1))</f>
        <v>520.23742527061836</v>
      </c>
      <c r="DU178" s="62">
        <f t="shared" si="152"/>
        <v>321.35925479331274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-1.1882548278663309E-13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435.44444011810265</v>
      </c>
      <c r="EP178" s="62">
        <f t="shared" si="154"/>
        <v>447.15868732689762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547.89540791313675</v>
      </c>
      <c r="FK178" s="62">
        <f t="shared" si="156"/>
        <v>345.19555189302378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>
        <f>FZ178*VLOOKUP('Données projet'!$B$17,Paramètres!$A$1:$I$89,3,0)*VLOOKUP('Données projet'!$B$17,Paramètres!$A$1:$I$89,5,0)</f>
        <v>0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409.68685886029164</v>
      </c>
      <c r="GF178" s="62">
        <f t="shared" si="158"/>
        <v>330.8416508650887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3.8530540700834951E-21</v>
      </c>
      <c r="GO178" s="23">
        <f t="shared" si="187"/>
        <v>3.8530540700834951E-21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73.098184695482075</v>
      </c>
      <c r="T179" s="62">
        <f t="shared" si="142"/>
        <v>334.38551711782793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3.0390000885942539</v>
      </c>
      <c r="AA179" s="23">
        <f>EXP(-LN(2)/25)*AA178+(1-EXP(-LN(2)/25))/(LN(2)/25)*Calculateur!V179*Calculateur!X179*VLOOKUP('Données projet'!$B$9,Paramètres!$A$1:$I$89,3,0)*0.475*44/12</f>
        <v>0.23991226238418598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3.2789123509784397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70.520400819593021</v>
      </c>
      <c r="AO179" s="62">
        <f t="shared" si="144"/>
        <v>321.48616153644309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2.899168796174274</v>
      </c>
      <c r="AV179" s="23">
        <f>EXP(-LN(2)/25)*AV178+(1-EXP(-LN(2)/25))/(LN(2)/25)*Calculateur!AQ179*Calculateur!AS179*VLOOKUP('Données projet'!$B$10,Paramètres!$A$1:$I$89,3,0)*0.475*44/12</f>
        <v>0.2288733546057721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3.128042150780046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1.5961632016114892E-13</v>
      </c>
      <c r="BF179" s="14">
        <f t="shared" si="167"/>
        <v>2.2708641912150958E-12</v>
      </c>
      <c r="BG179" s="22">
        <f t="shared" si="168"/>
        <v>4.2330868906469593E-12</v>
      </c>
      <c r="BH179" s="62">
        <f t="shared" si="116"/>
        <v>286.92967690690404</v>
      </c>
      <c r="BI179" s="62">
        <f ca="1">AVERAGE(OFFSET($BH$3,0,0,'Données projet'!$E$11+1,1))-AVERAGE(OFFSET($H$3,0,0,'Données projet'!$E$11+1,1))</f>
        <v>374.62597460242665</v>
      </c>
      <c r="BJ179" s="62">
        <f t="shared" si="146"/>
        <v>277.50105097454616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-1.7053025658242404E-13</v>
      </c>
      <c r="BZ179" s="14">
        <f>BY179*VLOOKUP('Données projet'!$B$12,Paramètres!$A$1:$I$89,3,0)*VLOOKUP('Données projet'!$B$12,Paramètres!$A$1:$I$89,5,0)</f>
        <v>-7.9808160080574461E-14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329.79342219561465</v>
      </c>
      <c r="CE179" s="62">
        <f t="shared" si="148"/>
        <v>144.63206563329757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6.8212102632969618E-13</v>
      </c>
      <c r="CU179" s="18">
        <f>CT179*VLOOKUP('Données projet'!$B$13,Paramètres!$A$1:$I$89,3,0)*VLOOKUP('Données projet'!$B$13,Paramètres!$A$1:$I$89,5,0)</f>
        <v>4.0790837374515837E-13</v>
      </c>
      <c r="CV179" s="14">
        <f t="shared" si="173"/>
        <v>5.2028966193600884E-12</v>
      </c>
      <c r="CW179" s="22">
        <f t="shared" si="174"/>
        <v>9.7721520296583044E-12</v>
      </c>
      <c r="CX179" s="62">
        <f t="shared" si="122"/>
        <v>286.92967690690961</v>
      </c>
      <c r="CY179" s="62">
        <f ca="1">AVERAGE(OFFSET($CX$3,0,0,'Données projet'!$E$13+1,1))-AVERAGE(OFFSET($H$3,0,0,'Données projet'!$E$13+1,1))</f>
        <v>530.27599556821826</v>
      </c>
      <c r="CZ179" s="62">
        <f t="shared" si="150"/>
        <v>370.62231794492129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1.5928198603655089E-21</v>
      </c>
      <c r="DI179" s="24">
        <f t="shared" si="175"/>
        <v>1.5928198603655089E-21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1.2946657079737634E-13</v>
      </c>
      <c r="DQ179" s="14">
        <f t="shared" si="176"/>
        <v>1.8873591890224769E-12</v>
      </c>
      <c r="DR179" s="22">
        <f t="shared" si="177"/>
        <v>3.5126381983529106E-12</v>
      </c>
      <c r="DS179" s="62">
        <f t="shared" si="125"/>
        <v>286.92967690690335</v>
      </c>
      <c r="DT179" s="62">
        <f ca="1">AVERAGE(OFFSET($DS$3,0,0,'Données projet'!$E$14+1,1))-AVERAGE(OFFSET($H$3,0,0,'Données projet'!$E$14+1,1))</f>
        <v>520.23742527061836</v>
      </c>
      <c r="DU179" s="62">
        <f t="shared" si="152"/>
        <v>321.35925479331274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-1.1882548278663309E-13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435.44444011810265</v>
      </c>
      <c r="EP179" s="62">
        <f t="shared" si="154"/>
        <v>447.15868732689762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547.89540791313675</v>
      </c>
      <c r="FK179" s="62">
        <f t="shared" si="156"/>
        <v>345.19555189302378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>
        <f>FZ179*VLOOKUP('Données projet'!$B$17,Paramètres!$A$1:$I$89,3,0)*VLOOKUP('Données projet'!$B$17,Paramètres!$A$1:$I$89,5,0)</f>
        <v>0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409.68685886029164</v>
      </c>
      <c r="GF179" s="62">
        <f t="shared" si="158"/>
        <v>330.8416508650887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2.7245206612344664E-21</v>
      </c>
      <c r="GO179" s="23">
        <f t="shared" si="187"/>
        <v>2.7245206612344664E-21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73.098184695482075</v>
      </c>
      <c r="T180" s="62">
        <f t="shared" si="142"/>
        <v>334.38551711782793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2.9794071504639459</v>
      </c>
      <c r="AA180" s="23">
        <f>EXP(-LN(2)/25)*AA179+(1-EXP(-LN(2)/25))/(LN(2)/25)*Calculateur!V180*Calculateur!X180*VLOOKUP('Données projet'!$B$9,Paramètres!$A$1:$I$89,3,0)*0.475*44/12</f>
        <v>0.23335184895285285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3.2127589994167987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70.520400819593021</v>
      </c>
      <c r="AO180" s="62">
        <f t="shared" si="144"/>
        <v>321.48616153644309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2.8423178643996554</v>
      </c>
      <c r="AV180" s="23">
        <f>EXP(-LN(2)/25)*AV179+(1-EXP(-LN(2)/25))/(LN(2)/25)*Calculateur!AQ180*Calculateur!AS180*VLOOKUP('Données projet'!$B$10,Paramètres!$A$1:$I$89,3,0)*0.475*44/12</f>
        <v>0.22261480068815065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3.0649326650878059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1.5961632016114892E-13</v>
      </c>
      <c r="BF180" s="14">
        <f t="shared" si="167"/>
        <v>2.2708641912150958E-12</v>
      </c>
      <c r="BG180" s="22">
        <f t="shared" si="168"/>
        <v>4.2330868906469593E-12</v>
      </c>
      <c r="BH180" s="62">
        <f t="shared" si="116"/>
        <v>287.04076602947163</v>
      </c>
      <c r="BI180" s="62">
        <f ca="1">AVERAGE(OFFSET($BH$3,0,0,'Données projet'!$E$11+1,1))-AVERAGE(OFFSET($H$3,0,0,'Données projet'!$E$11+1,1))</f>
        <v>374.62597460242665</v>
      </c>
      <c r="BJ180" s="62">
        <f t="shared" si="146"/>
        <v>277.50105097454616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-1.7053025658242404E-13</v>
      </c>
      <c r="BZ180" s="14">
        <f>BY180*VLOOKUP('Données projet'!$B$12,Paramètres!$A$1:$I$89,3,0)*VLOOKUP('Données projet'!$B$12,Paramètres!$A$1:$I$89,5,0)</f>
        <v>-7.9808160080574461E-14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329.79342219561465</v>
      </c>
      <c r="CE180" s="62">
        <f t="shared" si="148"/>
        <v>144.63206563329757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6.8212102632969618E-13</v>
      </c>
      <c r="CU180" s="18">
        <f>CT180*VLOOKUP('Données projet'!$B$13,Paramètres!$A$1:$I$89,3,0)*VLOOKUP('Données projet'!$B$13,Paramètres!$A$1:$I$89,5,0)</f>
        <v>4.0790837374515837E-13</v>
      </c>
      <c r="CV180" s="14">
        <f t="shared" si="173"/>
        <v>5.2028966193600884E-12</v>
      </c>
      <c r="CW180" s="22">
        <f t="shared" si="174"/>
        <v>9.7721520296583044E-12</v>
      </c>
      <c r="CX180" s="62">
        <f t="shared" si="122"/>
        <v>287.0407660294772</v>
      </c>
      <c r="CY180" s="62">
        <f ca="1">AVERAGE(OFFSET($CX$3,0,0,'Données projet'!$E$13+1,1))-AVERAGE(OFFSET($H$3,0,0,'Données projet'!$E$13+1,1))</f>
        <v>530.27599556821826</v>
      </c>
      <c r="CZ180" s="62">
        <f t="shared" si="150"/>
        <v>370.62231794492129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1.1262937244730611E-21</v>
      </c>
      <c r="DI180" s="24">
        <f t="shared" si="175"/>
        <v>1.1262937244730611E-21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1.2946657079737634E-13</v>
      </c>
      <c r="DQ180" s="14">
        <f t="shared" si="176"/>
        <v>1.8873591890224769E-12</v>
      </c>
      <c r="DR180" s="22">
        <f t="shared" si="177"/>
        <v>3.5126381983529106E-12</v>
      </c>
      <c r="DS180" s="62">
        <f t="shared" si="125"/>
        <v>287.04076602947094</v>
      </c>
      <c r="DT180" s="62">
        <f ca="1">AVERAGE(OFFSET($DS$3,0,0,'Données projet'!$E$14+1,1))-AVERAGE(OFFSET($H$3,0,0,'Données projet'!$E$14+1,1))</f>
        <v>520.23742527061836</v>
      </c>
      <c r="DU180" s="62">
        <f t="shared" si="152"/>
        <v>321.35925479331274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-1.1882548278663309E-13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435.44444011810265</v>
      </c>
      <c r="EP180" s="62">
        <f t="shared" si="154"/>
        <v>447.15868732689762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547.89540791313675</v>
      </c>
      <c r="FK180" s="62">
        <f t="shared" si="156"/>
        <v>345.19555189302378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>
        <f>FZ180*VLOOKUP('Données projet'!$B$17,Paramètres!$A$1:$I$89,3,0)*VLOOKUP('Données projet'!$B$17,Paramètres!$A$1:$I$89,5,0)</f>
        <v>0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409.68685886029164</v>
      </c>
      <c r="GF180" s="62">
        <f t="shared" si="158"/>
        <v>330.8416508650887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1.9265270350417476E-21</v>
      </c>
      <c r="GO180" s="23">
        <f t="shared" si="187"/>
        <v>1.9265270350417476E-21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73.098184695482075</v>
      </c>
      <c r="T181" s="62">
        <f t="shared" si="142"/>
        <v>334.38551711782793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2.9209827935022701</v>
      </c>
      <c r="AA181" s="23">
        <f>EXP(-LN(2)/25)*AA180+(1-EXP(-LN(2)/25))/(LN(2)/25)*Calculateur!V181*Calculateur!X181*VLOOKUP('Données projet'!$B$9,Paramètres!$A$1:$I$89,3,0)*0.475*44/12</f>
        <v>0.22697083037179669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3.1479536238740669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70.520400819593021</v>
      </c>
      <c r="AO181" s="62">
        <f t="shared" si="144"/>
        <v>321.48616153644309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2.7865817447214924</v>
      </c>
      <c r="AV181" s="23">
        <f>EXP(-LN(2)/25)*AV180+(1-EXP(-LN(2)/25))/(LN(2)/25)*Calculateur!AQ181*Calculateur!AS181*VLOOKUP('Données projet'!$B$10,Paramètres!$A$1:$I$89,3,0)*0.475*44/12</f>
        <v>0.21652738725652959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3.0031091319780221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1.5961632016114892E-13</v>
      </c>
      <c r="BF181" s="14">
        <f t="shared" si="167"/>
        <v>2.2708641912150958E-12</v>
      </c>
      <c r="BG181" s="22">
        <f t="shared" si="168"/>
        <v>4.2330868906469593E-12</v>
      </c>
      <c r="BH181" s="62">
        <f t="shared" si="116"/>
        <v>287.1499280041208</v>
      </c>
      <c r="BI181" s="62">
        <f ca="1">AVERAGE(OFFSET($BH$3,0,0,'Données projet'!$E$11+1,1))-AVERAGE(OFFSET($H$3,0,0,'Données projet'!$E$11+1,1))</f>
        <v>374.62597460242665</v>
      </c>
      <c r="BJ181" s="62">
        <f t="shared" si="146"/>
        <v>277.50105097454616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-1.7053025658242404E-13</v>
      </c>
      <c r="BZ181" s="14">
        <f>BY181*VLOOKUP('Données projet'!$B$12,Paramètres!$A$1:$I$89,3,0)*VLOOKUP('Données projet'!$B$12,Paramètres!$A$1:$I$89,5,0)</f>
        <v>-7.9808160080574461E-14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329.79342219561465</v>
      </c>
      <c r="CE181" s="62">
        <f t="shared" si="148"/>
        <v>144.63206563329757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6.8212102632969618E-13</v>
      </c>
      <c r="CU181" s="18">
        <f>CT181*VLOOKUP('Données projet'!$B$13,Paramètres!$A$1:$I$89,3,0)*VLOOKUP('Données projet'!$B$13,Paramètres!$A$1:$I$89,5,0)</f>
        <v>4.0790837374515837E-13</v>
      </c>
      <c r="CV181" s="14">
        <f t="shared" si="173"/>
        <v>5.2028966193600884E-12</v>
      </c>
      <c r="CW181" s="22">
        <f t="shared" si="174"/>
        <v>9.7721520296583044E-12</v>
      </c>
      <c r="CX181" s="62">
        <f t="shared" si="122"/>
        <v>287.14992800412637</v>
      </c>
      <c r="CY181" s="62">
        <f ca="1">AVERAGE(OFFSET($CX$3,0,0,'Données projet'!$E$13+1,1))-AVERAGE(OFFSET($H$3,0,0,'Données projet'!$E$13+1,1))</f>
        <v>530.27599556821826</v>
      </c>
      <c r="CZ181" s="62">
        <f t="shared" si="150"/>
        <v>370.62231794492129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7.9640993018275447E-22</v>
      </c>
      <c r="DI181" s="24">
        <f t="shared" si="175"/>
        <v>7.9640993018275447E-22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1.2946657079737634E-13</v>
      </c>
      <c r="DQ181" s="14">
        <f t="shared" si="176"/>
        <v>1.8873591890224769E-12</v>
      </c>
      <c r="DR181" s="22">
        <f t="shared" si="177"/>
        <v>3.5126381983529106E-12</v>
      </c>
      <c r="DS181" s="62">
        <f t="shared" si="125"/>
        <v>287.14992800412011</v>
      </c>
      <c r="DT181" s="62">
        <f ca="1">AVERAGE(OFFSET($DS$3,0,0,'Données projet'!$E$14+1,1))-AVERAGE(OFFSET($H$3,0,0,'Données projet'!$E$14+1,1))</f>
        <v>520.23742527061836</v>
      </c>
      <c r="DU181" s="62">
        <f t="shared" si="152"/>
        <v>321.35925479331274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-1.1882548278663309E-13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435.44444011810265</v>
      </c>
      <c r="EP181" s="62">
        <f t="shared" si="154"/>
        <v>447.15868732689762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547.89540791313675</v>
      </c>
      <c r="FK181" s="62">
        <f t="shared" si="156"/>
        <v>345.19555189302378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>
        <f>FZ181*VLOOKUP('Données projet'!$B$17,Paramètres!$A$1:$I$89,3,0)*VLOOKUP('Données projet'!$B$17,Paramètres!$A$1:$I$89,5,0)</f>
        <v>0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409.68685886029164</v>
      </c>
      <c r="GF181" s="62">
        <f t="shared" si="158"/>
        <v>330.8416508650887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1.3622603306172332E-21</v>
      </c>
      <c r="GO181" s="23">
        <f t="shared" si="187"/>
        <v>1.3622603306172332E-21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73.098184695482075</v>
      </c>
      <c r="T182" s="62">
        <f t="shared" si="142"/>
        <v>334.38551711782793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2.8637041025452739</v>
      </c>
      <c r="AA182" s="23">
        <f>EXP(-LN(2)/25)*AA181+(1-EXP(-LN(2)/25))/(LN(2)/25)*Calculateur!V182*Calculateur!X182*VLOOKUP('Données projet'!$B$9,Paramètres!$A$1:$I$89,3,0)*0.475*44/12</f>
        <v>0.22076430107940267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3.0844684036246766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70.520400819593021</v>
      </c>
      <c r="AO182" s="62">
        <f t="shared" si="144"/>
        <v>321.48616153644309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2.7319385763545418</v>
      </c>
      <c r="AV182" s="23">
        <f>EXP(-LN(2)/25)*AV181+(1-EXP(-LN(2)/25))/(LN(2)/25)*Calculateur!AQ182*Calculateur!AS182*VLOOKUP('Données projet'!$B$10,Paramètres!$A$1:$I$89,3,0)*0.475*44/12</f>
        <v>0.21060643446531938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2.9425450108198614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1.5961632016114892E-13</v>
      </c>
      <c r="BF182" s="14">
        <f t="shared" si="167"/>
        <v>2.2708641912150958E-12</v>
      </c>
      <c r="BG182" s="22">
        <f t="shared" si="168"/>
        <v>4.2330868906469593E-12</v>
      </c>
      <c r="BH182" s="62">
        <f t="shared" si="116"/>
        <v>287.25719626255932</v>
      </c>
      <c r="BI182" s="62">
        <f ca="1">AVERAGE(OFFSET($BH$3,0,0,'Données projet'!$E$11+1,1))-AVERAGE(OFFSET($H$3,0,0,'Données projet'!$E$11+1,1))</f>
        <v>374.62597460242665</v>
      </c>
      <c r="BJ182" s="62">
        <f t="shared" si="146"/>
        <v>277.50105097454616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-1.7053025658242404E-13</v>
      </c>
      <c r="BZ182" s="14">
        <f>BY182*VLOOKUP('Données projet'!$B$12,Paramètres!$A$1:$I$89,3,0)*VLOOKUP('Données projet'!$B$12,Paramètres!$A$1:$I$89,5,0)</f>
        <v>-7.9808160080574461E-14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329.79342219561465</v>
      </c>
      <c r="CE182" s="62">
        <f t="shared" si="148"/>
        <v>144.63206563329757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6.8212102632969618E-13</v>
      </c>
      <c r="CU182" s="18">
        <f>CT182*VLOOKUP('Données projet'!$B$13,Paramètres!$A$1:$I$89,3,0)*VLOOKUP('Données projet'!$B$13,Paramètres!$A$1:$I$89,5,0)</f>
        <v>4.0790837374515837E-13</v>
      </c>
      <c r="CV182" s="14">
        <f t="shared" si="173"/>
        <v>5.2028966193600884E-12</v>
      </c>
      <c r="CW182" s="22">
        <f t="shared" si="174"/>
        <v>9.7721520296583044E-12</v>
      </c>
      <c r="CX182" s="62">
        <f t="shared" si="122"/>
        <v>287.25719626256489</v>
      </c>
      <c r="CY182" s="62">
        <f ca="1">AVERAGE(OFFSET($CX$3,0,0,'Données projet'!$E$13+1,1))-AVERAGE(OFFSET($H$3,0,0,'Données projet'!$E$13+1,1))</f>
        <v>530.27599556821826</v>
      </c>
      <c r="CZ182" s="62">
        <f t="shared" si="150"/>
        <v>370.62231794492129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5.6314686223653055E-22</v>
      </c>
      <c r="DI182" s="24">
        <f t="shared" si="175"/>
        <v>5.6314686223653055E-22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1.2946657079737634E-13</v>
      </c>
      <c r="DQ182" s="14">
        <f t="shared" si="176"/>
        <v>1.8873591890224769E-12</v>
      </c>
      <c r="DR182" s="22">
        <f t="shared" si="177"/>
        <v>3.5126381983529106E-12</v>
      </c>
      <c r="DS182" s="62">
        <f t="shared" si="125"/>
        <v>287.25719626255864</v>
      </c>
      <c r="DT182" s="62">
        <f ca="1">AVERAGE(OFFSET($DS$3,0,0,'Données projet'!$E$14+1,1))-AVERAGE(OFFSET($H$3,0,0,'Données projet'!$E$14+1,1))</f>
        <v>520.23742527061836</v>
      </c>
      <c r="DU182" s="62">
        <f t="shared" si="152"/>
        <v>321.35925479331274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-1.1882548278663309E-13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435.44444011810265</v>
      </c>
      <c r="EP182" s="62">
        <f t="shared" si="154"/>
        <v>447.15868732689762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547.89540791313675</v>
      </c>
      <c r="FK182" s="62">
        <f t="shared" si="156"/>
        <v>345.19555189302378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>
        <f>FZ182*VLOOKUP('Données projet'!$B$17,Paramètres!$A$1:$I$89,3,0)*VLOOKUP('Données projet'!$B$17,Paramètres!$A$1:$I$89,5,0)</f>
        <v>0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409.68685886029164</v>
      </c>
      <c r="GF182" s="62">
        <f t="shared" si="158"/>
        <v>330.8416508650887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9.6326351752087378E-22</v>
      </c>
      <c r="GO182" s="23">
        <f t="shared" si="187"/>
        <v>9.6326351752087378E-22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73.098184695482075</v>
      </c>
      <c r="T183" s="62">
        <f t="shared" si="142"/>
        <v>334.38551711782793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2.8075486117813924</v>
      </c>
      <c r="AA183" s="23">
        <f>EXP(-LN(2)/25)*AA182+(1-EXP(-LN(2)/25))/(LN(2)/25)*Calculateur!V183*Calculateur!X183*VLOOKUP('Données projet'!$B$9,Paramètres!$A$1:$I$89,3,0)*0.475*44/12</f>
        <v>0.21472748965689639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3.0222761014382886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70.520400819593021</v>
      </c>
      <c r="AO183" s="62">
        <f t="shared" si="144"/>
        <v>321.48616153644309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2.6783669271902255</v>
      </c>
      <c r="AV183" s="23">
        <f>EXP(-LN(2)/25)*AV182+(1-EXP(-LN(2)/25))/(LN(2)/25)*Calculateur!AQ183*Calculateur!AS183*VLOOKUP('Données projet'!$B$10,Paramètres!$A$1:$I$89,3,0)*0.475*44/12</f>
        <v>0.20484739043955419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2.8832143176297795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1.5961632016114892E-13</v>
      </c>
      <c r="BF183" s="14">
        <f t="shared" si="167"/>
        <v>2.2708641912150958E-12</v>
      </c>
      <c r="BG183" s="22">
        <f t="shared" si="168"/>
        <v>4.2330868906469593E-12</v>
      </c>
      <c r="BH183" s="62">
        <f t="shared" si="116"/>
        <v>287.36260365652993</v>
      </c>
      <c r="BI183" s="62">
        <f ca="1">AVERAGE(OFFSET($BH$3,0,0,'Données projet'!$E$11+1,1))-AVERAGE(OFFSET($H$3,0,0,'Données projet'!$E$11+1,1))</f>
        <v>374.62597460242665</v>
      </c>
      <c r="BJ183" s="62">
        <f t="shared" si="146"/>
        <v>277.50105097454616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-1.7053025658242404E-13</v>
      </c>
      <c r="BZ183" s="14">
        <f>BY183*VLOOKUP('Données projet'!$B$12,Paramètres!$A$1:$I$89,3,0)*VLOOKUP('Données projet'!$B$12,Paramètres!$A$1:$I$89,5,0)</f>
        <v>-7.9808160080574461E-14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329.79342219561465</v>
      </c>
      <c r="CE183" s="62">
        <f t="shared" si="148"/>
        <v>144.63206563329757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6.8212102632969618E-13</v>
      </c>
      <c r="CU183" s="18">
        <f>CT183*VLOOKUP('Données projet'!$B$13,Paramètres!$A$1:$I$89,3,0)*VLOOKUP('Données projet'!$B$13,Paramètres!$A$1:$I$89,5,0)</f>
        <v>4.0790837374515837E-13</v>
      </c>
      <c r="CV183" s="14">
        <f t="shared" si="173"/>
        <v>5.2028966193600884E-12</v>
      </c>
      <c r="CW183" s="22">
        <f t="shared" si="174"/>
        <v>9.7721520296583044E-12</v>
      </c>
      <c r="CX183" s="62">
        <f t="shared" si="122"/>
        <v>287.3626036565355</v>
      </c>
      <c r="CY183" s="62">
        <f ca="1">AVERAGE(OFFSET($CX$3,0,0,'Données projet'!$E$13+1,1))-AVERAGE(OFFSET($H$3,0,0,'Données projet'!$E$13+1,1))</f>
        <v>530.27599556821826</v>
      </c>
      <c r="CZ183" s="62">
        <f t="shared" si="150"/>
        <v>370.62231794492129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3.9820496509137723E-22</v>
      </c>
      <c r="DI183" s="24">
        <f t="shared" si="175"/>
        <v>3.9820496509137723E-22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1.2946657079737634E-13</v>
      </c>
      <c r="DQ183" s="14">
        <f t="shared" si="176"/>
        <v>1.8873591890224769E-12</v>
      </c>
      <c r="DR183" s="22">
        <f t="shared" si="177"/>
        <v>3.5126381983529106E-12</v>
      </c>
      <c r="DS183" s="62">
        <f t="shared" si="125"/>
        <v>287.36260365652925</v>
      </c>
      <c r="DT183" s="62">
        <f ca="1">AVERAGE(OFFSET($DS$3,0,0,'Données projet'!$E$14+1,1))-AVERAGE(OFFSET($H$3,0,0,'Données projet'!$E$14+1,1))</f>
        <v>520.23742527061836</v>
      </c>
      <c r="DU183" s="62">
        <f t="shared" si="152"/>
        <v>321.35925479331274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-1.1882548278663309E-13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435.44444011810265</v>
      </c>
      <c r="EP183" s="62">
        <f t="shared" si="154"/>
        <v>447.15868732689762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547.89540791313675</v>
      </c>
      <c r="FK183" s="62">
        <f t="shared" si="156"/>
        <v>345.19555189302378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>
        <f>FZ183*VLOOKUP('Données projet'!$B$17,Paramètres!$A$1:$I$89,3,0)*VLOOKUP('Données projet'!$B$17,Paramètres!$A$1:$I$89,5,0)</f>
        <v>0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409.68685886029164</v>
      </c>
      <c r="GF183" s="62">
        <f t="shared" si="158"/>
        <v>330.8416508650887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6.811301653086166E-22</v>
      </c>
      <c r="GO183" s="23">
        <f t="shared" si="187"/>
        <v>6.811301653086166E-22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73.098184695482075</v>
      </c>
      <c r="T184" s="62">
        <f t="shared" si="142"/>
        <v>334.38551711782793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2.7524942959399237</v>
      </c>
      <c r="AA184" s="23">
        <f>EXP(-LN(2)/25)*AA183+(1-EXP(-LN(2)/25))/(LN(2)/25)*Calculateur!V184*Calculateur!X184*VLOOKUP('Données projet'!$B$9,Paramètres!$A$1:$I$89,3,0)*0.475*44/12</f>
        <v>0.20885575516020063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2.9613500511001245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70.520400819593021</v>
      </c>
      <c r="AO184" s="62">
        <f t="shared" si="144"/>
        <v>321.48616153644309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2.6258457853905419</v>
      </c>
      <c r="AV184" s="23">
        <f>EXP(-LN(2)/25)*AV183+(1-EXP(-LN(2)/25))/(LN(2)/25)*Calculateur!AQ184*Calculateur!AS184*VLOOKUP('Données projet'!$B$10,Paramètres!$A$1:$I$89,3,0)*0.475*44/12</f>
        <v>0.19924582777552849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2.8250916131660704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1.5961632016114892E-13</v>
      </c>
      <c r="BF184" s="14">
        <f t="shared" si="167"/>
        <v>2.2708641912150958E-12</v>
      </c>
      <c r="BG184" s="22">
        <f t="shared" si="168"/>
        <v>4.2330868906469593E-12</v>
      </c>
      <c r="BH184" s="62">
        <f t="shared" si="116"/>
        <v>287.46618246787074</v>
      </c>
      <c r="BI184" s="62">
        <f ca="1">AVERAGE(OFFSET($BH$3,0,0,'Données projet'!$E$11+1,1))-AVERAGE(OFFSET($H$3,0,0,'Données projet'!$E$11+1,1))</f>
        <v>374.62597460242665</v>
      </c>
      <c r="BJ184" s="62">
        <f t="shared" si="146"/>
        <v>277.50105097454616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-1.7053025658242404E-13</v>
      </c>
      <c r="BZ184" s="14">
        <f>BY184*VLOOKUP('Données projet'!$B$12,Paramètres!$A$1:$I$89,3,0)*VLOOKUP('Données projet'!$B$12,Paramètres!$A$1:$I$89,5,0)</f>
        <v>-7.9808160080574461E-14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329.79342219561465</v>
      </c>
      <c r="CE184" s="62">
        <f t="shared" si="148"/>
        <v>144.63206563329757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6.8212102632969618E-13</v>
      </c>
      <c r="CU184" s="18">
        <f>CT184*VLOOKUP('Données projet'!$B$13,Paramètres!$A$1:$I$89,3,0)*VLOOKUP('Données projet'!$B$13,Paramètres!$A$1:$I$89,5,0)</f>
        <v>4.0790837374515837E-13</v>
      </c>
      <c r="CV184" s="14">
        <f t="shared" si="173"/>
        <v>5.2028966193600884E-12</v>
      </c>
      <c r="CW184" s="22">
        <f t="shared" si="174"/>
        <v>9.7721520296583044E-12</v>
      </c>
      <c r="CX184" s="62">
        <f t="shared" si="122"/>
        <v>287.46618246787631</v>
      </c>
      <c r="CY184" s="62">
        <f ca="1">AVERAGE(OFFSET($CX$3,0,0,'Données projet'!$E$13+1,1))-AVERAGE(OFFSET($H$3,0,0,'Données projet'!$E$13+1,1))</f>
        <v>530.27599556821826</v>
      </c>
      <c r="CZ184" s="62">
        <f t="shared" si="150"/>
        <v>370.62231794492129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2.8157343111826527E-22</v>
      </c>
      <c r="DI184" s="24">
        <f t="shared" si="175"/>
        <v>2.8157343111826527E-22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1.2946657079737634E-13</v>
      </c>
      <c r="DQ184" s="14">
        <f t="shared" si="176"/>
        <v>1.8873591890224769E-12</v>
      </c>
      <c r="DR184" s="22">
        <f t="shared" si="177"/>
        <v>3.5126381983529106E-12</v>
      </c>
      <c r="DS184" s="62">
        <f t="shared" si="125"/>
        <v>287.46618246787006</v>
      </c>
      <c r="DT184" s="62">
        <f ca="1">AVERAGE(OFFSET($DS$3,0,0,'Données projet'!$E$14+1,1))-AVERAGE(OFFSET($H$3,0,0,'Données projet'!$E$14+1,1))</f>
        <v>520.23742527061836</v>
      </c>
      <c r="DU184" s="62">
        <f t="shared" si="152"/>
        <v>321.35925479331274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-1.1882548278663309E-13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435.44444011810265</v>
      </c>
      <c r="EP184" s="62">
        <f t="shared" si="154"/>
        <v>447.15868732689762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547.89540791313675</v>
      </c>
      <c r="FK184" s="62">
        <f t="shared" si="156"/>
        <v>345.19555189302378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>
        <f>FZ184*VLOOKUP('Données projet'!$B$17,Paramètres!$A$1:$I$89,3,0)*VLOOKUP('Données projet'!$B$17,Paramètres!$A$1:$I$89,5,0)</f>
        <v>0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409.68685886029164</v>
      </c>
      <c r="GF184" s="62">
        <f t="shared" si="158"/>
        <v>330.8416508650887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4.8163175876043689E-22</v>
      </c>
      <c r="GO184" s="23">
        <f t="shared" si="187"/>
        <v>4.8163175876043689E-22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73.098184695482075</v>
      </c>
      <c r="T185" s="62">
        <f t="shared" si="142"/>
        <v>334.38551711782793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2.6985195616522892</v>
      </c>
      <c r="AA185" s="23">
        <f>EXP(-LN(2)/25)*AA184+(1-EXP(-LN(2)/25))/(LN(2)/25)*Calculateur!V185*Calculateur!X185*VLOOKUP('Données projet'!$B$9,Paramètres!$A$1:$I$89,3,0)*0.475*44/12</f>
        <v>0.20314458355209813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2.9016641452043874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70.520400819593021</v>
      </c>
      <c r="AO185" s="62">
        <f t="shared" si="144"/>
        <v>321.48616153644309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2.5743545511468167</v>
      </c>
      <c r="AV185" s="23">
        <f>EXP(-LN(2)/25)*AV184+(1-EXP(-LN(2)/25))/(LN(2)/25)*Calculateur!AQ185*Calculateur!AS185*VLOOKUP('Données projet'!$B$10,Paramètres!$A$1:$I$89,3,0)*0.475*44/12</f>
        <v>0.19379744013712397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2.7681519912839407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1.5961632016114892E-13</v>
      </c>
      <c r="BF185" s="14">
        <f t="shared" si="167"/>
        <v>2.2708641912150958E-12</v>
      </c>
      <c r="BG185" s="22">
        <f t="shared" si="168"/>
        <v>4.2330868906469593E-12</v>
      </c>
      <c r="BH185" s="62">
        <f t="shared" si="116"/>
        <v>287.56796441840231</v>
      </c>
      <c r="BI185" s="62">
        <f ca="1">AVERAGE(OFFSET($BH$3,0,0,'Données projet'!$E$11+1,1))-AVERAGE(OFFSET($H$3,0,0,'Données projet'!$E$11+1,1))</f>
        <v>374.62597460242665</v>
      </c>
      <c r="BJ185" s="62">
        <f t="shared" si="146"/>
        <v>277.50105097454616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-1.7053025658242404E-13</v>
      </c>
      <c r="BZ185" s="14">
        <f>BY185*VLOOKUP('Données projet'!$B$12,Paramètres!$A$1:$I$89,3,0)*VLOOKUP('Données projet'!$B$12,Paramètres!$A$1:$I$89,5,0)</f>
        <v>-7.9808160080574461E-14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329.79342219561465</v>
      </c>
      <c r="CE185" s="62">
        <f t="shared" si="148"/>
        <v>144.63206563329757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6.8212102632969618E-13</v>
      </c>
      <c r="CU185" s="18">
        <f>CT185*VLOOKUP('Données projet'!$B$13,Paramètres!$A$1:$I$89,3,0)*VLOOKUP('Données projet'!$B$13,Paramètres!$A$1:$I$89,5,0)</f>
        <v>4.0790837374515837E-13</v>
      </c>
      <c r="CV185" s="14">
        <f t="shared" si="173"/>
        <v>5.2028966193600884E-12</v>
      </c>
      <c r="CW185" s="22">
        <f t="shared" si="174"/>
        <v>9.7721520296583044E-12</v>
      </c>
      <c r="CX185" s="62">
        <f t="shared" si="122"/>
        <v>287.56796441840788</v>
      </c>
      <c r="CY185" s="62">
        <f ca="1">AVERAGE(OFFSET($CX$3,0,0,'Données projet'!$E$13+1,1))-AVERAGE(OFFSET($H$3,0,0,'Données projet'!$E$13+1,1))</f>
        <v>530.27599556821826</v>
      </c>
      <c r="CZ185" s="62">
        <f t="shared" si="150"/>
        <v>370.62231794492129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1.9910248254568862E-22</v>
      </c>
      <c r="DI185" s="24">
        <f t="shared" si="175"/>
        <v>1.9910248254568862E-22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1.2946657079737634E-13</v>
      </c>
      <c r="DQ185" s="14">
        <f t="shared" si="176"/>
        <v>1.8873591890224769E-12</v>
      </c>
      <c r="DR185" s="22">
        <f t="shared" si="177"/>
        <v>3.5126381983529106E-12</v>
      </c>
      <c r="DS185" s="62">
        <f t="shared" si="125"/>
        <v>287.56796441840163</v>
      </c>
      <c r="DT185" s="62">
        <f ca="1">AVERAGE(OFFSET($DS$3,0,0,'Données projet'!$E$14+1,1))-AVERAGE(OFFSET($H$3,0,0,'Données projet'!$E$14+1,1))</f>
        <v>520.23742527061836</v>
      </c>
      <c r="DU185" s="62">
        <f t="shared" si="152"/>
        <v>321.35925479331274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-1.1882548278663309E-13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435.44444011810265</v>
      </c>
      <c r="EP185" s="62">
        <f t="shared" si="154"/>
        <v>447.15868732689762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547.89540791313675</v>
      </c>
      <c r="FK185" s="62">
        <f t="shared" si="156"/>
        <v>345.19555189302378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>
        <f>FZ185*VLOOKUP('Données projet'!$B$17,Paramètres!$A$1:$I$89,3,0)*VLOOKUP('Données projet'!$B$17,Paramètres!$A$1:$I$89,5,0)</f>
        <v>0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409.68685886029164</v>
      </c>
      <c r="GF185" s="62">
        <f t="shared" si="158"/>
        <v>330.8416508650887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3.405650826543083E-22</v>
      </c>
      <c r="GO185" s="23">
        <f t="shared" si="187"/>
        <v>3.405650826543083E-22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73.098184695482075</v>
      </c>
      <c r="T186" s="62">
        <f t="shared" si="142"/>
        <v>334.38551711782793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2.645603238982698</v>
      </c>
      <c r="AA186" s="23">
        <f>EXP(-LN(2)/25)*AA185+(1-EXP(-LN(2)/25))/(LN(2)/25)*Calculateur!V186*Calculateur!X186*VLOOKUP('Données projet'!$B$9,Paramètres!$A$1:$I$89,3,0)*0.475*44/12</f>
        <v>0.19758958423195666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2.8431928232146548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70.520400819593021</v>
      </c>
      <c r="AO186" s="62">
        <f t="shared" si="144"/>
        <v>321.48616153644309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2.5238730286000592</v>
      </c>
      <c r="AV186" s="23">
        <f>EXP(-LN(2)/25)*AV185+(1-EXP(-LN(2)/25))/(LN(2)/25)*Calculateur!AQ186*Calculateur!AS186*VLOOKUP('Données projet'!$B$10,Paramètres!$A$1:$I$89,3,0)*0.475*44/12</f>
        <v>0.18849803894520986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2.712371067545269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1.5961632016114892E-13</v>
      </c>
      <c r="BF186" s="14">
        <f t="shared" si="167"/>
        <v>2.2708641912150958E-12</v>
      </c>
      <c r="BG186" s="22">
        <f t="shared" si="168"/>
        <v>4.2330868906469593E-12</v>
      </c>
      <c r="BH186" s="62">
        <f t="shared" si="116"/>
        <v>287.66798067964254</v>
      </c>
      <c r="BI186" s="62">
        <f ca="1">AVERAGE(OFFSET($BH$3,0,0,'Données projet'!$E$11+1,1))-AVERAGE(OFFSET($H$3,0,0,'Données projet'!$E$11+1,1))</f>
        <v>374.62597460242665</v>
      </c>
      <c r="BJ186" s="62">
        <f t="shared" si="146"/>
        <v>277.50105097454616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-1.7053025658242404E-13</v>
      </c>
      <c r="BZ186" s="14">
        <f>BY186*VLOOKUP('Données projet'!$B$12,Paramètres!$A$1:$I$89,3,0)*VLOOKUP('Données projet'!$B$12,Paramètres!$A$1:$I$89,5,0)</f>
        <v>-7.9808160080574461E-14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329.79342219561465</v>
      </c>
      <c r="CE186" s="62">
        <f t="shared" si="148"/>
        <v>144.63206563329757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6.8212102632969618E-13</v>
      </c>
      <c r="CU186" s="18">
        <f>CT186*VLOOKUP('Données projet'!$B$13,Paramètres!$A$1:$I$89,3,0)*VLOOKUP('Données projet'!$B$13,Paramètres!$A$1:$I$89,5,0)</f>
        <v>4.0790837374515837E-13</v>
      </c>
      <c r="CV186" s="14">
        <f t="shared" si="173"/>
        <v>5.2028966193600884E-12</v>
      </c>
      <c r="CW186" s="22">
        <f t="shared" si="174"/>
        <v>9.7721520296583044E-12</v>
      </c>
      <c r="CX186" s="62">
        <f t="shared" si="122"/>
        <v>287.66798067964811</v>
      </c>
      <c r="CY186" s="62">
        <f ca="1">AVERAGE(OFFSET($CX$3,0,0,'Données projet'!$E$13+1,1))-AVERAGE(OFFSET($H$3,0,0,'Données projet'!$E$13+1,1))</f>
        <v>530.27599556821826</v>
      </c>
      <c r="CZ186" s="62">
        <f t="shared" si="150"/>
        <v>370.62231794492129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1.4078671555913264E-22</v>
      </c>
      <c r="DI186" s="24">
        <f t="shared" si="175"/>
        <v>1.4078671555913264E-22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1.2946657079737634E-13</v>
      </c>
      <c r="DQ186" s="14">
        <f t="shared" si="176"/>
        <v>1.8873591890224769E-12</v>
      </c>
      <c r="DR186" s="22">
        <f t="shared" si="177"/>
        <v>3.5126381983529106E-12</v>
      </c>
      <c r="DS186" s="62">
        <f t="shared" si="125"/>
        <v>287.66798067964186</v>
      </c>
      <c r="DT186" s="62">
        <f ca="1">AVERAGE(OFFSET($DS$3,0,0,'Données projet'!$E$14+1,1))-AVERAGE(OFFSET($H$3,0,0,'Données projet'!$E$14+1,1))</f>
        <v>520.23742527061836</v>
      </c>
      <c r="DU186" s="62">
        <f t="shared" si="152"/>
        <v>321.35925479331274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-1.1882548278663309E-13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435.44444011810265</v>
      </c>
      <c r="EP186" s="62">
        <f t="shared" si="154"/>
        <v>447.15868732689762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547.89540791313675</v>
      </c>
      <c r="FK186" s="62">
        <f t="shared" si="156"/>
        <v>345.19555189302378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>
        <f>FZ186*VLOOKUP('Données projet'!$B$17,Paramètres!$A$1:$I$89,3,0)*VLOOKUP('Données projet'!$B$17,Paramètres!$A$1:$I$89,5,0)</f>
        <v>0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409.68685886029164</v>
      </c>
      <c r="GF186" s="62">
        <f t="shared" si="158"/>
        <v>330.8416508650887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2.4081587938021845E-22</v>
      </c>
      <c r="GO186" s="23">
        <f t="shared" si="187"/>
        <v>2.4081587938021845E-22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73.098184695482075</v>
      </c>
      <c r="T187" s="62">
        <f t="shared" si="142"/>
        <v>334.38551711782793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2.5937245731248875</v>
      </c>
      <c r="AA187" s="23">
        <f>EXP(-LN(2)/25)*AA186+(1-EXP(-LN(2)/25))/(LN(2)/25)*Calculateur!V187*Calculateur!X187*VLOOKUP('Données projet'!$B$9,Paramètres!$A$1:$I$89,3,0)*0.475*44/12</f>
        <v>0.19218648666034918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2.7859110597852368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70.520400819593021</v>
      </c>
      <c r="AO187" s="62">
        <f t="shared" si="144"/>
        <v>321.48616153644309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2.4743814179197554</v>
      </c>
      <c r="AV187" s="23">
        <f>EXP(-LN(2)/25)*AV186+(1-EXP(-LN(2)/25))/(LN(2)/25)*Calculateur!AQ187*Calculateur!AS187*VLOOKUP('Données projet'!$B$10,Paramètres!$A$1:$I$89,3,0)*0.475*44/12</f>
        <v>0.18334355015757206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2.6577249680773276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1.5961632016114892E-13</v>
      </c>
      <c r="BF187" s="14">
        <f t="shared" si="167"/>
        <v>2.2708641912150958E-12</v>
      </c>
      <c r="BG187" s="22">
        <f t="shared" si="168"/>
        <v>4.2330868906469593E-12</v>
      </c>
      <c r="BH187" s="62">
        <f t="shared" si="116"/>
        <v>287.76626188235304</v>
      </c>
      <c r="BI187" s="62">
        <f ca="1">AVERAGE(OFFSET($BH$3,0,0,'Données projet'!$E$11+1,1))-AVERAGE(OFFSET($H$3,0,0,'Données projet'!$E$11+1,1))</f>
        <v>374.62597460242665</v>
      </c>
      <c r="BJ187" s="62">
        <f t="shared" si="146"/>
        <v>277.50105097454616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-1.7053025658242404E-13</v>
      </c>
      <c r="BZ187" s="14">
        <f>BY187*VLOOKUP('Données projet'!$B$12,Paramètres!$A$1:$I$89,3,0)*VLOOKUP('Données projet'!$B$12,Paramètres!$A$1:$I$89,5,0)</f>
        <v>-7.9808160080574461E-14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329.79342219561465</v>
      </c>
      <c r="CE187" s="62">
        <f t="shared" si="148"/>
        <v>144.63206563329757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6.8212102632969618E-13</v>
      </c>
      <c r="CU187" s="18">
        <f>CT187*VLOOKUP('Données projet'!$B$13,Paramètres!$A$1:$I$89,3,0)*VLOOKUP('Données projet'!$B$13,Paramètres!$A$1:$I$89,5,0)</f>
        <v>4.0790837374515837E-13</v>
      </c>
      <c r="CV187" s="14">
        <f t="shared" si="173"/>
        <v>5.2028966193600884E-12</v>
      </c>
      <c r="CW187" s="22">
        <f t="shared" si="174"/>
        <v>9.7721520296583044E-12</v>
      </c>
      <c r="CX187" s="62">
        <f t="shared" si="122"/>
        <v>287.76626188235861</v>
      </c>
      <c r="CY187" s="62">
        <f ca="1">AVERAGE(OFFSET($CX$3,0,0,'Données projet'!$E$13+1,1))-AVERAGE(OFFSET($H$3,0,0,'Données projet'!$E$13+1,1))</f>
        <v>530.27599556821826</v>
      </c>
      <c r="CZ187" s="62">
        <f t="shared" si="150"/>
        <v>370.62231794492129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9.9551241272844308E-23</v>
      </c>
      <c r="DI187" s="24">
        <f t="shared" si="175"/>
        <v>9.9551241272844308E-23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1.2946657079737634E-13</v>
      </c>
      <c r="DQ187" s="14">
        <f t="shared" si="176"/>
        <v>1.8873591890224769E-12</v>
      </c>
      <c r="DR187" s="22">
        <f t="shared" si="177"/>
        <v>3.5126381983529106E-12</v>
      </c>
      <c r="DS187" s="62">
        <f t="shared" si="125"/>
        <v>287.76626188235235</v>
      </c>
      <c r="DT187" s="62">
        <f ca="1">AVERAGE(OFFSET($DS$3,0,0,'Données projet'!$E$14+1,1))-AVERAGE(OFFSET($H$3,0,0,'Données projet'!$E$14+1,1))</f>
        <v>520.23742527061836</v>
      </c>
      <c r="DU187" s="62">
        <f t="shared" si="152"/>
        <v>321.35925479331274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-1.1882548278663309E-13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435.44444011810265</v>
      </c>
      <c r="EP187" s="62">
        <f t="shared" si="154"/>
        <v>447.15868732689762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547.89540791313675</v>
      </c>
      <c r="FK187" s="62">
        <f t="shared" si="156"/>
        <v>345.19555189302378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>
        <f>FZ187*VLOOKUP('Données projet'!$B$17,Paramètres!$A$1:$I$89,3,0)*VLOOKUP('Données projet'!$B$17,Paramètres!$A$1:$I$89,5,0)</f>
        <v>0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409.68685886029164</v>
      </c>
      <c r="GF187" s="62">
        <f t="shared" si="158"/>
        <v>330.8416508650887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1.7028254132715415E-22</v>
      </c>
      <c r="GO187" s="23">
        <f t="shared" si="187"/>
        <v>1.7028254132715415E-22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73.098184695482075</v>
      </c>
      <c r="T188" s="62">
        <f t="shared" si="142"/>
        <v>334.38551711782793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2.5428632162616869</v>
      </c>
      <c r="AA188" s="23">
        <f>EXP(-LN(2)/25)*AA187+(1-EXP(-LN(2)/25))/(LN(2)/25)*Calculateur!V188*Calculateur!X188*VLOOKUP('Données projet'!$B$9,Paramètres!$A$1:$I$89,3,0)*0.475*44/12</f>
        <v>0.18693113707597384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2.7297943533376605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70.520400819593021</v>
      </c>
      <c r="AO188" s="62">
        <f t="shared" si="144"/>
        <v>321.48616153644309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2.4258603075379903</v>
      </c>
      <c r="AV188" s="23">
        <f>EXP(-LN(2)/25)*AV187+(1-EXP(-LN(2)/25))/(LN(2)/25)*Calculateur!AQ188*Calculateur!AS188*VLOOKUP('Données projet'!$B$10,Paramètres!$A$1:$I$89,3,0)*0.475*44/12</f>
        <v>0.17833001113689498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2.6041903186748852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1.5961632016114892E-13</v>
      </c>
      <c r="BF188" s="14">
        <f t="shared" si="167"/>
        <v>2.2708641912150958E-12</v>
      </c>
      <c r="BG188" s="22">
        <f t="shared" si="168"/>
        <v>4.2330868906469593E-12</v>
      </c>
      <c r="BH188" s="62">
        <f t="shared" si="116"/>
        <v>287.86283812592046</v>
      </c>
      <c r="BI188" s="62">
        <f ca="1">AVERAGE(OFFSET($BH$3,0,0,'Données projet'!$E$11+1,1))-AVERAGE(OFFSET($H$3,0,0,'Données projet'!$E$11+1,1))</f>
        <v>374.62597460242665</v>
      </c>
      <c r="BJ188" s="62">
        <f t="shared" si="146"/>
        <v>277.50105097454616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-1.7053025658242404E-13</v>
      </c>
      <c r="BZ188" s="14">
        <f>BY188*VLOOKUP('Données projet'!$B$12,Paramètres!$A$1:$I$89,3,0)*VLOOKUP('Données projet'!$B$12,Paramètres!$A$1:$I$89,5,0)</f>
        <v>-7.9808160080574461E-14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329.79342219561465</v>
      </c>
      <c r="CE188" s="62">
        <f t="shared" si="148"/>
        <v>144.63206563329757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6.8212102632969618E-13</v>
      </c>
      <c r="CU188" s="18">
        <f>CT188*VLOOKUP('Données projet'!$B$13,Paramètres!$A$1:$I$89,3,0)*VLOOKUP('Données projet'!$B$13,Paramètres!$A$1:$I$89,5,0)</f>
        <v>4.0790837374515837E-13</v>
      </c>
      <c r="CV188" s="14">
        <f t="shared" si="173"/>
        <v>5.2028966193600884E-12</v>
      </c>
      <c r="CW188" s="22">
        <f t="shared" si="174"/>
        <v>9.7721520296583044E-12</v>
      </c>
      <c r="CX188" s="62">
        <f t="shared" si="122"/>
        <v>287.86283812592603</v>
      </c>
      <c r="CY188" s="62">
        <f ca="1">AVERAGE(OFFSET($CX$3,0,0,'Données projet'!$E$13+1,1))-AVERAGE(OFFSET($H$3,0,0,'Données projet'!$E$13+1,1))</f>
        <v>530.27599556821826</v>
      </c>
      <c r="CZ188" s="62">
        <f t="shared" si="150"/>
        <v>370.62231794492129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7.0393357779566318E-23</v>
      </c>
      <c r="DI188" s="24">
        <f t="shared" si="175"/>
        <v>7.0393357779566318E-23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1.2946657079737634E-13</v>
      </c>
      <c r="DQ188" s="14">
        <f t="shared" si="176"/>
        <v>1.8873591890224769E-12</v>
      </c>
      <c r="DR188" s="22">
        <f t="shared" si="177"/>
        <v>3.5126381983529106E-12</v>
      </c>
      <c r="DS188" s="62">
        <f t="shared" si="125"/>
        <v>287.86283812591978</v>
      </c>
      <c r="DT188" s="62">
        <f ca="1">AVERAGE(OFFSET($DS$3,0,0,'Données projet'!$E$14+1,1))-AVERAGE(OFFSET($H$3,0,0,'Données projet'!$E$14+1,1))</f>
        <v>520.23742527061836</v>
      </c>
      <c r="DU188" s="62">
        <f t="shared" si="152"/>
        <v>321.35925479331274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-1.1882548278663309E-13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435.44444011810265</v>
      </c>
      <c r="EP188" s="62">
        <f t="shared" si="154"/>
        <v>447.15868732689762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547.89540791313675</v>
      </c>
      <c r="FK188" s="62">
        <f t="shared" si="156"/>
        <v>345.19555189302378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>
        <f>FZ188*VLOOKUP('Données projet'!$B$17,Paramètres!$A$1:$I$89,3,0)*VLOOKUP('Données projet'!$B$17,Paramètres!$A$1:$I$89,5,0)</f>
        <v>0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409.68685886029164</v>
      </c>
      <c r="GF188" s="62">
        <f t="shared" si="158"/>
        <v>330.8416508650887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1.2040793969010922E-22</v>
      </c>
      <c r="GO188" s="23">
        <f t="shared" si="187"/>
        <v>1.2040793969010922E-22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73.098184695482075</v>
      </c>
      <c r="T189" s="62">
        <f t="shared" si="142"/>
        <v>334.38551711782793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2.4929992195842092</v>
      </c>
      <c r="AA189" s="23">
        <f>EXP(-LN(2)/25)*AA188+(1-EXP(-LN(2)/25))/(LN(2)/25)*Calculateur!V189*Calculateur!X189*VLOOKUP('Données projet'!$B$9,Paramètres!$A$1:$I$89,3,0)*0.475*44/12</f>
        <v>0.18181949530235006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2.6748187148865594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70.520400819593021</v>
      </c>
      <c r="AO189" s="62">
        <f t="shared" si="144"/>
        <v>321.48616153644309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2.3782906665358565</v>
      </c>
      <c r="AV189" s="23">
        <f>EXP(-LN(2)/25)*AV188+(1-EXP(-LN(2)/25))/(LN(2)/25)*Calculateur!AQ189*Calculateur!AS189*VLOOKUP('Données projet'!$B$10,Paramètres!$A$1:$I$89,3,0)*0.475*44/12</f>
        <v>0.17345356760438888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2.5517442341402452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1.5961632016114892E-13</v>
      </c>
      <c r="BF189" s="14">
        <f t="shared" si="167"/>
        <v>2.2708641912150958E-12</v>
      </c>
      <c r="BG189" s="22">
        <f t="shared" si="168"/>
        <v>4.2330868906469593E-12</v>
      </c>
      <c r="BH189" s="62">
        <f t="shared" si="116"/>
        <v>287.95773898757403</v>
      </c>
      <c r="BI189" s="62">
        <f ca="1">AVERAGE(OFFSET($BH$3,0,0,'Données projet'!$E$11+1,1))-AVERAGE(OFFSET($H$3,0,0,'Données projet'!$E$11+1,1))</f>
        <v>374.62597460242665</v>
      </c>
      <c r="BJ189" s="62">
        <f t="shared" si="146"/>
        <v>277.50105097454616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-1.7053025658242404E-13</v>
      </c>
      <c r="BZ189" s="14">
        <f>BY189*VLOOKUP('Données projet'!$B$12,Paramètres!$A$1:$I$89,3,0)*VLOOKUP('Données projet'!$B$12,Paramètres!$A$1:$I$89,5,0)</f>
        <v>-7.9808160080574461E-14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329.79342219561465</v>
      </c>
      <c r="CE189" s="62">
        <f t="shared" si="148"/>
        <v>144.63206563329757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6.8212102632969618E-13</v>
      </c>
      <c r="CU189" s="18">
        <f>CT189*VLOOKUP('Données projet'!$B$13,Paramètres!$A$1:$I$89,3,0)*VLOOKUP('Données projet'!$B$13,Paramètres!$A$1:$I$89,5,0)</f>
        <v>4.0790837374515837E-13</v>
      </c>
      <c r="CV189" s="14">
        <f t="shared" si="173"/>
        <v>5.2028966193600884E-12</v>
      </c>
      <c r="CW189" s="22">
        <f t="shared" si="174"/>
        <v>9.7721520296583044E-12</v>
      </c>
      <c r="CX189" s="62">
        <f t="shared" si="122"/>
        <v>287.9577389875796</v>
      </c>
      <c r="CY189" s="62">
        <f ca="1">AVERAGE(OFFSET($CX$3,0,0,'Données projet'!$E$13+1,1))-AVERAGE(OFFSET($H$3,0,0,'Données projet'!$E$13+1,1))</f>
        <v>530.27599556821826</v>
      </c>
      <c r="CZ189" s="62">
        <f t="shared" si="150"/>
        <v>370.62231794492129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4.9775620636422154E-23</v>
      </c>
      <c r="DI189" s="24">
        <f t="shared" si="175"/>
        <v>4.9775620636422154E-23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1.2946657079737634E-13</v>
      </c>
      <c r="DQ189" s="14">
        <f t="shared" si="176"/>
        <v>1.8873591890224769E-12</v>
      </c>
      <c r="DR189" s="22">
        <f t="shared" si="177"/>
        <v>3.5126381983529106E-12</v>
      </c>
      <c r="DS189" s="62">
        <f t="shared" si="125"/>
        <v>287.95773898757335</v>
      </c>
      <c r="DT189" s="62">
        <f ca="1">AVERAGE(OFFSET($DS$3,0,0,'Données projet'!$E$14+1,1))-AVERAGE(OFFSET($H$3,0,0,'Données projet'!$E$14+1,1))</f>
        <v>520.23742527061836</v>
      </c>
      <c r="DU189" s="62">
        <f t="shared" si="152"/>
        <v>321.35925479331274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-1.1882548278663309E-13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435.44444011810265</v>
      </c>
      <c r="EP189" s="62">
        <f t="shared" si="154"/>
        <v>447.15868732689762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547.89540791313675</v>
      </c>
      <c r="FK189" s="62">
        <f t="shared" si="156"/>
        <v>345.19555189302378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>
        <f>FZ189*VLOOKUP('Données projet'!$B$17,Paramètres!$A$1:$I$89,3,0)*VLOOKUP('Données projet'!$B$17,Paramètres!$A$1:$I$89,5,0)</f>
        <v>0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409.68685886029164</v>
      </c>
      <c r="GF189" s="62">
        <f t="shared" si="158"/>
        <v>330.8416508650887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8.5141270663577075E-23</v>
      </c>
      <c r="GO189" s="23">
        <f t="shared" si="187"/>
        <v>8.5141270663577075E-23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73.098184695482075</v>
      </c>
      <c r="T190" s="62">
        <f t="shared" si="142"/>
        <v>334.38551711782793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2.4441130254675421</v>
      </c>
      <c r="AA190" s="23">
        <f>EXP(-LN(2)/25)*AA189+(1-EXP(-LN(2)/25))/(LN(2)/25)*Calculateur!V190*Calculateur!X190*VLOOKUP('Données projet'!$B$9,Paramètres!$A$1:$I$89,3,0)*0.475*44/12</f>
        <v>0.17684763164183559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2.6209606571093778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70.520400819593021</v>
      </c>
      <c r="AO190" s="62">
        <f t="shared" si="144"/>
        <v>321.48616153644309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2.3316538371791586</v>
      </c>
      <c r="AV190" s="23">
        <f>EXP(-LN(2)/25)*AV189+(1-EXP(-LN(2)/25))/(LN(2)/25)*Calculateur!AQ190*Calculateur!AS190*VLOOKUP('Données projet'!$B$10,Paramètres!$A$1:$I$89,3,0)*0.475*44/12</f>
        <v>0.16871047067672018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2.5003643078558788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1.5961632016114892E-13</v>
      </c>
      <c r="BF190" s="14">
        <f t="shared" si="167"/>
        <v>2.2708641912150958E-12</v>
      </c>
      <c r="BG190" s="22">
        <f t="shared" si="168"/>
        <v>4.2330868906469593E-12</v>
      </c>
      <c r="BH190" s="62">
        <f t="shared" si="116"/>
        <v>288.05099353144459</v>
      </c>
      <c r="BI190" s="62">
        <f ca="1">AVERAGE(OFFSET($BH$3,0,0,'Données projet'!$E$11+1,1))-AVERAGE(OFFSET($H$3,0,0,'Données projet'!$E$11+1,1))</f>
        <v>374.62597460242665</v>
      </c>
      <c r="BJ190" s="62">
        <f t="shared" si="146"/>
        <v>277.50105097454616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-1.7053025658242404E-13</v>
      </c>
      <c r="BZ190" s="14">
        <f>BY190*VLOOKUP('Données projet'!$B$12,Paramètres!$A$1:$I$89,3,0)*VLOOKUP('Données projet'!$B$12,Paramètres!$A$1:$I$89,5,0)</f>
        <v>-7.9808160080574461E-14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329.79342219561465</v>
      </c>
      <c r="CE190" s="62">
        <f t="shared" si="148"/>
        <v>144.63206563329757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6.8212102632969618E-13</v>
      </c>
      <c r="CU190" s="18">
        <f>CT190*VLOOKUP('Données projet'!$B$13,Paramètres!$A$1:$I$89,3,0)*VLOOKUP('Données projet'!$B$13,Paramètres!$A$1:$I$89,5,0)</f>
        <v>4.0790837374515837E-13</v>
      </c>
      <c r="CV190" s="14">
        <f t="shared" si="173"/>
        <v>5.2028966193600884E-12</v>
      </c>
      <c r="CW190" s="22">
        <f t="shared" si="174"/>
        <v>9.7721520296583044E-12</v>
      </c>
      <c r="CX190" s="62">
        <f t="shared" si="122"/>
        <v>288.05099353145016</v>
      </c>
      <c r="CY190" s="62">
        <f ca="1">AVERAGE(OFFSET($CX$3,0,0,'Données projet'!$E$13+1,1))-AVERAGE(OFFSET($H$3,0,0,'Données projet'!$E$13+1,1))</f>
        <v>530.27599556821826</v>
      </c>
      <c r="CZ190" s="62">
        <f t="shared" si="150"/>
        <v>370.62231794492129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3.5196678889783159E-23</v>
      </c>
      <c r="DI190" s="24">
        <f t="shared" si="175"/>
        <v>3.5196678889783159E-23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1.2946657079737634E-13</v>
      </c>
      <c r="DQ190" s="14">
        <f t="shared" si="176"/>
        <v>1.8873591890224769E-12</v>
      </c>
      <c r="DR190" s="22">
        <f t="shared" si="177"/>
        <v>3.5126381983529106E-12</v>
      </c>
      <c r="DS190" s="62">
        <f t="shared" si="125"/>
        <v>288.05099353144391</v>
      </c>
      <c r="DT190" s="62">
        <f ca="1">AVERAGE(OFFSET($DS$3,0,0,'Données projet'!$E$14+1,1))-AVERAGE(OFFSET($H$3,0,0,'Données projet'!$E$14+1,1))</f>
        <v>520.23742527061836</v>
      </c>
      <c r="DU190" s="62">
        <f t="shared" si="152"/>
        <v>321.35925479331274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-1.1882548278663309E-13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435.44444011810265</v>
      </c>
      <c r="EP190" s="62">
        <f t="shared" si="154"/>
        <v>447.15868732689762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547.89540791313675</v>
      </c>
      <c r="FK190" s="62">
        <f t="shared" si="156"/>
        <v>345.19555189302378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>
        <f>FZ190*VLOOKUP('Données projet'!$B$17,Paramètres!$A$1:$I$89,3,0)*VLOOKUP('Données projet'!$B$17,Paramètres!$A$1:$I$89,5,0)</f>
        <v>0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409.68685886029164</v>
      </c>
      <c r="GF190" s="62">
        <f t="shared" si="158"/>
        <v>330.8416508650887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6.0203969845054611E-23</v>
      </c>
      <c r="GO190" s="23">
        <f t="shared" si="187"/>
        <v>6.0203969845054611E-23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73.098184695482075</v>
      </c>
      <c r="T191" s="62">
        <f t="shared" si="142"/>
        <v>334.38551711782793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2.3961854597998684</v>
      </c>
      <c r="AA191" s="23">
        <f>EXP(-LN(2)/25)*AA190+(1-EXP(-LN(2)/25))/(LN(2)/25)*Calculateur!V191*Calculateur!X191*VLOOKUP('Données projet'!$B$9,Paramètres!$A$1:$I$89,3,0)*0.475*44/12</f>
        <v>0.17201172385457683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2.568197183654445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70.520400819593021</v>
      </c>
      <c r="AO191" s="62">
        <f t="shared" si="144"/>
        <v>321.48616153644309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2.2859315276004883</v>
      </c>
      <c r="AV191" s="23">
        <f>EXP(-LN(2)/25)*AV190+(1-EXP(-LN(2)/25))/(LN(2)/25)*Calculateur!AQ191*Calculateur!AS191*VLOOKUP('Données projet'!$B$10,Paramètres!$A$1:$I$89,3,0)*0.475*44/12</f>
        <v>0.1640970739839672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2.4500286015844557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1.5961632016114892E-13</v>
      </c>
      <c r="BF191" s="14">
        <f t="shared" si="167"/>
        <v>2.2708641912150958E-12</v>
      </c>
      <c r="BG191" s="22">
        <f t="shared" si="168"/>
        <v>4.2330868906469593E-12</v>
      </c>
      <c r="BH191" s="62">
        <f t="shared" si="116"/>
        <v>288.14263031746481</v>
      </c>
      <c r="BI191" s="62">
        <f ca="1">AVERAGE(OFFSET($BH$3,0,0,'Données projet'!$E$11+1,1))-AVERAGE(OFFSET($H$3,0,0,'Données projet'!$E$11+1,1))</f>
        <v>374.62597460242665</v>
      </c>
      <c r="BJ191" s="62">
        <f t="shared" si="146"/>
        <v>277.50105097454616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-1.7053025658242404E-13</v>
      </c>
      <c r="BZ191" s="14">
        <f>BY191*VLOOKUP('Données projet'!$B$12,Paramètres!$A$1:$I$89,3,0)*VLOOKUP('Données projet'!$B$12,Paramètres!$A$1:$I$89,5,0)</f>
        <v>-7.9808160080574461E-14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329.79342219561465</v>
      </c>
      <c r="CE191" s="62">
        <f t="shared" si="148"/>
        <v>144.63206563329757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6.8212102632969618E-13</v>
      </c>
      <c r="CU191" s="18">
        <f>CT191*VLOOKUP('Données projet'!$B$13,Paramètres!$A$1:$I$89,3,0)*VLOOKUP('Données projet'!$B$13,Paramètres!$A$1:$I$89,5,0)</f>
        <v>4.0790837374515837E-13</v>
      </c>
      <c r="CV191" s="14">
        <f t="shared" si="173"/>
        <v>5.2028966193600884E-12</v>
      </c>
      <c r="CW191" s="22">
        <f t="shared" si="174"/>
        <v>9.7721520296583044E-12</v>
      </c>
      <c r="CX191" s="62">
        <f t="shared" si="122"/>
        <v>288.14263031747038</v>
      </c>
      <c r="CY191" s="62">
        <f ca="1">AVERAGE(OFFSET($CX$3,0,0,'Données projet'!$E$13+1,1))-AVERAGE(OFFSET($H$3,0,0,'Données projet'!$E$13+1,1))</f>
        <v>530.27599556821826</v>
      </c>
      <c r="CZ191" s="62">
        <f t="shared" si="150"/>
        <v>370.62231794492129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2.4887810318211077E-23</v>
      </c>
      <c r="DI191" s="24">
        <f t="shared" si="175"/>
        <v>2.4887810318211077E-23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1.2946657079737634E-13</v>
      </c>
      <c r="DQ191" s="14">
        <f t="shared" si="176"/>
        <v>1.8873591890224769E-12</v>
      </c>
      <c r="DR191" s="22">
        <f t="shared" si="177"/>
        <v>3.5126381983529106E-12</v>
      </c>
      <c r="DS191" s="62">
        <f t="shared" si="125"/>
        <v>288.14263031746412</v>
      </c>
      <c r="DT191" s="62">
        <f ca="1">AVERAGE(OFFSET($DS$3,0,0,'Données projet'!$E$14+1,1))-AVERAGE(OFFSET($H$3,0,0,'Données projet'!$E$14+1,1))</f>
        <v>520.23742527061836</v>
      </c>
      <c r="DU191" s="62">
        <f t="shared" si="152"/>
        <v>321.35925479331274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-1.1882548278663309E-13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435.44444011810265</v>
      </c>
      <c r="EP191" s="62">
        <f t="shared" si="154"/>
        <v>447.15868732689762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547.89540791313675</v>
      </c>
      <c r="FK191" s="62">
        <f t="shared" si="156"/>
        <v>345.19555189302378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>
        <f>FZ191*VLOOKUP('Données projet'!$B$17,Paramètres!$A$1:$I$89,3,0)*VLOOKUP('Données projet'!$B$17,Paramètres!$A$1:$I$89,5,0)</f>
        <v>0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409.68685886029164</v>
      </c>
      <c r="GF191" s="62">
        <f t="shared" si="158"/>
        <v>330.8416508650887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4.2570635331788537E-23</v>
      </c>
      <c r="GO191" s="23">
        <f t="shared" si="187"/>
        <v>4.2570635331788537E-23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73.098184695482075</v>
      </c>
      <c r="T192" s="62">
        <f t="shared" si="142"/>
        <v>334.38551711782793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2.3491977244620097</v>
      </c>
      <c r="AA192" s="23">
        <f>EXP(-LN(2)/25)*AA191+(1-EXP(-LN(2)/25))/(LN(2)/25)*Calculateur!V192*Calculateur!X192*VLOOKUP('Données projet'!$B$9,Paramètres!$A$1:$I$89,3,0)*0.475*44/12</f>
        <v>0.16730805422007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2.5165057786820797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70.520400819593021</v>
      </c>
      <c r="AO192" s="62">
        <f t="shared" si="144"/>
        <v>321.48616153644309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2.2411058046248007</v>
      </c>
      <c r="AV192" s="23">
        <f>EXP(-LN(2)/25)*AV191+(1-EXP(-LN(2)/25))/(LN(2)/25)*Calculateur!AQ192*Calculateur!AS192*VLOOKUP('Données projet'!$B$10,Paramètres!$A$1:$I$89,3,0)*0.475*44/12</f>
        <v>0.15960983086638553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2.4007156354911863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1.5961632016114892E-13</v>
      </c>
      <c r="BF192" s="14">
        <f t="shared" si="167"/>
        <v>2.2708641912150958E-12</v>
      </c>
      <c r="BG192" s="22">
        <f t="shared" si="168"/>
        <v>4.2330868906469593E-12</v>
      </c>
      <c r="BH192" s="62">
        <f t="shared" si="116"/>
        <v>288.23267741011676</v>
      </c>
      <c r="BI192" s="62">
        <f ca="1">AVERAGE(OFFSET($BH$3,0,0,'Données projet'!$E$11+1,1))-AVERAGE(OFFSET($H$3,0,0,'Données projet'!$E$11+1,1))</f>
        <v>374.62597460242665</v>
      </c>
      <c r="BJ192" s="62">
        <f t="shared" si="146"/>
        <v>277.50105097454616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-1.7053025658242404E-13</v>
      </c>
      <c r="BZ192" s="14">
        <f>BY192*VLOOKUP('Données projet'!$B$12,Paramètres!$A$1:$I$89,3,0)*VLOOKUP('Données projet'!$B$12,Paramètres!$A$1:$I$89,5,0)</f>
        <v>-7.9808160080574461E-14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329.79342219561465</v>
      </c>
      <c r="CE192" s="62">
        <f t="shared" si="148"/>
        <v>144.63206563329757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6.8212102632969618E-13</v>
      </c>
      <c r="CU192" s="18">
        <f>CT192*VLOOKUP('Données projet'!$B$13,Paramètres!$A$1:$I$89,3,0)*VLOOKUP('Données projet'!$B$13,Paramètres!$A$1:$I$89,5,0)</f>
        <v>4.0790837374515837E-13</v>
      </c>
      <c r="CV192" s="14">
        <f t="shared" si="173"/>
        <v>5.2028966193600884E-12</v>
      </c>
      <c r="CW192" s="22">
        <f t="shared" si="174"/>
        <v>9.7721520296583044E-12</v>
      </c>
      <c r="CX192" s="62">
        <f t="shared" si="122"/>
        <v>288.23267741012234</v>
      </c>
      <c r="CY192" s="62">
        <f ca="1">AVERAGE(OFFSET($CX$3,0,0,'Données projet'!$E$13+1,1))-AVERAGE(OFFSET($H$3,0,0,'Données projet'!$E$13+1,1))</f>
        <v>530.27599556821826</v>
      </c>
      <c r="CZ192" s="62">
        <f t="shared" si="150"/>
        <v>370.62231794492129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1.759833944489158E-23</v>
      </c>
      <c r="DI192" s="24">
        <f t="shared" si="175"/>
        <v>1.759833944489158E-23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1.2946657079737634E-13</v>
      </c>
      <c r="DQ192" s="14">
        <f t="shared" si="176"/>
        <v>1.8873591890224769E-12</v>
      </c>
      <c r="DR192" s="22">
        <f t="shared" si="177"/>
        <v>3.5126381983529106E-12</v>
      </c>
      <c r="DS192" s="62">
        <f t="shared" si="125"/>
        <v>288.23267741011608</v>
      </c>
      <c r="DT192" s="62">
        <f ca="1">AVERAGE(OFFSET($DS$3,0,0,'Données projet'!$E$14+1,1))-AVERAGE(OFFSET($H$3,0,0,'Données projet'!$E$14+1,1))</f>
        <v>520.23742527061836</v>
      </c>
      <c r="DU192" s="62">
        <f t="shared" si="152"/>
        <v>321.35925479331274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-1.1882548278663309E-13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435.44444011810265</v>
      </c>
      <c r="EP192" s="62">
        <f t="shared" si="154"/>
        <v>447.15868732689762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547.89540791313675</v>
      </c>
      <c r="FK192" s="62">
        <f t="shared" si="156"/>
        <v>345.19555189302378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>
        <f>FZ192*VLOOKUP('Données projet'!$B$17,Paramètres!$A$1:$I$89,3,0)*VLOOKUP('Données projet'!$B$17,Paramètres!$A$1:$I$89,5,0)</f>
        <v>0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409.68685886029164</v>
      </c>
      <c r="GF192" s="62">
        <f t="shared" si="158"/>
        <v>330.8416508650887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3.0101984922527306E-23</v>
      </c>
      <c r="GO192" s="23">
        <f t="shared" si="187"/>
        <v>3.0101984922527306E-23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73.098184695482075</v>
      </c>
      <c r="T193" s="62">
        <f t="shared" si="142"/>
        <v>334.38551711782793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2.3031313899544377</v>
      </c>
      <c r="AA193" s="23">
        <f>EXP(-LN(2)/25)*AA192+(1-EXP(-LN(2)/25))/(LN(2)/25)*Calculateur!V193*Calculateur!X193*VLOOKUP('Données projet'!$B$9,Paramètres!$A$1:$I$89,3,0)*0.475*44/12</f>
        <v>0.162733006679074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2.4658643966335116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70.520400819593021</v>
      </c>
      <c r="AO193" s="62">
        <f t="shared" si="144"/>
        <v>321.48616153644309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2.1971590867356752</v>
      </c>
      <c r="AV193" s="23">
        <f>EXP(-LN(2)/25)*AV192+(1-EXP(-LN(2)/25))/(LN(2)/25)*Calculateur!AQ193*Calculateur!AS193*VLOOKUP('Données projet'!$B$10,Paramètres!$A$1:$I$89,3,0)*0.475*44/12</f>
        <v>0.15524529164782799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2.3524043783835031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1.5961632016114892E-13</v>
      </c>
      <c r="BF193" s="14">
        <f t="shared" si="167"/>
        <v>2.2708641912150958E-12</v>
      </c>
      <c r="BG193" s="22">
        <f t="shared" si="168"/>
        <v>4.2330868906469593E-12</v>
      </c>
      <c r="BH193" s="62">
        <f t="shared" si="116"/>
        <v>288.32116238702633</v>
      </c>
      <c r="BI193" s="62">
        <f ca="1">AVERAGE(OFFSET($BH$3,0,0,'Données projet'!$E$11+1,1))-AVERAGE(OFFSET($H$3,0,0,'Données projet'!$E$11+1,1))</f>
        <v>374.62597460242665</v>
      </c>
      <c r="BJ193" s="62">
        <f t="shared" si="146"/>
        <v>277.50105097454616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-1.7053025658242404E-13</v>
      </c>
      <c r="BZ193" s="14">
        <f>BY193*VLOOKUP('Données projet'!$B$12,Paramètres!$A$1:$I$89,3,0)*VLOOKUP('Données projet'!$B$12,Paramètres!$A$1:$I$89,5,0)</f>
        <v>-7.9808160080574461E-14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329.79342219561465</v>
      </c>
      <c r="CE193" s="62">
        <f t="shared" si="148"/>
        <v>144.63206563329757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6.8212102632969618E-13</v>
      </c>
      <c r="CU193" s="18">
        <f>CT193*VLOOKUP('Données projet'!$B$13,Paramètres!$A$1:$I$89,3,0)*VLOOKUP('Données projet'!$B$13,Paramètres!$A$1:$I$89,5,0)</f>
        <v>4.0790837374515837E-13</v>
      </c>
      <c r="CV193" s="14">
        <f t="shared" si="173"/>
        <v>5.2028966193600884E-12</v>
      </c>
      <c r="CW193" s="22">
        <f t="shared" si="174"/>
        <v>9.7721520296583044E-12</v>
      </c>
      <c r="CX193" s="62">
        <f t="shared" si="122"/>
        <v>288.3211623870319</v>
      </c>
      <c r="CY193" s="62">
        <f ca="1">AVERAGE(OFFSET($CX$3,0,0,'Données projet'!$E$13+1,1))-AVERAGE(OFFSET($H$3,0,0,'Données projet'!$E$13+1,1))</f>
        <v>530.27599556821826</v>
      </c>
      <c r="CZ193" s="62">
        <f t="shared" si="150"/>
        <v>370.62231794492129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1.2443905159105539E-23</v>
      </c>
      <c r="DI193" s="24">
        <f t="shared" si="175"/>
        <v>1.2443905159105539E-23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1.2946657079737634E-13</v>
      </c>
      <c r="DQ193" s="14">
        <f t="shared" si="176"/>
        <v>1.8873591890224769E-12</v>
      </c>
      <c r="DR193" s="22">
        <f t="shared" si="177"/>
        <v>3.5126381983529106E-12</v>
      </c>
      <c r="DS193" s="62">
        <f t="shared" si="125"/>
        <v>288.32116238702565</v>
      </c>
      <c r="DT193" s="62">
        <f ca="1">AVERAGE(OFFSET($DS$3,0,0,'Données projet'!$E$14+1,1))-AVERAGE(OFFSET($H$3,0,0,'Données projet'!$E$14+1,1))</f>
        <v>520.23742527061836</v>
      </c>
      <c r="DU193" s="62">
        <f t="shared" si="152"/>
        <v>321.35925479331274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-1.1882548278663309E-13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435.44444011810265</v>
      </c>
      <c r="EP193" s="62">
        <f t="shared" si="154"/>
        <v>447.15868732689762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547.89540791313675</v>
      </c>
      <c r="FK193" s="62">
        <f t="shared" si="156"/>
        <v>345.19555189302378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>
        <f>FZ193*VLOOKUP('Données projet'!$B$17,Paramètres!$A$1:$I$89,3,0)*VLOOKUP('Données projet'!$B$17,Paramètres!$A$1:$I$89,5,0)</f>
        <v>0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409.68685886029164</v>
      </c>
      <c r="GF193" s="62">
        <f t="shared" si="158"/>
        <v>330.8416508650887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2.1285317665894269E-23</v>
      </c>
      <c r="GO193" s="23">
        <f t="shared" si="187"/>
        <v>2.1285317665894269E-23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73.098184695482075</v>
      </c>
      <c r="T194" s="62">
        <f t="shared" si="142"/>
        <v>334.38551711782793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2.2579683881688695</v>
      </c>
      <c r="AA194" s="23">
        <f>EXP(-LN(2)/25)*AA193+(1-EXP(-LN(2)/25))/(LN(2)/25)*Calculateur!V194*Calculateur!X194*VLOOKUP('Données projet'!$B$9,Paramètres!$A$1:$I$89,3,0)*0.475*44/12</f>
        <v>0.15828306405367784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2.4162514522225473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70.520400819593021</v>
      </c>
      <c r="AO194" s="62">
        <f t="shared" si="144"/>
        <v>321.48616153644309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2.1540741371795042</v>
      </c>
      <c r="AV194" s="23">
        <f>EXP(-LN(2)/25)*AV193+(1-EXP(-LN(2)/25))/(LN(2)/25)*Calculateur!AQ194*Calculateur!AS194*VLOOKUP('Données projet'!$B$10,Paramètres!$A$1:$I$89,3,0)*0.475*44/12</f>
        <v>0.15100010098372307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2.3050742381632272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1.5961632016114892E-13</v>
      </c>
      <c r="BF194" s="14">
        <f t="shared" si="167"/>
        <v>2.2708641912150958E-12</v>
      </c>
      <c r="BG194" s="22">
        <f t="shared" si="168"/>
        <v>4.2330868906469593E-12</v>
      </c>
      <c r="BH194" s="62">
        <f t="shared" si="116"/>
        <v>288.40811234740931</v>
      </c>
      <c r="BI194" s="62">
        <f ca="1">AVERAGE(OFFSET($BH$3,0,0,'Données projet'!$E$11+1,1))-AVERAGE(OFFSET($H$3,0,0,'Données projet'!$E$11+1,1))</f>
        <v>374.62597460242665</v>
      </c>
      <c r="BJ194" s="62">
        <f t="shared" si="146"/>
        <v>277.50105097454616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-1.7053025658242404E-13</v>
      </c>
      <c r="BZ194" s="14">
        <f>BY194*VLOOKUP('Données projet'!$B$12,Paramètres!$A$1:$I$89,3,0)*VLOOKUP('Données projet'!$B$12,Paramètres!$A$1:$I$89,5,0)</f>
        <v>-7.9808160080574461E-14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329.79342219561465</v>
      </c>
      <c r="CE194" s="62">
        <f t="shared" si="148"/>
        <v>144.63206563329757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6.8212102632969618E-13</v>
      </c>
      <c r="CU194" s="18">
        <f>CT194*VLOOKUP('Données projet'!$B$13,Paramètres!$A$1:$I$89,3,0)*VLOOKUP('Données projet'!$B$13,Paramètres!$A$1:$I$89,5,0)</f>
        <v>4.0790837374515837E-13</v>
      </c>
      <c r="CV194" s="14">
        <f t="shared" si="173"/>
        <v>5.2028966193600884E-12</v>
      </c>
      <c r="CW194" s="22">
        <f t="shared" si="174"/>
        <v>9.7721520296583044E-12</v>
      </c>
      <c r="CX194" s="62">
        <f t="shared" si="122"/>
        <v>288.40811234741489</v>
      </c>
      <c r="CY194" s="62">
        <f ca="1">AVERAGE(OFFSET($CX$3,0,0,'Données projet'!$E$13+1,1))-AVERAGE(OFFSET($H$3,0,0,'Données projet'!$E$13+1,1))</f>
        <v>530.27599556821826</v>
      </c>
      <c r="CZ194" s="62">
        <f t="shared" si="150"/>
        <v>370.62231794492129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8.7991697224457898E-24</v>
      </c>
      <c r="DI194" s="24">
        <f t="shared" si="175"/>
        <v>8.7991697224457898E-24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1.2946657079737634E-13</v>
      </c>
      <c r="DQ194" s="14">
        <f t="shared" si="176"/>
        <v>1.8873591890224769E-12</v>
      </c>
      <c r="DR194" s="22">
        <f t="shared" si="177"/>
        <v>3.5126381983529106E-12</v>
      </c>
      <c r="DS194" s="62">
        <f t="shared" si="125"/>
        <v>288.40811234740863</v>
      </c>
      <c r="DT194" s="62">
        <f ca="1">AVERAGE(OFFSET($DS$3,0,0,'Données projet'!$E$14+1,1))-AVERAGE(OFFSET($H$3,0,0,'Données projet'!$E$14+1,1))</f>
        <v>520.23742527061836</v>
      </c>
      <c r="DU194" s="62">
        <f t="shared" si="152"/>
        <v>321.35925479331274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-1.1882548278663309E-13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435.44444011810265</v>
      </c>
      <c r="EP194" s="62">
        <f t="shared" si="154"/>
        <v>447.15868732689762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547.89540791313675</v>
      </c>
      <c r="FK194" s="62">
        <f t="shared" si="156"/>
        <v>345.19555189302378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>
        <f>FZ194*VLOOKUP('Données projet'!$B$17,Paramètres!$A$1:$I$89,3,0)*VLOOKUP('Données projet'!$B$17,Paramètres!$A$1:$I$89,5,0)</f>
        <v>0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409.68685886029164</v>
      </c>
      <c r="GF194" s="62">
        <f t="shared" si="158"/>
        <v>330.8416508650887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1.5050992461263653E-23</v>
      </c>
      <c r="GO194" s="23">
        <f t="shared" si="187"/>
        <v>1.5050992461263653E-23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73.098184695482075</v>
      </c>
      <c r="T195" s="62">
        <f t="shared" si="142"/>
        <v>334.38551711782793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2.2136910053016052</v>
      </c>
      <c r="AA195" s="23">
        <f>EXP(-LN(2)/25)*AA194+(1-EXP(-LN(2)/25))/(LN(2)/25)*Calculateur!V195*Calculateur!X195*VLOOKUP('Données projet'!$B$9,Paramètres!$A$1:$I$89,3,0)*0.475*44/12</f>
        <v>0.15395480534338543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2.3676458106449907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70.520400819593021</v>
      </c>
      <c r="AO195" s="62">
        <f t="shared" si="144"/>
        <v>321.48616153644309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2.1118340572049052</v>
      </c>
      <c r="AV195" s="23">
        <f>EXP(-LN(2)/25)*AV194+(1-EXP(-LN(2)/25))/(LN(2)/25)*Calculateur!AQ195*Calculateur!AS195*VLOOKUP('Données projet'!$B$10,Paramètres!$A$1:$I$89,3,0)*0.475*44/12</f>
        <v>0.14687099528157296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2.2587050524864782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1.5961632016114892E-13</v>
      </c>
      <c r="BF195" s="14">
        <f t="shared" si="167"/>
        <v>2.2708641912150958E-12</v>
      </c>
      <c r="BG195" s="22">
        <f t="shared" si="168"/>
        <v>4.2330868906469593E-12</v>
      </c>
      <c r="BH195" s="62">
        <f t="shared" si="116"/>
        <v>288.49355392037063</v>
      </c>
      <c r="BI195" s="62">
        <f ca="1">AVERAGE(OFFSET($BH$3,0,0,'Données projet'!$E$11+1,1))-AVERAGE(OFFSET($H$3,0,0,'Données projet'!$E$11+1,1))</f>
        <v>374.62597460242665</v>
      </c>
      <c r="BJ195" s="62">
        <f t="shared" si="146"/>
        <v>277.50105097454616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-1.7053025658242404E-13</v>
      </c>
      <c r="BZ195" s="14">
        <f>BY195*VLOOKUP('Données projet'!$B$12,Paramètres!$A$1:$I$89,3,0)*VLOOKUP('Données projet'!$B$12,Paramètres!$A$1:$I$89,5,0)</f>
        <v>-7.9808160080574461E-14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329.79342219561465</v>
      </c>
      <c r="CE195" s="62">
        <f t="shared" si="148"/>
        <v>144.63206563329757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6.8212102632969618E-13</v>
      </c>
      <c r="CU195" s="18">
        <f>CT195*VLOOKUP('Données projet'!$B$13,Paramètres!$A$1:$I$89,3,0)*VLOOKUP('Données projet'!$B$13,Paramètres!$A$1:$I$89,5,0)</f>
        <v>4.0790837374515837E-13</v>
      </c>
      <c r="CV195" s="14">
        <f t="shared" si="173"/>
        <v>5.2028966193600884E-12</v>
      </c>
      <c r="CW195" s="22">
        <f t="shared" si="174"/>
        <v>9.7721520296583044E-12</v>
      </c>
      <c r="CX195" s="62">
        <f t="shared" si="122"/>
        <v>288.4935539203762</v>
      </c>
      <c r="CY195" s="62">
        <f ca="1">AVERAGE(OFFSET($CX$3,0,0,'Données projet'!$E$13+1,1))-AVERAGE(OFFSET($H$3,0,0,'Données projet'!$E$13+1,1))</f>
        <v>530.27599556821826</v>
      </c>
      <c r="CZ195" s="62">
        <f t="shared" si="150"/>
        <v>370.62231794492129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6.2219525795527693E-24</v>
      </c>
      <c r="DI195" s="24">
        <f t="shared" si="175"/>
        <v>6.2219525795527693E-24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1.2946657079737634E-13</v>
      </c>
      <c r="DQ195" s="14">
        <f t="shared" si="176"/>
        <v>1.8873591890224769E-12</v>
      </c>
      <c r="DR195" s="22">
        <f t="shared" si="177"/>
        <v>3.5126381983529106E-12</v>
      </c>
      <c r="DS195" s="62">
        <f t="shared" si="125"/>
        <v>288.49355392036995</v>
      </c>
      <c r="DT195" s="62">
        <f ca="1">AVERAGE(OFFSET($DS$3,0,0,'Données projet'!$E$14+1,1))-AVERAGE(OFFSET($H$3,0,0,'Données projet'!$E$14+1,1))</f>
        <v>520.23742527061836</v>
      </c>
      <c r="DU195" s="62">
        <f t="shared" si="152"/>
        <v>321.35925479331274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-1.1882548278663309E-13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435.44444011810265</v>
      </c>
      <c r="EP195" s="62">
        <f t="shared" si="154"/>
        <v>447.15868732689762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547.89540791313675</v>
      </c>
      <c r="FK195" s="62">
        <f t="shared" si="156"/>
        <v>345.19555189302378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>
        <f>FZ195*VLOOKUP('Données projet'!$B$17,Paramètres!$A$1:$I$89,3,0)*VLOOKUP('Données projet'!$B$17,Paramètres!$A$1:$I$89,5,0)</f>
        <v>0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409.68685886029164</v>
      </c>
      <c r="GF195" s="62">
        <f t="shared" si="158"/>
        <v>330.8416508650887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1.0642658832947134E-23</v>
      </c>
      <c r="GO195" s="23">
        <f t="shared" si="187"/>
        <v>1.0642658832947134E-23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73.098184695482075</v>
      </c>
      <c r="T196" s="62">
        <f t="shared" si="142"/>
        <v>334.38551711782793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2.170281874905831</v>
      </c>
      <c r="AA196" s="23">
        <f>EXP(-LN(2)/25)*AA195+(1-EXP(-LN(2)/25))/(LN(2)/25)*Calculateur!V196*Calculateur!X196*VLOOKUP('Données projet'!$B$9,Paramètres!$A$1:$I$89,3,0)*0.475*44/12</f>
        <v>0.14974490309513921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2.3200267780009702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70.520400819593021</v>
      </c>
      <c r="AO196" s="62">
        <f t="shared" si="144"/>
        <v>321.48616153644309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2.0704222794347036</v>
      </c>
      <c r="AV196" s="23">
        <f>EXP(-LN(2)/25)*AV195+(1-EXP(-LN(2)/25))/(LN(2)/25)*Calculateur!AQ196*Calculateur!AS196*VLOOKUP('Données projet'!$B$10,Paramètres!$A$1:$I$89,3,0)*0.475*44/12</f>
        <v>0.14285480019198837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2.2132770796266921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1.5961632016114892E-13</v>
      </c>
      <c r="BF196" s="14">
        <f t="shared" si="167"/>
        <v>2.2708641912150958E-12</v>
      </c>
      <c r="BG196" s="22">
        <f t="shared" si="168"/>
        <v>4.2330868906469593E-12</v>
      </c>
      <c r="BH196" s="62">
        <f t="shared" ref="BH196:BH203" si="194">BG196+(AY196+AZ196)*44/12</f>
        <v>288.57751327305982</v>
      </c>
      <c r="BI196" s="62">
        <f ca="1">AVERAGE(OFFSET($BH$3,0,0,'Données projet'!$E$11+1,1))-AVERAGE(OFFSET($H$3,0,0,'Données projet'!$E$11+1,1))</f>
        <v>374.62597460242665</v>
      </c>
      <c r="BJ196" s="62">
        <f t="shared" si="146"/>
        <v>277.50105097454616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-1.7053025658242404E-13</v>
      </c>
      <c r="BZ196" s="14">
        <f>BY196*VLOOKUP('Données projet'!$B$12,Paramètres!$A$1:$I$89,3,0)*VLOOKUP('Données projet'!$B$12,Paramètres!$A$1:$I$89,5,0)</f>
        <v>-7.9808160080574461E-14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329.79342219561465</v>
      </c>
      <c r="CE196" s="62">
        <f t="shared" si="148"/>
        <v>144.63206563329757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6.8212102632969618E-13</v>
      </c>
      <c r="CU196" s="18">
        <f>CT196*VLOOKUP('Données projet'!$B$13,Paramètres!$A$1:$I$89,3,0)*VLOOKUP('Données projet'!$B$13,Paramètres!$A$1:$I$89,5,0)</f>
        <v>4.0790837374515837E-13</v>
      </c>
      <c r="CV196" s="14">
        <f t="shared" si="173"/>
        <v>5.2028966193600884E-12</v>
      </c>
      <c r="CW196" s="22">
        <f t="shared" si="174"/>
        <v>9.7721520296583044E-12</v>
      </c>
      <c r="CX196" s="62">
        <f t="shared" ref="CX196:CX203" si="196">CW196+(CO196+CP196)*44/12</f>
        <v>288.57751327306539</v>
      </c>
      <c r="CY196" s="62">
        <f ca="1">AVERAGE(OFFSET($CX$3,0,0,'Données projet'!$E$13+1,1))-AVERAGE(OFFSET($H$3,0,0,'Données projet'!$E$13+1,1))</f>
        <v>530.27599556821826</v>
      </c>
      <c r="CZ196" s="62">
        <f t="shared" si="150"/>
        <v>370.62231794492129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4.3995848612228949E-24</v>
      </c>
      <c r="DI196" s="24">
        <f t="shared" si="175"/>
        <v>4.3995848612228949E-24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1.2946657079737634E-13</v>
      </c>
      <c r="DQ196" s="14">
        <f t="shared" si="176"/>
        <v>1.8873591890224769E-12</v>
      </c>
      <c r="DR196" s="22">
        <f t="shared" si="177"/>
        <v>3.5126381983529106E-12</v>
      </c>
      <c r="DS196" s="62">
        <f t="shared" ref="DS196:DS203" si="197">DR196+(DJ196+DK196)*44/12</f>
        <v>288.57751327305914</v>
      </c>
      <c r="DT196" s="62">
        <f ca="1">AVERAGE(OFFSET($DS$3,0,0,'Données projet'!$E$14+1,1))-AVERAGE(OFFSET($H$3,0,0,'Données projet'!$E$14+1,1))</f>
        <v>520.23742527061836</v>
      </c>
      <c r="DU196" s="62">
        <f t="shared" si="152"/>
        <v>321.35925479331274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-1.1882548278663309E-13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435.44444011810265</v>
      </c>
      <c r="EP196" s="62">
        <f t="shared" si="154"/>
        <v>447.15868732689762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547.89540791313675</v>
      </c>
      <c r="FK196" s="62">
        <f t="shared" si="156"/>
        <v>345.19555189302378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>
        <f>FZ196*VLOOKUP('Données projet'!$B$17,Paramètres!$A$1:$I$89,3,0)*VLOOKUP('Données projet'!$B$17,Paramètres!$A$1:$I$89,5,0)</f>
        <v>0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409.68685886029164</v>
      </c>
      <c r="GF196" s="62">
        <f t="shared" si="158"/>
        <v>330.8416508650887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7.5254962306318264E-24</v>
      </c>
      <c r="GO196" s="23">
        <f t="shared" si="187"/>
        <v>7.5254962306318264E-24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73.098184695482075</v>
      </c>
      <c r="T197" s="62">
        <f t="shared" ref="T197:T203" si="204">$T$3</f>
        <v>334.38551711782793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2.127723971080163</v>
      </c>
      <c r="AA197" s="23">
        <f>EXP(-LN(2)/25)*AA196+(1-EXP(-LN(2)/25))/(LN(2)/25)*Calculateur!V197*Calculateur!X197*VLOOKUP('Données projet'!$B$9,Paramètres!$A$1:$I$89,3,0)*0.475*44/12</f>
        <v>0.14565012084526044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2.2733740919254233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70.520400819593021</v>
      </c>
      <c r="AO197" s="62">
        <f t="shared" ref="AO197:AO203" si="205">$AO$3</f>
        <v>321.48616153644309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2.0298225613678853</v>
      </c>
      <c r="AV197" s="23">
        <f>EXP(-LN(2)/25)*AV196+(1-EXP(-LN(2)/25))/(LN(2)/25)*Calculateur!AQ197*Calculateur!AS197*VLOOKUP('Données projet'!$B$10,Paramètres!$A$1:$I$89,3,0)*0.475*44/12</f>
        <v>0.138948428168331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2.1687709895362164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1.5961632016114892E-13</v>
      </c>
      <c r="BF197" s="14">
        <f t="shared" si="167"/>
        <v>2.2708641912150958E-12</v>
      </c>
      <c r="BG197" s="22">
        <f t="shared" si="168"/>
        <v>4.2330868906469593E-12</v>
      </c>
      <c r="BH197" s="62">
        <f t="shared" si="194"/>
        <v>288.66001611868484</v>
      </c>
      <c r="BI197" s="62">
        <f ca="1">AVERAGE(OFFSET($BH$3,0,0,'Données projet'!$E$11+1,1))-AVERAGE(OFFSET($H$3,0,0,'Données projet'!$E$11+1,1))</f>
        <v>374.62597460242665</v>
      </c>
      <c r="BJ197" s="62">
        <f t="shared" ref="BJ197:BJ203" si="206">$BJ$3</f>
        <v>277.50105097454616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-1.7053025658242404E-13</v>
      </c>
      <c r="BZ197" s="14">
        <f>BY197*VLOOKUP('Données projet'!$B$12,Paramètres!$A$1:$I$89,3,0)*VLOOKUP('Données projet'!$B$12,Paramètres!$A$1:$I$89,5,0)</f>
        <v>-7.9808160080574461E-14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329.79342219561465</v>
      </c>
      <c r="CE197" s="62">
        <f t="shared" ref="CE197:CE203" si="207">$CE$3</f>
        <v>144.63206563329757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6.8212102632969618E-13</v>
      </c>
      <c r="CU197" s="18">
        <f>CT197*VLOOKUP('Données projet'!$B$13,Paramètres!$A$1:$I$89,3,0)*VLOOKUP('Données projet'!$B$13,Paramètres!$A$1:$I$89,5,0)</f>
        <v>4.0790837374515837E-13</v>
      </c>
      <c r="CV197" s="14">
        <f t="shared" si="173"/>
        <v>5.2028966193600884E-12</v>
      </c>
      <c r="CW197" s="22">
        <f t="shared" si="174"/>
        <v>9.7721520296583044E-12</v>
      </c>
      <c r="CX197" s="62">
        <f t="shared" si="196"/>
        <v>288.66001611869041</v>
      </c>
      <c r="CY197" s="62">
        <f ca="1">AVERAGE(OFFSET($CX$3,0,0,'Données projet'!$E$13+1,1))-AVERAGE(OFFSET($H$3,0,0,'Données projet'!$E$13+1,1))</f>
        <v>530.27599556821826</v>
      </c>
      <c r="CZ197" s="62">
        <f t="shared" ref="CZ197:CZ203" si="208">$CZ$3</f>
        <v>370.62231794492129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3.1109762897763846E-24</v>
      </c>
      <c r="DI197" s="24">
        <f t="shared" si="175"/>
        <v>3.1109762897763846E-24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1.2946657079737634E-13</v>
      </c>
      <c r="DQ197" s="14">
        <f t="shared" si="176"/>
        <v>1.8873591890224769E-12</v>
      </c>
      <c r="DR197" s="22">
        <f t="shared" si="177"/>
        <v>3.5126381983529106E-12</v>
      </c>
      <c r="DS197" s="62">
        <f t="shared" si="197"/>
        <v>288.66001611868415</v>
      </c>
      <c r="DT197" s="62">
        <f ca="1">AVERAGE(OFFSET($DS$3,0,0,'Données projet'!$E$14+1,1))-AVERAGE(OFFSET($H$3,0,0,'Données projet'!$E$14+1,1))</f>
        <v>520.23742527061836</v>
      </c>
      <c r="DU197" s="62">
        <f t="shared" ref="DU197:DU203" si="209">$DU$3</f>
        <v>321.35925479331274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-1.1882548278663309E-13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435.44444011810265</v>
      </c>
      <c r="EP197" s="62">
        <f t="shared" ref="EP197:EP203" si="210">$EP$3</f>
        <v>447.15868732689762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547.89540791313675</v>
      </c>
      <c r="FK197" s="62">
        <f t="shared" ref="FK197:FK203" si="211">$FK$3</f>
        <v>345.19555189302378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>
        <f>FZ197*VLOOKUP('Données projet'!$B$17,Paramètres!$A$1:$I$89,3,0)*VLOOKUP('Données projet'!$B$17,Paramètres!$A$1:$I$89,5,0)</f>
        <v>0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409.68685886029164</v>
      </c>
      <c r="GF197" s="62">
        <f t="shared" ref="GF197:GF203" si="212">$GF$3</f>
        <v>330.8416508650887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5.3213294164735672E-24</v>
      </c>
      <c r="GO197" s="23">
        <f t="shared" si="187"/>
        <v>5.3213294164735672E-24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73.098184695482075</v>
      </c>
      <c r="T198" s="62">
        <f t="shared" si="204"/>
        <v>334.38551711782793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2.086000601790758</v>
      </c>
      <c r="AA198" s="23">
        <f>EXP(-LN(2)/25)*AA197+(1-EXP(-LN(2)/25))/(LN(2)/25)*Calculateur!V198*Calculateur!X198*VLOOKUP('Données projet'!$B$9,Paramètres!$A$1:$I$89,3,0)*0.475*44/12</f>
        <v>0.14166731063133983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2.2276679124220977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70.520400819593021</v>
      </c>
      <c r="AO198" s="62">
        <f t="shared" si="205"/>
        <v>321.48616153644309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1.9900189790089744</v>
      </c>
      <c r="AV198" s="23">
        <f>EXP(-LN(2)/25)*AV197+(1-EXP(-LN(2)/25))/(LN(2)/25)*Calculateur!AQ198*Calculateur!AS198*VLOOKUP('Données projet'!$B$10,Paramètres!$A$1:$I$89,3,0)*0.475*44/12</f>
        <v>0.13514887609308773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2.1251678551020623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1.5961632016114892E-13</v>
      </c>
      <c r="BF198" s="14">
        <f t="shared" si="167"/>
        <v>2.2708641912150958E-12</v>
      </c>
      <c r="BG198" s="22">
        <f t="shared" si="168"/>
        <v>4.2330868906469593E-12</v>
      </c>
      <c r="BH198" s="62">
        <f t="shared" si="194"/>
        <v>288.741087724387</v>
      </c>
      <c r="BI198" s="62">
        <f ca="1">AVERAGE(OFFSET($BH$3,0,0,'Données projet'!$E$11+1,1))-AVERAGE(OFFSET($H$3,0,0,'Données projet'!$E$11+1,1))</f>
        <v>374.62597460242665</v>
      </c>
      <c r="BJ198" s="62">
        <f t="shared" si="206"/>
        <v>277.50105097454616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-1.7053025658242404E-13</v>
      </c>
      <c r="BZ198" s="14">
        <f>BY198*VLOOKUP('Données projet'!$B$12,Paramètres!$A$1:$I$89,3,0)*VLOOKUP('Données projet'!$B$12,Paramètres!$A$1:$I$89,5,0)</f>
        <v>-7.9808160080574461E-14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329.79342219561465</v>
      </c>
      <c r="CE198" s="62">
        <f t="shared" si="207"/>
        <v>144.63206563329757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6.8212102632969618E-13</v>
      </c>
      <c r="CU198" s="18">
        <f>CT198*VLOOKUP('Données projet'!$B$13,Paramètres!$A$1:$I$89,3,0)*VLOOKUP('Données projet'!$B$13,Paramètres!$A$1:$I$89,5,0)</f>
        <v>4.0790837374515837E-13</v>
      </c>
      <c r="CV198" s="14">
        <f t="shared" si="173"/>
        <v>5.2028966193600884E-12</v>
      </c>
      <c r="CW198" s="22">
        <f t="shared" si="174"/>
        <v>9.7721520296583044E-12</v>
      </c>
      <c r="CX198" s="62">
        <f t="shared" si="196"/>
        <v>288.74108772439257</v>
      </c>
      <c r="CY198" s="62">
        <f ca="1">AVERAGE(OFFSET($CX$3,0,0,'Données projet'!$E$13+1,1))-AVERAGE(OFFSET($H$3,0,0,'Données projet'!$E$13+1,1))</f>
        <v>530.27599556821826</v>
      </c>
      <c r="CZ198" s="62">
        <f t="shared" si="208"/>
        <v>370.62231794492129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2.1997924306114474E-24</v>
      </c>
      <c r="DI198" s="24">
        <f t="shared" si="175"/>
        <v>2.1997924306114474E-24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1.2946657079737634E-13</v>
      </c>
      <c r="DQ198" s="14">
        <f t="shared" si="176"/>
        <v>1.8873591890224769E-12</v>
      </c>
      <c r="DR198" s="22">
        <f t="shared" si="177"/>
        <v>3.5126381983529106E-12</v>
      </c>
      <c r="DS198" s="62">
        <f t="shared" si="197"/>
        <v>288.74108772438632</v>
      </c>
      <c r="DT198" s="62">
        <f ca="1">AVERAGE(OFFSET($DS$3,0,0,'Données projet'!$E$14+1,1))-AVERAGE(OFFSET($H$3,0,0,'Données projet'!$E$14+1,1))</f>
        <v>520.23742527061836</v>
      </c>
      <c r="DU198" s="62">
        <f t="shared" si="209"/>
        <v>321.35925479331274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-1.1882548278663309E-13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435.44444011810265</v>
      </c>
      <c r="EP198" s="62">
        <f t="shared" si="210"/>
        <v>447.15868732689762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547.89540791313675</v>
      </c>
      <c r="FK198" s="62">
        <f t="shared" si="211"/>
        <v>345.19555189302378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>
        <f>FZ198*VLOOKUP('Données projet'!$B$17,Paramètres!$A$1:$I$89,3,0)*VLOOKUP('Données projet'!$B$17,Paramètres!$A$1:$I$89,5,0)</f>
        <v>0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409.68685886029164</v>
      </c>
      <c r="GF198" s="62">
        <f t="shared" si="212"/>
        <v>330.8416508650887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3.7627481153159132E-24</v>
      </c>
      <c r="GO198" s="23">
        <f t="shared" si="187"/>
        <v>3.7627481153159132E-24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73.098184695482075</v>
      </c>
      <c r="T199" s="62">
        <f t="shared" si="204"/>
        <v>334.38551711782793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2.0450954023243755</v>
      </c>
      <c r="AA199" s="23">
        <f>EXP(-LN(2)/25)*AA198+(1-EXP(-LN(2)/25))/(LN(2)/25)*Calculateur!V199*Calculateur!X199*VLOOKUP('Données projet'!$B$9,Paramètres!$A$1:$I$89,3,0)*0.475*44/12</f>
        <v>0.13779341057216576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2.1828888128965414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70.520400819593021</v>
      </c>
      <c r="AO199" s="62">
        <f t="shared" si="205"/>
        <v>321.48616153644309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1.9509959206223337</v>
      </c>
      <c r="AV199" s="23">
        <f>EXP(-LN(2)/25)*AV198+(1-EXP(-LN(2)/25))/(LN(2)/25)*Calculateur!AQ199*Calculateur!AS199*VLOOKUP('Données projet'!$B$10,Paramètres!$A$1:$I$89,3,0)*0.475*44/12</f>
        <v>0.13145322296915174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2.0824491435914854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1.5961632016114892E-13</v>
      </c>
      <c r="BF199" s="14">
        <f t="shared" si="167"/>
        <v>2.2708641912150958E-12</v>
      </c>
      <c r="BG199" s="22">
        <f t="shared" si="168"/>
        <v>4.2330868906469593E-12</v>
      </c>
      <c r="BH199" s="62">
        <f t="shared" si="194"/>
        <v>288.82075291897917</v>
      </c>
      <c r="BI199" s="62">
        <f ca="1">AVERAGE(OFFSET($BH$3,0,0,'Données projet'!$E$11+1,1))-AVERAGE(OFFSET($H$3,0,0,'Données projet'!$E$11+1,1))</f>
        <v>374.62597460242665</v>
      </c>
      <c r="BJ199" s="62">
        <f t="shared" si="206"/>
        <v>277.50105097454616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-1.7053025658242404E-13</v>
      </c>
      <c r="BZ199" s="14">
        <f>BY199*VLOOKUP('Données projet'!$B$12,Paramètres!$A$1:$I$89,3,0)*VLOOKUP('Données projet'!$B$12,Paramètres!$A$1:$I$89,5,0)</f>
        <v>-7.9808160080574461E-14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329.79342219561465</v>
      </c>
      <c r="CE199" s="62">
        <f t="shared" si="207"/>
        <v>144.63206563329757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6.8212102632969618E-13</v>
      </c>
      <c r="CU199" s="18">
        <f>CT199*VLOOKUP('Données projet'!$B$13,Paramètres!$A$1:$I$89,3,0)*VLOOKUP('Données projet'!$B$13,Paramètres!$A$1:$I$89,5,0)</f>
        <v>4.0790837374515837E-13</v>
      </c>
      <c r="CV199" s="14">
        <f t="shared" si="173"/>
        <v>5.2028966193600884E-12</v>
      </c>
      <c r="CW199" s="22">
        <f t="shared" si="174"/>
        <v>9.7721520296583044E-12</v>
      </c>
      <c r="CX199" s="62">
        <f t="shared" si="196"/>
        <v>288.82075291898474</v>
      </c>
      <c r="CY199" s="62">
        <f ca="1">AVERAGE(OFFSET($CX$3,0,0,'Données projet'!$E$13+1,1))-AVERAGE(OFFSET($H$3,0,0,'Données projet'!$E$13+1,1))</f>
        <v>530.27599556821826</v>
      </c>
      <c r="CZ199" s="62">
        <f t="shared" si="208"/>
        <v>370.62231794492129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1.5554881448881923E-24</v>
      </c>
      <c r="DI199" s="24">
        <f t="shared" si="175"/>
        <v>1.5554881448881923E-24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1.2946657079737634E-13</v>
      </c>
      <c r="DQ199" s="14">
        <f t="shared" si="176"/>
        <v>1.8873591890224769E-12</v>
      </c>
      <c r="DR199" s="22">
        <f t="shared" si="177"/>
        <v>3.5126381983529106E-12</v>
      </c>
      <c r="DS199" s="62">
        <f t="shared" si="197"/>
        <v>288.82075291897849</v>
      </c>
      <c r="DT199" s="62">
        <f ca="1">AVERAGE(OFFSET($DS$3,0,0,'Données projet'!$E$14+1,1))-AVERAGE(OFFSET($H$3,0,0,'Données projet'!$E$14+1,1))</f>
        <v>520.23742527061836</v>
      </c>
      <c r="DU199" s="62">
        <f t="shared" si="209"/>
        <v>321.35925479331274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-1.1882548278663309E-13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435.44444011810265</v>
      </c>
      <c r="EP199" s="62">
        <f t="shared" si="210"/>
        <v>447.15868732689762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547.89540791313675</v>
      </c>
      <c r="FK199" s="62">
        <f t="shared" si="211"/>
        <v>345.19555189302378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>
        <f>FZ199*VLOOKUP('Données projet'!$B$17,Paramètres!$A$1:$I$89,3,0)*VLOOKUP('Données projet'!$B$17,Paramètres!$A$1:$I$89,5,0)</f>
        <v>0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409.68685886029164</v>
      </c>
      <c r="GF199" s="62">
        <f t="shared" si="212"/>
        <v>330.8416508650887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2.6606647082367836E-24</v>
      </c>
      <c r="GO199" s="23">
        <f t="shared" si="187"/>
        <v>2.6606647082367836E-24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73.098184695482075</v>
      </c>
      <c r="T200" s="62">
        <f t="shared" si="204"/>
        <v>334.38551711782793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2.0049923288698208</v>
      </c>
      <c r="AA200" s="23">
        <f>EXP(-LN(2)/25)*AA199+(1-EXP(-LN(2)/25))/(LN(2)/25)*Calculateur!V200*Calculateur!X200*VLOOKUP('Données projet'!$B$9,Paramètres!$A$1:$I$89,3,0)*0.475*44/12</f>
        <v>0.13402544251382936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2.1390177713836502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70.520400819593021</v>
      </c>
      <c r="AO200" s="62">
        <f t="shared" si="205"/>
        <v>321.48616153644309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1.9127380806089396</v>
      </c>
      <c r="AV200" s="23">
        <f>EXP(-LN(2)/25)*AV199+(1-EXP(-LN(2)/25))/(LN(2)/25)*Calculateur!AQ200*Calculateur!AS200*VLOOKUP('Données projet'!$B$10,Paramètres!$A$1:$I$89,3,0)*0.475*44/12</f>
        <v>0.12785862767423573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2.0405967082831751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1.5961632016114892E-13</v>
      </c>
      <c r="BF200" s="14">
        <f t="shared" si="167"/>
        <v>2.2708641912150958E-12</v>
      </c>
      <c r="BG200" s="22">
        <f t="shared" si="168"/>
        <v>4.2330868906469593E-12</v>
      </c>
      <c r="BH200" s="62">
        <f t="shared" si="194"/>
        <v>288.89903610054984</v>
      </c>
      <c r="BI200" s="62">
        <f ca="1">AVERAGE(OFFSET($BH$3,0,0,'Données projet'!$E$11+1,1))-AVERAGE(OFFSET($H$3,0,0,'Données projet'!$E$11+1,1))</f>
        <v>374.62597460242665</v>
      </c>
      <c r="BJ200" s="62">
        <f t="shared" si="206"/>
        <v>277.50105097454616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-1.7053025658242404E-13</v>
      </c>
      <c r="BZ200" s="14">
        <f>BY200*VLOOKUP('Données projet'!$B$12,Paramètres!$A$1:$I$89,3,0)*VLOOKUP('Données projet'!$B$12,Paramètres!$A$1:$I$89,5,0)</f>
        <v>-7.9808160080574461E-14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329.79342219561465</v>
      </c>
      <c r="CE200" s="62">
        <f t="shared" si="207"/>
        <v>144.63206563329757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6.8212102632969618E-13</v>
      </c>
      <c r="CU200" s="18">
        <f>CT200*VLOOKUP('Données projet'!$B$13,Paramètres!$A$1:$I$89,3,0)*VLOOKUP('Données projet'!$B$13,Paramètres!$A$1:$I$89,5,0)</f>
        <v>4.0790837374515837E-13</v>
      </c>
      <c r="CV200" s="14">
        <f t="shared" si="173"/>
        <v>5.2028966193600884E-12</v>
      </c>
      <c r="CW200" s="22">
        <f t="shared" si="174"/>
        <v>9.7721520296583044E-12</v>
      </c>
      <c r="CX200" s="62">
        <f t="shared" si="196"/>
        <v>288.89903610055541</v>
      </c>
      <c r="CY200" s="62">
        <f ca="1">AVERAGE(OFFSET($CX$3,0,0,'Données projet'!$E$13+1,1))-AVERAGE(OFFSET($H$3,0,0,'Données projet'!$E$13+1,1))</f>
        <v>530.27599556821826</v>
      </c>
      <c r="CZ200" s="62">
        <f t="shared" si="208"/>
        <v>370.62231794492129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1.0998962153057237E-24</v>
      </c>
      <c r="DI200" s="24">
        <f t="shared" si="175"/>
        <v>1.0998962153057237E-24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1.2946657079737634E-13</v>
      </c>
      <c r="DQ200" s="14">
        <f t="shared" si="176"/>
        <v>1.8873591890224769E-12</v>
      </c>
      <c r="DR200" s="22">
        <f t="shared" si="177"/>
        <v>3.5126381983529106E-12</v>
      </c>
      <c r="DS200" s="62">
        <f t="shared" si="197"/>
        <v>288.89903610054915</v>
      </c>
      <c r="DT200" s="62">
        <f ca="1">AVERAGE(OFFSET($DS$3,0,0,'Données projet'!$E$14+1,1))-AVERAGE(OFFSET($H$3,0,0,'Données projet'!$E$14+1,1))</f>
        <v>520.23742527061836</v>
      </c>
      <c r="DU200" s="62">
        <f t="shared" si="209"/>
        <v>321.35925479331274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-1.1882548278663309E-13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435.44444011810265</v>
      </c>
      <c r="EP200" s="62">
        <f t="shared" si="210"/>
        <v>447.15868732689762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547.89540791313675</v>
      </c>
      <c r="FK200" s="62">
        <f t="shared" si="211"/>
        <v>345.19555189302378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>
        <f>FZ200*VLOOKUP('Données projet'!$B$17,Paramètres!$A$1:$I$89,3,0)*VLOOKUP('Données projet'!$B$17,Paramètres!$A$1:$I$89,5,0)</f>
        <v>0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409.68685886029164</v>
      </c>
      <c r="GF200" s="62">
        <f t="shared" si="212"/>
        <v>330.8416508650887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1.8813740576579566E-24</v>
      </c>
      <c r="GO200" s="23">
        <f t="shared" si="187"/>
        <v>1.8813740576579566E-24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73.098184695482075</v>
      </c>
      <c r="T201" s="62">
        <f t="shared" si="204"/>
        <v>334.38551711782793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1.9656756522252505</v>
      </c>
      <c r="AA201" s="23">
        <f>EXP(-LN(2)/25)*AA200+(1-EXP(-LN(2)/25))/(LN(2)/25)*Calculateur!V201*Calculateur!X201*VLOOKUP('Données projet'!$B$9,Paramètres!$A$1:$I$89,3,0)*0.475*44/12</f>
        <v>0.130360509740197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2.0960361619654475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70.520400819593021</v>
      </c>
      <c r="AO201" s="62">
        <f t="shared" si="205"/>
        <v>321.48616153644309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1.8752304535032298</v>
      </c>
      <c r="AV201" s="23">
        <f>EXP(-LN(2)/25)*AV200+(1-EXP(-LN(2)/25))/(LN(2)/25)*Calculateur!AQ201*Calculateur!AS201*VLOOKUP('Données projet'!$B$10,Paramètres!$A$1:$I$89,3,0)*0.475*44/12</f>
        <v>0.12436232677669075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1.9995927802799205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1.5961632016114892E-13</v>
      </c>
      <c r="BF201" s="14">
        <f t="shared" si="167"/>
        <v>2.2708641912150958E-12</v>
      </c>
      <c r="BG201" s="22">
        <f t="shared" si="168"/>
        <v>4.2330868906469593E-12</v>
      </c>
      <c r="BH201" s="62">
        <f t="shared" si="194"/>
        <v>288.97596124393527</v>
      </c>
      <c r="BI201" s="62">
        <f ca="1">AVERAGE(OFFSET($BH$3,0,0,'Données projet'!$E$11+1,1))-AVERAGE(OFFSET($H$3,0,0,'Données projet'!$E$11+1,1))</f>
        <v>374.62597460242665</v>
      </c>
      <c r="BJ201" s="62">
        <f t="shared" si="206"/>
        <v>277.50105097454616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-1.7053025658242404E-13</v>
      </c>
      <c r="BZ201" s="14">
        <f>BY201*VLOOKUP('Données projet'!$B$12,Paramètres!$A$1:$I$89,3,0)*VLOOKUP('Données projet'!$B$12,Paramètres!$A$1:$I$89,5,0)</f>
        <v>-7.9808160080574461E-14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329.79342219561465</v>
      </c>
      <c r="CE201" s="62">
        <f t="shared" si="207"/>
        <v>144.63206563329757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6.8212102632969618E-13</v>
      </c>
      <c r="CU201" s="18">
        <f>CT201*VLOOKUP('Données projet'!$B$13,Paramètres!$A$1:$I$89,3,0)*VLOOKUP('Données projet'!$B$13,Paramètres!$A$1:$I$89,5,0)</f>
        <v>4.0790837374515837E-13</v>
      </c>
      <c r="CV201" s="14">
        <f t="shared" si="173"/>
        <v>5.2028966193600884E-12</v>
      </c>
      <c r="CW201" s="22">
        <f t="shared" si="174"/>
        <v>9.7721520296583044E-12</v>
      </c>
      <c r="CX201" s="62">
        <f t="shared" si="196"/>
        <v>288.97596124394084</v>
      </c>
      <c r="CY201" s="62">
        <f ca="1">AVERAGE(OFFSET($CX$3,0,0,'Données projet'!$E$13+1,1))-AVERAGE(OFFSET($H$3,0,0,'Données projet'!$E$13+1,1))</f>
        <v>530.27599556821826</v>
      </c>
      <c r="CZ201" s="62">
        <f t="shared" si="208"/>
        <v>370.62231794492129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7.7774407244409616E-25</v>
      </c>
      <c r="DI201" s="24">
        <f t="shared" si="175"/>
        <v>7.7774407244409616E-25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1.2946657079737634E-13</v>
      </c>
      <c r="DQ201" s="14">
        <f t="shared" si="176"/>
        <v>1.8873591890224769E-12</v>
      </c>
      <c r="DR201" s="22">
        <f t="shared" si="177"/>
        <v>3.5126381983529106E-12</v>
      </c>
      <c r="DS201" s="62">
        <f t="shared" si="197"/>
        <v>288.97596124393459</v>
      </c>
      <c r="DT201" s="62">
        <f ca="1">AVERAGE(OFFSET($DS$3,0,0,'Données projet'!$E$14+1,1))-AVERAGE(OFFSET($H$3,0,0,'Données projet'!$E$14+1,1))</f>
        <v>520.23742527061836</v>
      </c>
      <c r="DU201" s="62">
        <f t="shared" si="209"/>
        <v>321.35925479331274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-1.1882548278663309E-13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435.44444011810265</v>
      </c>
      <c r="EP201" s="62">
        <f t="shared" si="210"/>
        <v>447.15868732689762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547.89540791313675</v>
      </c>
      <c r="FK201" s="62">
        <f t="shared" si="211"/>
        <v>345.19555189302378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>
        <f>FZ201*VLOOKUP('Données projet'!$B$17,Paramètres!$A$1:$I$89,3,0)*VLOOKUP('Données projet'!$B$17,Paramètres!$A$1:$I$89,5,0)</f>
        <v>0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409.68685886029164</v>
      </c>
      <c r="GF201" s="62">
        <f t="shared" si="212"/>
        <v>330.8416508650887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1.3303323541183918E-24</v>
      </c>
      <c r="GO201" s="23">
        <f t="shared" si="187"/>
        <v>1.3303323541183918E-24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73.098184695482075</v>
      </c>
      <c r="T202" s="62">
        <f t="shared" si="204"/>
        <v>334.38551711782793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1.9271299516288753</v>
      </c>
      <c r="AA202" s="23">
        <f>EXP(-LN(2)/25)*AA201+(1-EXP(-LN(2)/25))/(LN(2)/25)*Calculateur!V202*Calculateur!X202*VLOOKUP('Données projet'!$B$9,Paramètres!$A$1:$I$89,3,0)*0.475*44/12</f>
        <v>0.12679579474599004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2.0539257463748655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70.520400819593021</v>
      </c>
      <c r="AO202" s="62">
        <f t="shared" si="205"/>
        <v>321.48616153644309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1.8384583280876694</v>
      </c>
      <c r="AV202" s="23">
        <f>EXP(-LN(2)/25)*AV201+(1-EXP(-LN(2)/25))/(LN(2)/25)*Calculateur!AQ202*Calculateur!AS202*VLOOKUP('Données projet'!$B$10,Paramètres!$A$1:$I$89,3,0)*0.475*44/12</f>
        <v>0.12096163241105161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1.959419960498721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1.5961632016114892E-13</v>
      </c>
      <c r="BF202" s="14">
        <f t="shared" si="167"/>
        <v>2.2708641912150958E-12</v>
      </c>
      <c r="BG202" s="22">
        <f t="shared" si="168"/>
        <v>4.2330868906469593E-12</v>
      </c>
      <c r="BH202" s="62">
        <f t="shared" si="194"/>
        <v>289.05155190806181</v>
      </c>
      <c r="BI202" s="62">
        <f ca="1">AVERAGE(OFFSET($BH$3,0,0,'Données projet'!$E$11+1,1))-AVERAGE(OFFSET($H$3,0,0,'Données projet'!$E$11+1,1))</f>
        <v>374.62597460242665</v>
      </c>
      <c r="BJ202" s="62">
        <f t="shared" si="206"/>
        <v>277.50105097454616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-1.7053025658242404E-13</v>
      </c>
      <c r="BZ202" s="14">
        <f>BY202*VLOOKUP('Données projet'!$B$12,Paramètres!$A$1:$I$89,3,0)*VLOOKUP('Données projet'!$B$12,Paramètres!$A$1:$I$89,5,0)</f>
        <v>-7.9808160080574461E-14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329.79342219561465</v>
      </c>
      <c r="CE202" s="62">
        <f t="shared" si="207"/>
        <v>144.63206563329757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6.8212102632969618E-13</v>
      </c>
      <c r="CU202" s="18">
        <f>CT202*VLOOKUP('Données projet'!$B$13,Paramètres!$A$1:$I$89,3,0)*VLOOKUP('Données projet'!$B$13,Paramètres!$A$1:$I$89,5,0)</f>
        <v>4.0790837374515837E-13</v>
      </c>
      <c r="CV202" s="14">
        <f t="shared" si="173"/>
        <v>5.2028966193600884E-12</v>
      </c>
      <c r="CW202" s="22">
        <f t="shared" si="174"/>
        <v>9.7721520296583044E-12</v>
      </c>
      <c r="CX202" s="62">
        <f t="shared" si="196"/>
        <v>289.05155190806738</v>
      </c>
      <c r="CY202" s="62">
        <f ca="1">AVERAGE(OFFSET($CX$3,0,0,'Données projet'!$E$13+1,1))-AVERAGE(OFFSET($H$3,0,0,'Données projet'!$E$13+1,1))</f>
        <v>530.27599556821826</v>
      </c>
      <c r="CZ202" s="62">
        <f t="shared" si="208"/>
        <v>370.62231794492129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5.4994810765286186E-25</v>
      </c>
      <c r="DI202" s="24">
        <f t="shared" si="175"/>
        <v>5.4994810765286186E-25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1.2946657079737634E-13</v>
      </c>
      <c r="DQ202" s="14">
        <f t="shared" si="176"/>
        <v>1.8873591890224769E-12</v>
      </c>
      <c r="DR202" s="22">
        <f t="shared" si="177"/>
        <v>3.5126381983529106E-12</v>
      </c>
      <c r="DS202" s="62">
        <f t="shared" si="197"/>
        <v>289.05155190806113</v>
      </c>
      <c r="DT202" s="62">
        <f ca="1">AVERAGE(OFFSET($DS$3,0,0,'Données projet'!$E$14+1,1))-AVERAGE(OFFSET($H$3,0,0,'Données projet'!$E$14+1,1))</f>
        <v>520.23742527061836</v>
      </c>
      <c r="DU202" s="62">
        <f t="shared" si="209"/>
        <v>321.35925479331274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-1.1882548278663309E-13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435.44444011810265</v>
      </c>
      <c r="EP202" s="62">
        <f t="shared" si="210"/>
        <v>447.15868732689762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547.89540791313675</v>
      </c>
      <c r="FK202" s="62">
        <f t="shared" si="211"/>
        <v>345.19555189302378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>
        <f>FZ202*VLOOKUP('Données projet'!$B$17,Paramètres!$A$1:$I$89,3,0)*VLOOKUP('Données projet'!$B$17,Paramètres!$A$1:$I$89,5,0)</f>
        <v>0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409.68685886029164</v>
      </c>
      <c r="GF202" s="62">
        <f t="shared" si="212"/>
        <v>330.8416508650887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9.406870288289783E-25</v>
      </c>
      <c r="GO202" s="23">
        <f t="shared" si="187"/>
        <v>9.406870288289783E-25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73.098184695482075</v>
      </c>
      <c r="T203" s="62">
        <f t="shared" si="204"/>
        <v>334.38551711782793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1.8893401087106392</v>
      </c>
      <c r="AA203" s="23">
        <f>EXP(-LN(2)/25)*AA202+(1-EXP(-LN(2)/25))/(LN(2)/25)*Calculateur!V203*Calculateur!X203*VLOOKUP('Données projet'!$B$9,Paramètres!$A$1:$I$89,3,0)*0.475*44/12</f>
        <v>0.12332855707075989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2.012668665781399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70.520400819593021</v>
      </c>
      <c r="AO203" s="62">
        <f t="shared" si="205"/>
        <v>321.48616153644309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1.8024072816227263</v>
      </c>
      <c r="AV203" s="23">
        <f>EXP(-LN(2)/25)*AV202+(1-EXP(-LN(2)/25))/(LN(2)/25)*Calculateur!AQ203*Calculateur!AS203*VLOOKUP('Données projet'!$B$10,Paramètres!$A$1:$I$89,3,0)*0.475*44/12</f>
        <v>0.11765393021167561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1.920061211834402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1.5961632016114892E-13</v>
      </c>
      <c r="BF203" s="14">
        <f t="shared" si="167"/>
        <v>2.2708641912150958E-12</v>
      </c>
      <c r="BG203" s="22">
        <f t="shared" si="168"/>
        <v>4.2330868906469593E-12</v>
      </c>
      <c r="BH203" s="62">
        <f t="shared" si="194"/>
        <v>289.1258312431612</v>
      </c>
      <c r="BI203" s="62">
        <f ca="1">AVERAGE(OFFSET($BH$3,0,0,'Données projet'!$E$11+1,1))-AVERAGE(OFFSET($H$3,0,0,'Données projet'!$E$11+1,1))</f>
        <v>374.62597460242665</v>
      </c>
      <c r="BJ203" s="62">
        <f t="shared" si="206"/>
        <v>277.50105097454616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-1.7053025658242404E-13</v>
      </c>
      <c r="BZ203" s="14">
        <f>BY203*VLOOKUP('Données projet'!$B$12,Paramètres!$A$1:$I$89,3,0)*VLOOKUP('Données projet'!$B$12,Paramètres!$A$1:$I$89,5,0)</f>
        <v>-7.9808160080574461E-14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329.79342219561465</v>
      </c>
      <c r="CE203" s="62">
        <f t="shared" si="207"/>
        <v>144.63206563329757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6.8212102632969618E-13</v>
      </c>
      <c r="CU203" s="18">
        <f>CT203*VLOOKUP('Données projet'!$B$13,Paramètres!$A$1:$I$89,3,0)*VLOOKUP('Données projet'!$B$13,Paramètres!$A$1:$I$89,5,0)</f>
        <v>4.0790837374515837E-13</v>
      </c>
      <c r="CV203" s="14">
        <f t="shared" si="173"/>
        <v>5.2028966193600884E-12</v>
      </c>
      <c r="CW203" s="22">
        <f t="shared" si="174"/>
        <v>9.7721520296583044E-12</v>
      </c>
      <c r="CX203" s="62">
        <f t="shared" si="196"/>
        <v>289.12583124316677</v>
      </c>
      <c r="CY203" s="62">
        <f ca="1">AVERAGE(OFFSET($CX$3,0,0,'Données projet'!$E$13+1,1))-AVERAGE(OFFSET($H$3,0,0,'Données projet'!$E$13+1,1))</f>
        <v>530.27599556821826</v>
      </c>
      <c r="CZ203" s="62">
        <f t="shared" si="208"/>
        <v>370.62231794492129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3.8887203622204808E-25</v>
      </c>
      <c r="DI203" s="24">
        <f t="shared" si="175"/>
        <v>3.8887203622204808E-25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1.2946657079737634E-13</v>
      </c>
      <c r="DQ203" s="14">
        <f t="shared" si="176"/>
        <v>1.8873591890224769E-12</v>
      </c>
      <c r="DR203" s="22">
        <f t="shared" si="177"/>
        <v>3.5126381983529106E-12</v>
      </c>
      <c r="DS203" s="62">
        <f t="shared" si="197"/>
        <v>289.12583124316052</v>
      </c>
      <c r="DT203" s="62">
        <f ca="1">AVERAGE(OFFSET($DS$3,0,0,'Données projet'!$E$14+1,1))-AVERAGE(OFFSET($H$3,0,0,'Données projet'!$E$14+1,1))</f>
        <v>520.23742527061836</v>
      </c>
      <c r="DU203" s="62">
        <f t="shared" si="209"/>
        <v>321.35925479331274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-1.1882548278663309E-13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435.44444011810265</v>
      </c>
      <c r="EP203" s="62">
        <f t="shared" si="210"/>
        <v>447.15868732689762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547.89540791313675</v>
      </c>
      <c r="FK203" s="62">
        <f t="shared" si="211"/>
        <v>345.19555189302378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>
        <f>FZ203*VLOOKUP('Données projet'!$B$17,Paramètres!$A$1:$I$89,3,0)*VLOOKUP('Données projet'!$B$17,Paramètres!$A$1:$I$89,5,0)</f>
        <v>0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409.68685886029164</v>
      </c>
      <c r="GF203" s="62">
        <f t="shared" si="212"/>
        <v>330.8416508650887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6.651661770591959E-25</v>
      </c>
      <c r="GO203" s="23">
        <f t="shared" si="187"/>
        <v>6.651661770591959E-25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1.319765150187665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1.319765150187665</v>
      </c>
      <c r="BA205" s="88">
        <f>EXP(LN('Données projet'!B88)/'Données projet'!A88)</f>
        <v>1.1921598380198544</v>
      </c>
      <c r="BV205" s="88">
        <f>EXP(LN('Données projet'!B114)/'Données projet'!A114)</f>
        <v>1.1492921628779353</v>
      </c>
      <c r="CQ205" s="88">
        <f>EXP(LN('Données projet'!B140)/'Données projet'!A140)</f>
        <v>1.2576543687835404</v>
      </c>
      <c r="DL205" s="88">
        <f>EXP(LN('Données projet'!B166)/'Données projet'!A166)</f>
        <v>1.185906184594963</v>
      </c>
      <c r="EG205" s="88">
        <f>EXP(LN('Données projet'!B192)/'Données projet'!A192)</f>
        <v>1.2765231539157764</v>
      </c>
      <c r="FB205" s="88">
        <f>EXP(LN('Données projet'!B218)/'Données projet'!A218)</f>
        <v>1.2392705892426346</v>
      </c>
      <c r="FW205" s="88">
        <f>EXP(LN('Données projet'!B244)/'Données projet'!A244)</f>
        <v>1.244502252163008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3" workbookViewId="0">
      <selection activeCell="C49" sqref="C49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0" workbookViewId="0">
      <selection activeCell="M27" sqref="M2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2.3321100000000001</v>
      </c>
      <c r="C6" s="156">
        <f ca="1">IF(OR('Données projet'!B9="",'Données projet'!C9="",'Données projet'!C9=0%),0,Calculateur!S3)</f>
        <v>73.098184695482075</v>
      </c>
      <c r="D6" s="156">
        <f>IF(OR('Données projet'!B9="",'Données projet'!C9="",'Données projet'!C9=0%),0,Calculateur!T3)</f>
        <v>334.38551711782793</v>
      </c>
      <c r="E6" s="156">
        <f ca="1">MIN(C6,D6)</f>
        <v>73.098184695482075</v>
      </c>
      <c r="F6" s="156">
        <f ca="1">E6*B6</f>
        <v>170.47300751018071</v>
      </c>
      <c r="G6" s="156">
        <f ca="1">F6*(100%-'Données projet'!$C$24)*(100%-'Données projet'!$C$25)*(100%-'Données projet'!$C$26)*(100%-'Données projet'!$C$27)</f>
        <v>153.42570675916264</v>
      </c>
      <c r="H6" s="157">
        <f>IF(OR('Données projet'!B9="",'Données projet'!C9="",'Données projet'!C9=0%),0,AVERAGE(Calculateur!$AC$3:$AC$33)*B6)</f>
        <v>63.242870623497083</v>
      </c>
      <c r="I6" s="158">
        <f>H6*(100%-'Données projet'!$C$24)*(100%-'Données projet'!$C$25)*(100%-'Données projet'!$C$26)*(100%-'Données projet'!$C$27)</f>
        <v>56.918583561147379</v>
      </c>
      <c r="J6" s="159">
        <f>IF(OR('Données projet'!B9="",'Données projet'!C9="",'Données projet'!C9=0%),0,SUM(Calculateur!$V$3:$V$33)*VLOOKUP('Données projet'!$B$9,Paramètres!$A$1:$I$89,9,0)*B6)</f>
        <v>617.3328381</v>
      </c>
      <c r="K6" s="160">
        <f>J6*(100%-'Données projet'!$C$24)*(100%-'Données projet'!$C$25)*(100%-'Données projet'!$C$26)*(100%-'Données projet'!$C$27)</f>
        <v>555.59955429000001</v>
      </c>
      <c r="L6" s="161">
        <f ca="1">G6+I6+K6</f>
        <v>765.94384461031007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Blanc du Poitou</v>
      </c>
      <c r="B7" s="163">
        <f>'Données projet'!D10</f>
        <v>1.3797300000000001</v>
      </c>
      <c r="C7" s="156">
        <f ca="1">IF(OR('Données projet'!B10="",'Données projet'!C10="",'Données projet'!C10=0%),0,Calculateur!AN3)</f>
        <v>70.520400819593021</v>
      </c>
      <c r="D7" s="156">
        <f>IF(OR('Données projet'!B10="",'Données projet'!C10="",'Données projet'!C10=0%),0,Calculateur!AO3)</f>
        <v>321.48616153644309</v>
      </c>
      <c r="E7" s="156">
        <f t="shared" ref="E7:E15" ca="1" si="0">MIN(C7,D7)</f>
        <v>70.520400819593021</v>
      </c>
      <c r="F7" s="156">
        <f t="shared" ref="F7:F15" ca="1" si="1">E7*B7</f>
        <v>97.299112622817091</v>
      </c>
      <c r="G7" s="156">
        <f ca="1">F7*(100%-'Données projet'!$C$24)*(100%-'Données projet'!$C$25)*(100%-'Données projet'!$C$26)*(100%-'Données projet'!$C$27)</f>
        <v>87.569201360535388</v>
      </c>
      <c r="H7" s="164">
        <f>IF(OR('Données projet'!B10="",'Données projet'!C10="",'Données projet'!C10=0%),0,AVERAGE(Calculateur!$AX$3:$AX$33)*B7)</f>
        <v>35.694346871833062</v>
      </c>
      <c r="I7" s="158">
        <f>H7*(100%-'Données projet'!$C$24)*(100%-'Données projet'!$C$25)*(100%-'Données projet'!$C$26)*(100%-'Données projet'!$C$27)</f>
        <v>32.124912184649759</v>
      </c>
      <c r="J7" s="159">
        <f>IF(OR('Données projet'!B10="",'Données projet'!C10="",'Données projet'!C10=0%),0,SUM(Calculateur!$AQ$3:$AQ$33)*VLOOKUP('Données projet'!$B$10,Paramètres!$A$1:$I$89,9,0)*B7)</f>
        <v>365.22832829999999</v>
      </c>
      <c r="K7" s="160">
        <f>J7*(100%-'Données projet'!$C$24)*(100%-'Données projet'!$C$25)*(100%-'Données projet'!$C$26)*(100%-'Données projet'!$C$27)</f>
        <v>328.70549547000002</v>
      </c>
      <c r="L7" s="161">
        <f t="shared" ref="L7:L15" ca="1" si="2">G7+I7+K7</f>
        <v>448.39960901518515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2.2832700000000004</v>
      </c>
      <c r="C8" s="156">
        <f ca="1">IF(OR('Données projet'!B11="",'Données projet'!C11="",'Données projet'!C11=0%),0,Calculateur!BI3)</f>
        <v>374.62597460242665</v>
      </c>
      <c r="D8" s="156">
        <f>IF(OR('Données projet'!B11="",'Données projet'!C11="",'Données projet'!C11=0%),0,Calculateur!BJ3)</f>
        <v>277.50105097454616</v>
      </c>
      <c r="E8" s="156">
        <f t="shared" ca="1" si="0"/>
        <v>277.50105097454616</v>
      </c>
      <c r="F8" s="156">
        <f t="shared" ca="1" si="1"/>
        <v>633.60982465865209</v>
      </c>
      <c r="G8" s="156">
        <f ca="1">F8*(100%-'Données projet'!$C$24)*(100%-'Données projet'!$C$25)*(100%-'Données projet'!$C$26)*(100%-'Données projet'!$C$27)</f>
        <v>570.24884219278692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570.24884219278692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Cèdre de l'Atlas</v>
      </c>
      <c r="B9" s="163">
        <f>'Données projet'!D12</f>
        <v>1.4652000000000001</v>
      </c>
      <c r="C9" s="156">
        <f ca="1">IF(OR('Données projet'!B12="",'Données projet'!C12="",'Données projet'!C12=0%),0,Calculateur!CD3)</f>
        <v>329.79342219561465</v>
      </c>
      <c r="D9" s="156">
        <f>IF(OR('Données projet'!B12="",'Données projet'!C12="",'Données projet'!C12=0%),0,Calculateur!CE3)</f>
        <v>144.63206563329757</v>
      </c>
      <c r="E9" s="156">
        <f t="shared" ca="1" si="0"/>
        <v>144.63206563329757</v>
      </c>
      <c r="F9" s="156">
        <f t="shared" ca="1" si="1"/>
        <v>211.91490256590762</v>
      </c>
      <c r="G9" s="156">
        <f ca="1">F9*(100%-'Données projet'!$C$24)*(100%-'Données projet'!$C$25)*(100%-'Données projet'!$C$26)*(100%-'Données projet'!$C$27)</f>
        <v>190.72341230931687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190.72341230931687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Pin noir d'Autriche</v>
      </c>
      <c r="B10" s="163">
        <f>'Données projet'!D13</f>
        <v>0.90354000000000001</v>
      </c>
      <c r="C10" s="156">
        <f ca="1">IF(OR('Données projet'!B13="",'Données projet'!C13="",'Données projet'!C13=0%),0,Calculateur!CY3)</f>
        <v>530.27599556821826</v>
      </c>
      <c r="D10" s="156">
        <f>IF(OR('Données projet'!B13="",'Données projet'!C13="",'Données projet'!C13=0%),0,Calculateur!CZ3)</f>
        <v>370.62231794492129</v>
      </c>
      <c r="E10" s="156">
        <f t="shared" ca="1" si="0"/>
        <v>370.62231794492129</v>
      </c>
      <c r="F10" s="156">
        <f t="shared" ca="1" si="1"/>
        <v>334.8720891559542</v>
      </c>
      <c r="G10" s="156">
        <f ca="1">F10*(100%-'Données projet'!$C$24)*(100%-'Données projet'!$C$25)*(100%-'Données projet'!$C$26)*(100%-'Données projet'!$C$27)</f>
        <v>301.38488024035877</v>
      </c>
      <c r="H10" s="164">
        <f>IF(OR('Données projet'!B13="",'Données projet'!C13="",'Données projet'!C13=0%),0,AVERAGE(Calculateur!$DI$3:$DI$33)*B10)</f>
        <v>0.89537395356528082</v>
      </c>
      <c r="I10" s="158">
        <f>H10*(100%-'Données projet'!$C$24)*(100%-'Données projet'!$C$25)*(100%-'Données projet'!$C$26)*(100%-'Données projet'!$C$27)</f>
        <v>0.80583655820875277</v>
      </c>
      <c r="J10" s="159">
        <f>IF(OR('Données projet'!B13="",'Données projet'!C13="",'Données projet'!C13=0%),0,SUM(Calculateur!$DB$3:$DB$33)*VLOOKUP('Données projet'!$B$13,Paramètres!$A$1:$I$89,9,0)*B10)</f>
        <v>11.267143800000001</v>
      </c>
      <c r="K10" s="160">
        <f>J10*(100%-'Données projet'!$C$24)*(100%-'Données projet'!$C$25)*(100%-'Données projet'!$C$26)*(100%-'Données projet'!$C$27)</f>
        <v>10.140429420000002</v>
      </c>
      <c r="L10" s="161">
        <f t="shared" ca="1" si="2"/>
        <v>312.33114621856748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Chêne vert</v>
      </c>
      <c r="B11" s="163">
        <f>'Données projet'!D14</f>
        <v>0.72038999999999997</v>
      </c>
      <c r="C11" s="156">
        <f ca="1">IF(OR('Données projet'!B14="",'Données projet'!C14="",'Données projet'!C14=0%),0,Calculateur!DT3)</f>
        <v>520.23742527061836</v>
      </c>
      <c r="D11" s="156">
        <f>IF(OR('Données projet'!B14="",'Données projet'!C14="",'Données projet'!C14=0%),0,Calculateur!DU3)</f>
        <v>321.35925479331274</v>
      </c>
      <c r="E11" s="156">
        <f t="shared" ca="1" si="0"/>
        <v>321.35925479331274</v>
      </c>
      <c r="F11" s="156">
        <f t="shared" ca="1" si="1"/>
        <v>231.50399356055456</v>
      </c>
      <c r="G11" s="156">
        <f ca="1">F11*(100%-'Données projet'!$C$24)*(100%-'Données projet'!$C$25)*(100%-'Données projet'!$C$26)*(100%-'Données projet'!$C$27)</f>
        <v>208.3535942044991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5.2228275000000002</v>
      </c>
      <c r="K11" s="160">
        <f>J11*(100%-'Données projet'!$C$24)*(100%-'Données projet'!$C$25)*(100%-'Données projet'!$C$26)*(100%-'Données projet'!$C$27)</f>
        <v>4.7005447500000006</v>
      </c>
      <c r="L11" s="161">
        <f t="shared" ca="1" si="2"/>
        <v>213.05413895449911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Chêne chevelu</v>
      </c>
      <c r="B12" s="163">
        <f>'Données projet'!D15</f>
        <v>1.15995</v>
      </c>
      <c r="C12" s="156">
        <f ca="1">IF(OR('Données projet'!B15="",'Données projet'!C15="",'Données projet'!C15=0%),0,Calculateur!EO3)</f>
        <v>435.44444011810265</v>
      </c>
      <c r="D12" s="156">
        <f>IF(OR('Données projet'!B15="",'Données projet'!C15="",'Données projet'!C15=0%),0,Calculateur!EP3)</f>
        <v>447.15868732689762</v>
      </c>
      <c r="E12" s="156">
        <f t="shared" ca="1" si="0"/>
        <v>435.44444011810265</v>
      </c>
      <c r="F12" s="156">
        <f t="shared" ca="1" si="1"/>
        <v>505.09377831499319</v>
      </c>
      <c r="G12" s="156">
        <f ca="1">F12*(100%-'Données projet'!$C$24)*(100%-'Données projet'!$C$25)*(100%-'Données projet'!$C$26)*(100%-'Données projet'!$C$27)</f>
        <v>454.58440048349388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35.958449999999999</v>
      </c>
      <c r="K12" s="160">
        <f>J12*(100%-'Données projet'!$C$24)*(100%-'Données projet'!$C$25)*(100%-'Données projet'!$C$26)*(100%-'Données projet'!$C$27)</f>
        <v>32.362605000000002</v>
      </c>
      <c r="L12" s="161">
        <f t="shared" ca="1" si="2"/>
        <v>486.94700548349385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>Chêne pubescent</v>
      </c>
      <c r="B13" s="163">
        <f>'Données projet'!D16</f>
        <v>0.72038999999999997</v>
      </c>
      <c r="C13" s="156">
        <f ca="1">IF(OR('Données projet'!B16="",'Données projet'!C16="",'Données projet'!C16=0%),0,Calculateur!FJ3)</f>
        <v>547.89540791313675</v>
      </c>
      <c r="D13" s="156">
        <f>IF(OR('Données projet'!B16="",'Données projet'!C16="",'Données projet'!C16=0%),0,Calculateur!FK3)</f>
        <v>345.19555189302378</v>
      </c>
      <c r="E13" s="156">
        <f t="shared" ca="1" si="0"/>
        <v>345.19555189302378</v>
      </c>
      <c r="F13" s="156">
        <f t="shared" ca="1" si="1"/>
        <v>248.67542362821538</v>
      </c>
      <c r="G13" s="156">
        <f ca="1">F13*(100%-'Données projet'!$C$24)*(100%-'Données projet'!$C$25)*(100%-'Données projet'!$C$26)*(100%-'Données projet'!$C$27)</f>
        <v>223.80788126539386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11.166045</v>
      </c>
      <c r="K13" s="160">
        <f>J13*(100%-'Données projet'!$C$24)*(100%-'Données projet'!$C$25)*(100%-'Données projet'!$C$26)*(100%-'Données projet'!$C$27)</f>
        <v>10.049440500000001</v>
      </c>
      <c r="L13" s="161">
        <f t="shared" ca="1" si="2"/>
        <v>233.85732176539386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>Pin laricio</v>
      </c>
      <c r="B14" s="163">
        <f>'Données projet'!D17</f>
        <v>1.24542</v>
      </c>
      <c r="C14" s="156">
        <f ca="1">IF(OR('Données projet'!B17="",'Données projet'!C17="",'Données projet'!C17=0%),0,Calculateur!GE3)</f>
        <v>409.68685886029164</v>
      </c>
      <c r="D14" s="156">
        <f>IF(OR('Données projet'!B17="",'Données projet'!C17="",'Données projet'!C17=0%),0,Calculateur!GF3)</f>
        <v>330.8416508650887</v>
      </c>
      <c r="E14" s="156">
        <f t="shared" ca="1" si="0"/>
        <v>330.8416508650887</v>
      </c>
      <c r="F14" s="156">
        <f t="shared" ca="1" si="1"/>
        <v>412.03680882039873</v>
      </c>
      <c r="G14" s="156">
        <f ca="1">F14*(100%-'Données projet'!$C$24)*(100%-'Données projet'!$C$25)*(100%-'Données projet'!$C$26)*(100%-'Données projet'!$C$27)</f>
        <v>370.83312793835887</v>
      </c>
      <c r="H14" s="164">
        <f>IF(OR('Données projet'!B17="",'Données projet'!C17="",'Données projet'!C17=0%),0,AVERAGE(Calculateur!$GO$3:$GO$33)*B14)</f>
        <v>3.7265783784515958</v>
      </c>
      <c r="I14" s="158">
        <f>H14*(100%-'Données projet'!$C$24)*(100%-'Données projet'!$C$25)*(100%-'Données projet'!$C$26)*(100%-'Données projet'!$C$27)</f>
        <v>3.3539205406064361</v>
      </c>
      <c r="J14" s="159">
        <f>IF(OR('Données projet'!B17="",'Données projet'!C17="",'Données projet'!C17=0%),0,SUM(Calculateur!$GH$3:$GH$33)*VLOOKUP('Données projet'!$B$17,Paramètres!$A$1:$I$89,9,0)*B14)</f>
        <v>35.880550199999995</v>
      </c>
      <c r="K14" s="160">
        <f>J14*(100%-'Données projet'!$C$24)*(100%-'Données projet'!$C$25)*(100%-'Données projet'!$C$26)*(100%-'Données projet'!$C$27)</f>
        <v>32.292495179999996</v>
      </c>
      <c r="L14" s="161">
        <f t="shared" ca="1" si="2"/>
        <v>406.47954365896533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2845.4789408376732</v>
      </c>
      <c r="G16" s="175">
        <f t="shared" ca="1" si="3"/>
        <v>2560.9310467539062</v>
      </c>
      <c r="H16" s="176">
        <f t="shared" si="3"/>
        <v>103.55916982734702</v>
      </c>
      <c r="I16" s="176">
        <f t="shared" si="3"/>
        <v>93.203252844612337</v>
      </c>
      <c r="J16" s="177">
        <f t="shared" si="3"/>
        <v>1082.0561829000001</v>
      </c>
      <c r="K16" s="177">
        <f t="shared" si="3"/>
        <v>973.85056460999988</v>
      </c>
      <c r="L16" s="178">
        <f t="shared" ca="1" si="3"/>
        <v>3627.9848642085185</v>
      </c>
      <c r="M16" s="25">
        <f ca="1">L16/12.3</f>
        <v>294.95811904134297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Blanc du Poitou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Pin noir d'Autriche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Chêne vert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Chêne chevelu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>Chêne pubescent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>Pin laricio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0" zoomScale="90" zoomScaleNormal="90" workbookViewId="0">
      <selection activeCell="I32" sqref="I3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5328.1607469469118</v>
      </c>
      <c r="U10" s="190">
        <f>'Données projet'!D9</f>
        <v>2.3321100000000001</v>
      </c>
      <c r="V10" s="189">
        <f>U10*T10</f>
        <v>12425.856959562363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Blanc du Poitou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5328.1607469469118</v>
      </c>
      <c r="U11" s="190">
        <f>'Données projet'!D10</f>
        <v>1.3797300000000001</v>
      </c>
      <c r="V11" s="189">
        <f t="shared" ref="V11" si="0">U11*T11</f>
        <v>7351.423227385063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1881.9677577840123</v>
      </c>
      <c r="U12" s="190">
        <f>'Données projet'!D11</f>
        <v>2.2832700000000004</v>
      </c>
      <c r="V12" s="189">
        <f t="shared" ref="V12:V19" si="1">U12*T12</f>
        <v>4297.0405223155021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255.69890422415355</v>
      </c>
      <c r="U13" s="190">
        <f>'Données projet'!D12</f>
        <v>1.4652000000000001</v>
      </c>
      <c r="V13" s="189">
        <f t="shared" si="1"/>
        <v>374.65003446922981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noir d'Autriche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891.85656414546179</v>
      </c>
      <c r="U14" s="190">
        <f>'Données projet'!D13</f>
        <v>0.90354000000000001</v>
      </c>
      <c r="V14" s="189">
        <f t="shared" si="1"/>
        <v>805.82807996799056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vert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539.55374830793926</v>
      </c>
      <c r="U15" s="190">
        <f>'Données projet'!D14</f>
        <v>0.72038999999999997</v>
      </c>
      <c r="V15" s="189">
        <f t="shared" si="1"/>
        <v>388.68912474355636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/>
      <c r="O16" s="25"/>
      <c r="P16" s="25"/>
      <c r="Q16" s="265"/>
      <c r="R16" s="25"/>
      <c r="S16" s="185" t="str">
        <f>B200</f>
        <v>Chêne chevelu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981.53929453486364</v>
      </c>
      <c r="U16" s="190">
        <f>'Données projet'!D15</f>
        <v>1.15995</v>
      </c>
      <c r="V16" s="189">
        <f t="shared" si="1"/>
        <v>1138.5365046957152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Chêne pubescent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1011.8520564281428</v>
      </c>
      <c r="U17" s="190">
        <f>'Données projet'!D16</f>
        <v>0.72038999999999997</v>
      </c>
      <c r="V17" s="189">
        <f t="shared" si="1"/>
        <v>728.92810293026969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>Pin laricio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1997.5625420038677</v>
      </c>
      <c r="U18" s="190">
        <f>'Données projet'!D17</f>
        <v>1.24542</v>
      </c>
      <c r="V18" s="189">
        <f t="shared" si="1"/>
        <v>2487.8043410624568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f>(42228)/12.3</f>
        <v>3433.1707317073169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9576/12.3</f>
        <v>778.53658536585363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6845/12.3</f>
        <v>556.5040650406504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257</v>
      </c>
      <c r="C23" s="206">
        <v>50</v>
      </c>
      <c r="D23" s="194">
        <f>B23*C23</f>
        <v>12850</v>
      </c>
      <c r="E23" s="206"/>
      <c r="F23" s="261"/>
      <c r="H23" s="203">
        <v>3</v>
      </c>
      <c r="I23" s="204">
        <f>3706/12.3</f>
        <v>301.30081300813009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-30462.942564952922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63283.654506732448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370</v>
      </c>
      <c r="Q25" s="265"/>
      <c r="R25" s="25"/>
      <c r="S25" s="198" t="s">
        <v>266</v>
      </c>
      <c r="T25" s="343">
        <f ca="1">T23-T24</f>
        <v>-93746.597071685363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5182.936487037874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370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354.06698564593302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338.82008195783072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324.22974350031643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310.26769712948953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296.9068872052531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284.1214231629217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271.88652934250882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260.17849697847743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248.97463825691619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238.253242351116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227.99353335035025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Blanc du Poitou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218.17563000033522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208.78050717735425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199.7899590213917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191.18656365683412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182.95364943237723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175.07526261471506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167.53613647341157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160.32166169704456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153.4178580832963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257</v>
      </c>
      <c r="C54" s="292">
        <v>50</v>
      </c>
      <c r="D54" s="191">
        <f>B54*C54</f>
        <v>12850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42</v>
      </c>
      <c r="B87" s="193">
        <f>'Données projet'!D90</f>
        <v>182</v>
      </c>
      <c r="C87" s="204">
        <v>20</v>
      </c>
      <c r="D87" s="191">
        <f t="shared" si="6"/>
        <v>3640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43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49</v>
      </c>
      <c r="B89" s="193">
        <f>'Données projet'!D92</f>
        <v>100</v>
      </c>
      <c r="C89" s="204">
        <v>25</v>
      </c>
      <c r="D89" s="191">
        <f t="shared" si="6"/>
        <v>2500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56</v>
      </c>
      <c r="B91" s="193">
        <f>'Données projet'!D94</f>
        <v>79</v>
      </c>
      <c r="C91" s="204">
        <v>30</v>
      </c>
      <c r="D91" s="191">
        <f t="shared" si="6"/>
        <v>2370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57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63</v>
      </c>
      <c r="B93" s="193">
        <f>'Données projet'!D96</f>
        <v>79</v>
      </c>
      <c r="C93" s="204">
        <v>35</v>
      </c>
      <c r="D93" s="191">
        <f t="shared" si="6"/>
        <v>2765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64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71</v>
      </c>
      <c r="B95" s="193">
        <f>'Données projet'!D98</f>
        <v>91</v>
      </c>
      <c r="C95" s="204">
        <v>40</v>
      </c>
      <c r="D95" s="191">
        <f t="shared" si="6"/>
        <v>3640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72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79</v>
      </c>
      <c r="B97" s="193">
        <f>'Données projet'!D100</f>
        <v>88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87</v>
      </c>
      <c r="B99" s="193">
        <f>'Données projet'!D102</f>
        <v>89</v>
      </c>
      <c r="C99" s="204">
        <v>45</v>
      </c>
      <c r="D99" s="191">
        <f t="shared" si="6"/>
        <v>4005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88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94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95</v>
      </c>
      <c r="B102" s="193">
        <f>'Données projet'!D105</f>
        <v>269</v>
      </c>
      <c r="C102" s="204">
        <v>50</v>
      </c>
      <c r="D102" s="191">
        <f t="shared" si="6"/>
        <v>13450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96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105</v>
      </c>
      <c r="B104" s="193">
        <f>'Données projet'!D107</f>
        <v>357</v>
      </c>
      <c r="C104" s="204">
        <v>55</v>
      </c>
      <c r="D104" s="191">
        <f t="shared" si="6"/>
        <v>19635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30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38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46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54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67</v>
      </c>
      <c r="B120" s="193">
        <f>'Données projet'!D118</f>
        <v>122</v>
      </c>
      <c r="C120" s="204">
        <v>20</v>
      </c>
      <c r="D120" s="191">
        <f t="shared" si="8"/>
        <v>2440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71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82</v>
      </c>
      <c r="B122" s="193">
        <f>'Données projet'!D120</f>
        <v>92</v>
      </c>
      <c r="C122" s="204">
        <v>25</v>
      </c>
      <c r="D122" s="191">
        <f t="shared" si="8"/>
        <v>2300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86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98</v>
      </c>
      <c r="B124" s="193">
        <f>'Données projet'!D122</f>
        <v>64</v>
      </c>
      <c r="C124" s="204">
        <v>30</v>
      </c>
      <c r="D124" s="191">
        <f t="shared" si="8"/>
        <v>1920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102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110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115</v>
      </c>
      <c r="B127" s="193">
        <f>'Données projet'!D125</f>
        <v>65</v>
      </c>
      <c r="C127" s="204">
        <v>35</v>
      </c>
      <c r="D127" s="191">
        <f t="shared" si="8"/>
        <v>2275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119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127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135</v>
      </c>
      <c r="B130" s="193">
        <f>'Données projet'!D128</f>
        <v>70</v>
      </c>
      <c r="C130" s="204">
        <v>40</v>
      </c>
      <c r="D130" s="191">
        <f t="shared" si="8"/>
        <v>2800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138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150</v>
      </c>
      <c r="B132" s="193">
        <f>'Données projet'!D130</f>
        <v>174</v>
      </c>
      <c r="C132" s="204">
        <v>45</v>
      </c>
      <c r="D132" s="191">
        <f t="shared" si="8"/>
        <v>7830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153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165</v>
      </c>
      <c r="B134" s="193">
        <f>'Données projet'!D132</f>
        <v>215</v>
      </c>
      <c r="C134" s="204">
        <v>50</v>
      </c>
      <c r="D134" s="191">
        <f t="shared" si="8"/>
        <v>10750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Pin noir d'Autriche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7">
        <f>'Données projet'!D140</f>
        <v>7</v>
      </c>
      <c r="C147" s="292">
        <v>12</v>
      </c>
      <c r="D147" s="194">
        <f>B147*C147</f>
        <v>84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22</v>
      </c>
      <c r="C148" s="292">
        <v>12</v>
      </c>
      <c r="D148" s="194">
        <f t="shared" ref="D148:D166" si="10">B148*C148</f>
        <v>264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40</v>
      </c>
      <c r="B149" s="187">
        <f>'Données projet'!D142</f>
        <v>35</v>
      </c>
      <c r="C149" s="292">
        <v>15</v>
      </c>
      <c r="D149" s="194">
        <f t="shared" si="10"/>
        <v>525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50</v>
      </c>
      <c r="B150" s="187">
        <f>'Données projet'!D143</f>
        <v>42</v>
      </c>
      <c r="C150" s="292">
        <v>17</v>
      </c>
      <c r="D150" s="194">
        <f t="shared" si="10"/>
        <v>714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60</v>
      </c>
      <c r="B151" s="187">
        <f>'Données projet'!D144</f>
        <v>42</v>
      </c>
      <c r="C151" s="292">
        <v>20</v>
      </c>
      <c r="D151" s="194">
        <f t="shared" si="10"/>
        <v>840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70</v>
      </c>
      <c r="B152" s="187">
        <f>'Données projet'!D145</f>
        <v>39</v>
      </c>
      <c r="C152" s="292">
        <v>25</v>
      </c>
      <c r="D152" s="194">
        <f t="shared" si="10"/>
        <v>975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80</v>
      </c>
      <c r="B153" s="187">
        <f>'Données projet'!D146</f>
        <v>36</v>
      </c>
      <c r="C153" s="292">
        <v>30</v>
      </c>
      <c r="D153" s="194">
        <f t="shared" si="10"/>
        <v>1080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90</v>
      </c>
      <c r="B154" s="187">
        <f>'Données projet'!D147</f>
        <v>36</v>
      </c>
      <c r="C154" s="292">
        <v>35</v>
      </c>
      <c r="D154" s="194">
        <f t="shared" si="10"/>
        <v>1260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100</v>
      </c>
      <c r="B155" s="187">
        <f>'Données projet'!D148</f>
        <v>621</v>
      </c>
      <c r="C155" s="292">
        <v>60</v>
      </c>
      <c r="D155" s="194">
        <f t="shared" si="10"/>
        <v>37260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92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92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Chêne vert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25</v>
      </c>
      <c r="B178" s="193">
        <f>'Données projet'!D166</f>
        <v>8</v>
      </c>
      <c r="C178" s="292">
        <v>4</v>
      </c>
      <c r="D178" s="191">
        <f>B178*C178</f>
        <v>32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30</v>
      </c>
      <c r="B179" s="193">
        <f>'Données projet'!D167</f>
        <v>21</v>
      </c>
      <c r="C179" s="292">
        <v>8</v>
      </c>
      <c r="D179" s="191">
        <f t="shared" ref="D179:D197" si="11">B179*C179</f>
        <v>168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35</v>
      </c>
      <c r="B180" s="193">
        <f>'Données projet'!D168</f>
        <v>21</v>
      </c>
      <c r="C180" s="292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40</v>
      </c>
      <c r="B181" s="193">
        <f>'Données projet'!D169</f>
        <v>21</v>
      </c>
      <c r="C181" s="292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45</v>
      </c>
      <c r="B182" s="193">
        <f>'Données projet'!D170</f>
        <v>21</v>
      </c>
      <c r="C182" s="292">
        <v>15</v>
      </c>
      <c r="D182" s="191">
        <f t="shared" si="11"/>
        <v>315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50</v>
      </c>
      <c r="B183" s="193">
        <f>'Données projet'!D171</f>
        <v>21</v>
      </c>
      <c r="C183" s="292">
        <v>15</v>
      </c>
      <c r="D183" s="191">
        <f t="shared" si="11"/>
        <v>315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55</v>
      </c>
      <c r="B184" s="193">
        <f>'Données projet'!D172</f>
        <v>21</v>
      </c>
      <c r="C184" s="292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60</v>
      </c>
      <c r="B185" s="193">
        <f>'Données projet'!D173</f>
        <v>21</v>
      </c>
      <c r="C185" s="292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65</v>
      </c>
      <c r="B186" s="193">
        <f>'Données projet'!D174</f>
        <v>21</v>
      </c>
      <c r="C186" s="292">
        <v>20</v>
      </c>
      <c r="D186" s="191">
        <f t="shared" si="11"/>
        <v>420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70</v>
      </c>
      <c r="B187" s="193">
        <f>'Données projet'!D175</f>
        <v>21</v>
      </c>
      <c r="C187" s="292">
        <v>20</v>
      </c>
      <c r="D187" s="191">
        <f t="shared" si="11"/>
        <v>420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75</v>
      </c>
      <c r="B188" s="193">
        <f>'Données projet'!D176</f>
        <v>21</v>
      </c>
      <c r="C188" s="292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80</v>
      </c>
      <c r="B189" s="193">
        <f>'Données projet'!D177</f>
        <v>21</v>
      </c>
      <c r="C189" s="292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85</v>
      </c>
      <c r="B190" s="193">
        <f>'Données projet'!D178</f>
        <v>21</v>
      </c>
      <c r="C190" s="292">
        <v>30</v>
      </c>
      <c r="D190" s="191">
        <f t="shared" si="11"/>
        <v>630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90</v>
      </c>
      <c r="B191" s="193">
        <f>'Données projet'!D179</f>
        <v>21</v>
      </c>
      <c r="C191" s="292">
        <v>30</v>
      </c>
      <c r="D191" s="191">
        <f t="shared" si="11"/>
        <v>630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95</v>
      </c>
      <c r="B192" s="193">
        <f>'Données projet'!D180</f>
        <v>21</v>
      </c>
      <c r="C192" s="292">
        <v>40</v>
      </c>
      <c r="D192" s="191">
        <f t="shared" si="11"/>
        <v>840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100</v>
      </c>
      <c r="B193" s="193">
        <f>'Données projet'!D181</f>
        <v>21</v>
      </c>
      <c r="C193" s="292">
        <v>50</v>
      </c>
      <c r="D193" s="191">
        <f t="shared" si="11"/>
        <v>1050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105</v>
      </c>
      <c r="B194" s="193">
        <f>'Données projet'!D182</f>
        <v>20</v>
      </c>
      <c r="C194" s="206">
        <v>70</v>
      </c>
      <c r="D194" s="191">
        <f t="shared" si="11"/>
        <v>1400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110</v>
      </c>
      <c r="B195" s="193">
        <f>'Données projet'!D183</f>
        <v>19</v>
      </c>
      <c r="C195" s="206">
        <v>80</v>
      </c>
      <c r="D195" s="191">
        <f t="shared" si="11"/>
        <v>1520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115</v>
      </c>
      <c r="B196" s="193">
        <f>'Données projet'!D184</f>
        <v>18</v>
      </c>
      <c r="C196" s="206">
        <v>80</v>
      </c>
      <c r="D196" s="191">
        <f t="shared" si="11"/>
        <v>1440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120</v>
      </c>
      <c r="B197" s="193">
        <f>'Données projet'!D185</f>
        <v>284</v>
      </c>
      <c r="C197" s="206">
        <v>80</v>
      </c>
      <c r="D197" s="191">
        <f t="shared" si="11"/>
        <v>22720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Chêne chevelu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50</v>
      </c>
      <c r="C209" s="292">
        <v>5</v>
      </c>
      <c r="D209" s="191">
        <f>B209*C209</f>
        <v>250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37</v>
      </c>
      <c r="C210" s="292">
        <v>7</v>
      </c>
      <c r="D210" s="191">
        <f t="shared" ref="D210:D228" si="12">B210*C210</f>
        <v>259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37</v>
      </c>
      <c r="C211" s="292">
        <v>9</v>
      </c>
      <c r="D211" s="191">
        <f t="shared" si="12"/>
        <v>333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36</v>
      </c>
      <c r="C212" s="292">
        <v>9</v>
      </c>
      <c r="D212" s="191">
        <f t="shared" si="12"/>
        <v>324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33</v>
      </c>
      <c r="C213" s="292">
        <v>9</v>
      </c>
      <c r="D213" s="191">
        <f t="shared" si="12"/>
        <v>297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45</v>
      </c>
      <c r="B214" s="193">
        <f>'Données projet'!D197</f>
        <v>31</v>
      </c>
      <c r="C214" s="292">
        <v>14</v>
      </c>
      <c r="D214" s="191">
        <f t="shared" si="12"/>
        <v>434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50</v>
      </c>
      <c r="B215" s="193">
        <f>'Données projet'!D198</f>
        <v>28</v>
      </c>
      <c r="C215" s="292">
        <v>14</v>
      </c>
      <c r="D215" s="191">
        <f t="shared" si="12"/>
        <v>392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55</v>
      </c>
      <c r="B216" s="193">
        <f>'Données projet'!D199</f>
        <v>25</v>
      </c>
      <c r="C216" s="292">
        <v>14</v>
      </c>
      <c r="D216" s="191">
        <f t="shared" si="12"/>
        <v>350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60</v>
      </c>
      <c r="B217" s="193">
        <f>'Données projet'!D200</f>
        <v>22</v>
      </c>
      <c r="C217" s="292">
        <v>17</v>
      </c>
      <c r="D217" s="191">
        <f t="shared" si="12"/>
        <v>374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65</v>
      </c>
      <c r="B218" s="193">
        <f>'Données projet'!D201</f>
        <v>20</v>
      </c>
      <c r="C218" s="292">
        <v>17</v>
      </c>
      <c r="D218" s="191">
        <f t="shared" si="12"/>
        <v>340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70</v>
      </c>
      <c r="B219" s="193">
        <f>'Données projet'!D202</f>
        <v>17</v>
      </c>
      <c r="C219" s="292">
        <v>17</v>
      </c>
      <c r="D219" s="191">
        <f t="shared" si="12"/>
        <v>289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75</v>
      </c>
      <c r="B220" s="193">
        <f>'Données projet'!D203</f>
        <v>15</v>
      </c>
      <c r="C220" s="292">
        <v>20</v>
      </c>
      <c r="D220" s="191">
        <f t="shared" si="12"/>
        <v>300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80</v>
      </c>
      <c r="B221" s="193">
        <f>'Données projet'!D204</f>
        <v>13</v>
      </c>
      <c r="C221" s="292">
        <v>25</v>
      </c>
      <c r="D221" s="191">
        <f t="shared" si="12"/>
        <v>325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85</v>
      </c>
      <c r="B222" s="193">
        <f>'Données projet'!D205</f>
        <v>12</v>
      </c>
      <c r="C222" s="292">
        <v>30</v>
      </c>
      <c r="D222" s="191">
        <f t="shared" si="12"/>
        <v>360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90</v>
      </c>
      <c r="B223" s="193">
        <f>'Données projet'!D206</f>
        <v>236</v>
      </c>
      <c r="C223" s="292">
        <v>80</v>
      </c>
      <c r="D223" s="191">
        <f t="shared" si="12"/>
        <v>18880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>Chêne pubescent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20</v>
      </c>
      <c r="B240" s="193">
        <f>'Données projet'!D218</f>
        <v>6</v>
      </c>
      <c r="C240" s="292">
        <v>4</v>
      </c>
      <c r="D240" s="191">
        <f>B240*C240</f>
        <v>24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25</v>
      </c>
      <c r="B241" s="193">
        <f>'Données projet'!D219</f>
        <v>28</v>
      </c>
      <c r="C241" s="292">
        <v>8</v>
      </c>
      <c r="D241" s="191">
        <f t="shared" ref="D241:D259" si="13">B241*C241</f>
        <v>224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30</v>
      </c>
      <c r="B242" s="193">
        <f>'Données projet'!D220</f>
        <v>28</v>
      </c>
      <c r="C242" s="292">
        <v>10</v>
      </c>
      <c r="D242" s="191">
        <f t="shared" si="13"/>
        <v>280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35</v>
      </c>
      <c r="B243" s="193">
        <f>'Données projet'!D221</f>
        <v>28</v>
      </c>
      <c r="C243" s="292">
        <v>10</v>
      </c>
      <c r="D243" s="191">
        <f t="shared" si="13"/>
        <v>280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40</v>
      </c>
      <c r="B244" s="193">
        <f>'Données projet'!D222</f>
        <v>28</v>
      </c>
      <c r="C244" s="292">
        <v>15</v>
      </c>
      <c r="D244" s="191">
        <f t="shared" si="13"/>
        <v>420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45</v>
      </c>
      <c r="B245" s="193">
        <f>'Données projet'!D223</f>
        <v>28</v>
      </c>
      <c r="C245" s="292">
        <v>15</v>
      </c>
      <c r="D245" s="191">
        <f t="shared" si="13"/>
        <v>420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50</v>
      </c>
      <c r="B246" s="193">
        <f>'Données projet'!D224</f>
        <v>28</v>
      </c>
      <c r="C246" s="292">
        <v>15</v>
      </c>
      <c r="D246" s="191">
        <f t="shared" si="13"/>
        <v>420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55</v>
      </c>
      <c r="B247" s="193">
        <f>'Données projet'!D225</f>
        <v>28</v>
      </c>
      <c r="C247" s="292">
        <v>15</v>
      </c>
      <c r="D247" s="191">
        <f t="shared" si="13"/>
        <v>420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60</v>
      </c>
      <c r="B248" s="193">
        <f>'Données projet'!D226</f>
        <v>28</v>
      </c>
      <c r="C248" s="292">
        <v>20</v>
      </c>
      <c r="D248" s="191">
        <f t="shared" si="13"/>
        <v>560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65</v>
      </c>
      <c r="B249" s="193">
        <f>'Données projet'!D227</f>
        <v>28</v>
      </c>
      <c r="C249" s="292">
        <v>20</v>
      </c>
      <c r="D249" s="191">
        <f t="shared" si="13"/>
        <v>560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70</v>
      </c>
      <c r="B250" s="193">
        <f>'Données projet'!D228</f>
        <v>28</v>
      </c>
      <c r="C250" s="292">
        <v>20</v>
      </c>
      <c r="D250" s="191">
        <f t="shared" si="13"/>
        <v>560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75</v>
      </c>
      <c r="B251" s="193">
        <f>'Données projet'!D229</f>
        <v>28</v>
      </c>
      <c r="C251" s="292">
        <v>20</v>
      </c>
      <c r="D251" s="191">
        <f t="shared" si="13"/>
        <v>560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80</v>
      </c>
      <c r="B252" s="193">
        <f>'Données projet'!D230</f>
        <v>28</v>
      </c>
      <c r="C252" s="292">
        <v>30</v>
      </c>
      <c r="D252" s="191">
        <f t="shared" si="13"/>
        <v>840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85</v>
      </c>
      <c r="B253" s="193">
        <f>'Données projet'!D231</f>
        <v>28</v>
      </c>
      <c r="C253" s="292">
        <v>30</v>
      </c>
      <c r="D253" s="191">
        <f t="shared" si="13"/>
        <v>840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90</v>
      </c>
      <c r="B254" s="193">
        <f>'Données projet'!D232</f>
        <v>28</v>
      </c>
      <c r="C254" s="292">
        <v>40</v>
      </c>
      <c r="D254" s="191">
        <f t="shared" si="13"/>
        <v>1120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95</v>
      </c>
      <c r="B255" s="193">
        <f>'Données projet'!D233</f>
        <v>28</v>
      </c>
      <c r="C255" s="292">
        <v>50</v>
      </c>
      <c r="D255" s="191">
        <f t="shared" si="13"/>
        <v>1400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100</v>
      </c>
      <c r="B256" s="193">
        <f>'Données projet'!D234</f>
        <v>27</v>
      </c>
      <c r="C256" s="292">
        <v>70</v>
      </c>
      <c r="D256" s="191">
        <f t="shared" si="13"/>
        <v>1890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105</v>
      </c>
      <c r="B257" s="193">
        <f>'Données projet'!D235</f>
        <v>26</v>
      </c>
      <c r="C257" s="292">
        <v>80</v>
      </c>
      <c r="D257" s="191">
        <f t="shared" si="13"/>
        <v>2080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110</v>
      </c>
      <c r="B258" s="193">
        <f>'Données projet'!D236</f>
        <v>25</v>
      </c>
      <c r="C258" s="293">
        <v>80</v>
      </c>
      <c r="D258" s="191">
        <f t="shared" si="13"/>
        <v>2000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115</v>
      </c>
      <c r="B259" s="193">
        <f>'Données projet'!D237</f>
        <v>330</v>
      </c>
      <c r="C259" s="206">
        <v>150</v>
      </c>
      <c r="D259" s="191">
        <f t="shared" si="13"/>
        <v>49500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>Pin laricio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22</v>
      </c>
      <c r="B271" s="193">
        <f>'Données projet'!D244</f>
        <v>16</v>
      </c>
      <c r="C271" s="292">
        <v>12</v>
      </c>
      <c r="D271" s="191">
        <f>B271*C271</f>
        <v>192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25</v>
      </c>
      <c r="B272" s="193">
        <f>'Données projet'!D245</f>
        <v>17</v>
      </c>
      <c r="C272" s="292">
        <v>12</v>
      </c>
      <c r="D272" s="191">
        <f t="shared" ref="D272:D290" si="14">B272*C272</f>
        <v>204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30</v>
      </c>
      <c r="B273" s="193">
        <f>'Données projet'!D246</f>
        <v>34</v>
      </c>
      <c r="C273" s="292">
        <v>15</v>
      </c>
      <c r="D273" s="191">
        <f t="shared" si="14"/>
        <v>510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35</v>
      </c>
      <c r="B274" s="193">
        <f>'Données projet'!D247</f>
        <v>41</v>
      </c>
      <c r="C274" s="292">
        <v>17</v>
      </c>
      <c r="D274" s="191">
        <f t="shared" si="14"/>
        <v>697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40</v>
      </c>
      <c r="B275" s="193">
        <f>'Données projet'!D248</f>
        <v>41</v>
      </c>
      <c r="C275" s="292">
        <v>17</v>
      </c>
      <c r="D275" s="191">
        <f t="shared" si="14"/>
        <v>697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45</v>
      </c>
      <c r="B276" s="193">
        <f>'Données projet'!D249</f>
        <v>53</v>
      </c>
      <c r="C276" s="292">
        <v>17</v>
      </c>
      <c r="D276" s="191">
        <f t="shared" si="14"/>
        <v>901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50</v>
      </c>
      <c r="B277" s="193">
        <f>'Données projet'!D250</f>
        <v>53</v>
      </c>
      <c r="C277" s="292">
        <v>20</v>
      </c>
      <c r="D277" s="191">
        <f t="shared" si="14"/>
        <v>1060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58</v>
      </c>
      <c r="B278" s="193">
        <f>'Données projet'!D251</f>
        <v>78</v>
      </c>
      <c r="C278" s="292">
        <v>25</v>
      </c>
      <c r="D278" s="191">
        <f t="shared" si="14"/>
        <v>1950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66</v>
      </c>
      <c r="B279" s="193">
        <f>'Données projet'!D252</f>
        <v>65</v>
      </c>
      <c r="C279" s="292">
        <v>30</v>
      </c>
      <c r="D279" s="191">
        <f t="shared" si="14"/>
        <v>1950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74</v>
      </c>
      <c r="B280" s="193">
        <f>'Données projet'!D253</f>
        <v>37</v>
      </c>
      <c r="C280" s="292">
        <v>35</v>
      </c>
      <c r="D280" s="191">
        <f t="shared" si="14"/>
        <v>1295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82</v>
      </c>
      <c r="B281" s="193">
        <f>'Données projet'!D254</f>
        <v>555</v>
      </c>
      <c r="C281" s="292">
        <v>60</v>
      </c>
      <c r="D281" s="191">
        <f t="shared" si="14"/>
        <v>33300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2025-09-18T11:23:02Z</dcterms:modified>
</cp:coreProperties>
</file>