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70 - SAINT-MAIXANT et VERDELAIS (33) - SCI GRANGENEUVE ARROUCATS\Dossier déposé le 7-07-25\"/>
    </mc:Choice>
  </mc:AlternateContent>
  <xr:revisionPtr revIDLastSave="0" documentId="13_ncr:1_{F3B22D68-1E47-492F-B972-FBB719E205D8}" xr6:coauthVersionLast="36" xr6:coauthVersionMax="36" xr10:uidLastSave="{00000000-0000-0000-0000-000000000000}"/>
  <bookViews>
    <workbookView xWindow="0" yWindow="0" windowWidth="28800" windowHeight="1240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92" i="2" a="1"/>
  <c r="AH92" i="2" s="1"/>
  <c r="AH19" i="2" a="1"/>
  <c r="AH19" i="2" s="1"/>
  <c r="AH90" i="2" a="1"/>
  <c r="AH90" i="2" s="1"/>
  <c r="AH151" i="2" a="1"/>
  <c r="AH151" i="2" s="1"/>
  <c r="AH166" i="2" a="1"/>
  <c r="AH166" i="2" s="1"/>
  <c r="AH163" i="2" a="1"/>
  <c r="AH163" i="2" s="1"/>
  <c r="AH62" i="2" a="1"/>
  <c r="AH6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<sst xmlns="http://schemas.openxmlformats.org/spreadsheetml/2006/main" count="1172" uniqueCount="326">
  <si>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</si>
  <si>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</si>
  <si>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</si>
  <si>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</si>
  <si>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</si>
  <si>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</si>
  <si>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</si>
  <si>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</si>
  <si>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</si>
  <si>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</si>
  <si>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</si>
  <si>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</si>
  <si>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</si>
  <si>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</si>
  <si>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</si>
  <si>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</si>
  <si>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</si>
  <si>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</si>
  <si>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</si>
  <si>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</si>
  <si>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</si>
  <si>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</si>
  <si>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</si>
  <si>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</si>
  <si>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</si>
  <si>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</si>
  <si>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</si>
  <si>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</si>
  <si>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</si>
  <si>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</si>
  <si>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</si>
  <si>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</si>
  <si>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</si>
  <si>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</si>
  <si>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</si>
  <si>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</si>
  <si>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</si>
  <si>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</si>
  <si>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</si>
  <si>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</si>
  <si>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</si>
  <si>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</si>
  <si>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</si>
  <si>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</si>
  <si>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</si>
  <si>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</si>
  <si>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</si>
  <si>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</si>
  <si>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</si>
  <si>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</si>
  <si>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</si>
  <si>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</si>
  <si>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</si>
  <si>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</si>
  <si>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</si>
  <si>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</si>
  <si>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</si>
  <si>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</si>
  <si>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</si>
  <si>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</si>
  <si>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</si>
  <si>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</si>
  <si>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</si>
  <si>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</si>
  <si>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</si>
  <si>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</si>
  <si>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</si>
  <si>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</si>
  <si>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</si>
  <si>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</si>
  <si>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</si>
  <si>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</si>
  <si>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</si>
  <si>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</si>
  <si>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</si>
  <si>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</si>
  <si>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</si>
  <si>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</si>
  <si>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</si>
  <si>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</si>
  <si>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</si>
  <si>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</si>
  <si>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</si>
  <si>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</si>
  <si>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</si>
  <si>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</si>
  <si>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</si>
  <si>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</si>
  <si>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</si>
  <si>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</si>
  <si>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</si>
  <si>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</si>
  <si>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</si>
  <si>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</si>
  <si>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</si>
  <si>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</si>
  <si>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</si>
  <si>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</si>
  <si>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</si>
  <si>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</si>
  <si>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</si>
  <si>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</si>
  <si>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</si>
  <si>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</si>
  <si>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</si>
  <si>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</si>
  <si>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</si>
  <si>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</si>
  <si>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</si>
  <si>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</si>
  <si>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</si>
  <si>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</si>
  <si>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</si>
  <si>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</si>
  <si>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</si>
  <si>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</si>
  <si>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</si>
  <si>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</si>
  <si>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</si>
  <si>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</si>
  <si>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</si>
  <si>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</si>
  <si>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</si>
  <si>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</si>
  <si>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</si>
  <si>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</si>
  <si>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</si>
  <si>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</si>
  <si>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</si>
  <si>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</si>
  <si>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</si>
  <si>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</si>
  <si>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</si>
  <si>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</si>
  <si>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</si>
  <si>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</si>
  <si>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</si>
  <si>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</si>
  <si>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</si>
  <si>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</si>
  <si>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</si>
  <si>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</si>
  <si>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</si>
  <si>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</si>
  <si>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</si>
  <si>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</si>
  <si>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</si>
  <si>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</si>
  <si>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</si>
  <si>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</si>
  <si>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</si>
  <si>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</si>
  <si>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</si>
  <si>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</si>
  <si>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</si>
  <si>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</si>
  <si>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</si>
  <si>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</si>
  <si>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</si>
  <si>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</si>
  <si>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</si>
  <si>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</si>
  <si>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</si>
  <si>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</si>
  <si>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</si>
  <si>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</si>
  <si>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</si>
  <si>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</si>
  <si>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</si>
  <si>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</si>
  <si>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</si>
  <si>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</si>
  <si>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</si>
  <si>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</si>
  <si>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</si>
  <si>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</si>
  <si>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</si>
  <si>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</si>
  <si>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</si>
  <si>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</si>
  <si>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</si>
  <si>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</si>
  <si>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</si>
  <si>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</si>
  <si>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</si>
  <si>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</si>
  <si>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</si>
  <si>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</si>
  <si>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</si>
  <si>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</si>
  <si>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</si>
  <si>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</si>
  <si>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</si>
  <si>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</si>
  <si>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</si>
  <si>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</si>
  <si>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</si>
  <si>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</si>
  <si>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</si>
  <si>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</si>
  <si>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</si>
  <si>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</si>
  <si>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</si>
  <si>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</si>
  <si>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</si>
  <si>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</si>
  <si>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</si>
  <si>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</si>
  <si>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</si>
  <si>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</si>
  <si>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</si>
  <si>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</si>
  <si>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</si>
  <si>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</si>
  <si>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</si>
  <si>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</si>
  <si>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</si>
  <si>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</si>
  <si>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</si>
  <si>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</si>
  <si>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</si>
  <si>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</si>
  <si>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</si>
  <si>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</si>
  <si>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</si>
  <si>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</si>
  <si>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</si>
  <si>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</si>
  <si>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</si>
  <si>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</si>
  <si>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</si>
  <si>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</si>
  <si>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</si>
  <si>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</si>
  <si>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</si>
  <si>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</si>
  <si>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</si>
  <si>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</si>
  <si>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</si>
  <si>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</si>
  <si>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</si>
  <si>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</si>
  <si>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</si>
  <si>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</si>
  <si>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</si>
  <si>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</si>
  <si>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</si>
  <si>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</si>
  <si>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</si>
  <si>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</si>
  <si>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</si>
  <si>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</si>
  <si>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</si>
  <si>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</si>
  <si>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</si>
  <si>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</si>
  <si>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</si>
  <si>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</si>
  <si>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</si>
  <si>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</si>
  <si>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</si>
  <si>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</si>
  <si>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</si>
  <si>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</si>
  <si>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</si>
  <si>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</si>
  <si>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</si>
  <si>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</si>
  <si>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</si>
  <si>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</si>
  <si>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</si>
  <si>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</si>
  <si>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</si>
  <si>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</si>
  <si>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</si>
  <si>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</si>
  <si>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</si>
  <si>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</si>
  <si>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</si>
  <si>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</si>
  <si>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</si>
  <si>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</si>
  <si>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</si>
  <si>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</si>
  <si>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</si>
  <si>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</si>
  <si>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</si>
  <si>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</si>
  <si>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</si>
  <si>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</si>
  <si>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</si>
  <si>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</si>
  <si>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</si>
  <si>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</si>
  <si>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</si>
  <si>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</si>
  <si>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</si>
  <si>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</si>
  <si>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</si>
  <si>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</si>
  <si>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</si>
  <si>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</si>
  <si>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</si>
  <si>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</si>
  <si>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</si>
  <si>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</si>
  <si>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</si>
  <si>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</si>
  <si>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</si>
  <si>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</si>
  <si>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</si>
  <si>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</si>
  <si>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</si>
  <si>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</si>
  <si>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</si>
  <si>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</si>
  <si>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</si>
  <si>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</si>
  <si>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</si>
  <si>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</si>
  <si>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</si>
  <si>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</si>
  <si>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</si>
  <si>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</si>
  <si>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Peuplier Diva</t>
  </si>
  <si>
    <t>Peuplier tucano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</si>
</sst>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1.810631119674053</c:v>
                </c:pt>
                <c:pt idx="2">
                  <c:v>2.5853130628054681</c:v>
                </c:pt>
                <c:pt idx="3">
                  <c:v>3.692921420968537</c:v>
                </c:pt>
                <c:pt idx="4">
                  <c:v>5.2771318528906486</c:v>
                </c:pt>
                <c:pt idx="5">
                  <c:v>7.5438644561032007</c:v>
                </c:pt>
                <c:pt idx="6">
                  <c:v>10.788346370244078</c:v>
                </c:pt>
                <c:pt idx="7">
                  <c:v>15.433979202788521</c:v>
                </c:pt>
                <c:pt idx="8">
                  <c:v>22.088175939936033</c:v>
                </c:pt>
                <c:pt idx="9">
                  <c:v>31.622597658569799</c:v>
                </c:pt>
                <c:pt idx="10">
                  <c:v>45.288482322646956</c:v>
                </c:pt>
                <c:pt idx="11">
                  <c:v>64.882455305805806</c:v>
                </c:pt>
                <c:pt idx="12">
                  <c:v>92.984976983793103</c:v>
                </c:pt>
                <c:pt idx="13">
                  <c:v>133.30332936690451</c:v>
                </c:pt>
                <c:pt idx="14">
                  <c:v>191.16508724487178</c:v>
                </c:pt>
                <c:pt idx="15">
                  <c:v>274.22825759280607</c:v>
                </c:pt>
                <c:pt idx="16">
                  <c:v>33.903219520303679</c:v>
                </c:pt>
                <c:pt idx="17">
                  <c:v>33.903219520303679</c:v>
                </c:pt>
                <c:pt idx="18">
                  <c:v>33.903219520303679</c:v>
                </c:pt>
                <c:pt idx="19">
                  <c:v>33.903219520303679</c:v>
                </c:pt>
                <c:pt idx="20">
                  <c:v>33.903219520303679</c:v>
                </c:pt>
                <c:pt idx="21">
                  <c:v>33.903219520303679</c:v>
                </c:pt>
                <c:pt idx="22">
                  <c:v>33.903219520303679</c:v>
                </c:pt>
                <c:pt idx="23">
                  <c:v>33.903219520303679</c:v>
                </c:pt>
                <c:pt idx="24">
                  <c:v>33.903219520303679</c:v>
                </c:pt>
                <c:pt idx="25">
                  <c:v>33.903219520303679</c:v>
                </c:pt>
                <c:pt idx="26">
                  <c:v>33.903219520303679</c:v>
                </c:pt>
                <c:pt idx="27">
                  <c:v>33.903219520303679</c:v>
                </c:pt>
                <c:pt idx="28">
                  <c:v>33.903219520303679</c:v>
                </c:pt>
                <c:pt idx="29">
                  <c:v>33.903219520303679</c:v>
                </c:pt>
                <c:pt idx="30">
                  <c:v>33.903219520303679</c:v>
                </c:pt>
                <c:pt idx="31">
                  <c:v>33.903219520303679</c:v>
                </c:pt>
                <c:pt idx="32">
                  <c:v>33.903219520303679</c:v>
                </c:pt>
                <c:pt idx="33">
                  <c:v>33.903219520303679</c:v>
                </c:pt>
                <c:pt idx="34">
                  <c:v>33.903219520303679</c:v>
                </c:pt>
                <c:pt idx="35">
                  <c:v>33.903219520303679</c:v>
                </c:pt>
                <c:pt idx="36">
                  <c:v>33.903219520303679</c:v>
                </c:pt>
                <c:pt idx="37">
                  <c:v>33.903219520303679</c:v>
                </c:pt>
                <c:pt idx="38">
                  <c:v>33.903219520303679</c:v>
                </c:pt>
                <c:pt idx="39">
                  <c:v>33.903219520303679</c:v>
                </c:pt>
                <c:pt idx="40">
                  <c:v>33.903219520303679</c:v>
                </c:pt>
                <c:pt idx="41">
                  <c:v>33.903219520303679</c:v>
                </c:pt>
                <c:pt idx="42">
                  <c:v>33.903219520303679</c:v>
                </c:pt>
                <c:pt idx="43">
                  <c:v>33.903219520303679</c:v>
                </c:pt>
                <c:pt idx="44">
                  <c:v>33.903219520303679</c:v>
                </c:pt>
                <c:pt idx="45">
                  <c:v>33.903219520303679</c:v>
                </c:pt>
                <c:pt idx="46">
                  <c:v>33.903219520303679</c:v>
                </c:pt>
                <c:pt idx="47">
                  <c:v>33.903219520303679</c:v>
                </c:pt>
                <c:pt idx="48">
                  <c:v>33.903219520303679</c:v>
                </c:pt>
                <c:pt idx="49">
                  <c:v>33.903219520303679</c:v>
                </c:pt>
                <c:pt idx="50">
                  <c:v>33.903219520303679</c:v>
                </c:pt>
                <c:pt idx="51">
                  <c:v>33.903219520303679</c:v>
                </c:pt>
                <c:pt idx="52">
                  <c:v>33.903219520303679</c:v>
                </c:pt>
                <c:pt idx="53">
                  <c:v>33.903219520303679</c:v>
                </c:pt>
                <c:pt idx="54">
                  <c:v>33.903219520303679</c:v>
                </c:pt>
                <c:pt idx="55">
                  <c:v>33.903219520303679</c:v>
                </c:pt>
                <c:pt idx="56">
                  <c:v>33.903219520303679</c:v>
                </c:pt>
                <c:pt idx="57">
                  <c:v>33.903219520303679</c:v>
                </c:pt>
                <c:pt idx="58">
                  <c:v>33.903219520303679</c:v>
                </c:pt>
                <c:pt idx="59">
                  <c:v>33.903219520303679</c:v>
                </c:pt>
                <c:pt idx="60">
                  <c:v>33.903219520303679</c:v>
                </c:pt>
                <c:pt idx="61">
                  <c:v>33.903219520303679</c:v>
                </c:pt>
                <c:pt idx="62">
                  <c:v>33.903219520303679</c:v>
                </c:pt>
                <c:pt idx="63">
                  <c:v>33.903219520303679</c:v>
                </c:pt>
                <c:pt idx="64">
                  <c:v>33.903219520303679</c:v>
                </c:pt>
                <c:pt idx="65">
                  <c:v>33.903219520303679</c:v>
                </c:pt>
                <c:pt idx="66">
                  <c:v>33.903219520303679</c:v>
                </c:pt>
                <c:pt idx="67">
                  <c:v>33.903219520303679</c:v>
                </c:pt>
                <c:pt idx="68">
                  <c:v>33.903219520303679</c:v>
                </c:pt>
                <c:pt idx="69">
                  <c:v>33.903219520303679</c:v>
                </c:pt>
                <c:pt idx="70">
                  <c:v>33.903219520303679</c:v>
                </c:pt>
                <c:pt idx="71">
                  <c:v>33.903219520303679</c:v>
                </c:pt>
                <c:pt idx="72">
                  <c:v>33.903219520303679</c:v>
                </c:pt>
                <c:pt idx="73">
                  <c:v>33.903219520303679</c:v>
                </c:pt>
                <c:pt idx="74">
                  <c:v>33.903219520303679</c:v>
                </c:pt>
                <c:pt idx="75">
                  <c:v>33.903219520303679</c:v>
                </c:pt>
                <c:pt idx="76">
                  <c:v>33.903219520303679</c:v>
                </c:pt>
                <c:pt idx="77">
                  <c:v>33.903219520303679</c:v>
                </c:pt>
                <c:pt idx="78">
                  <c:v>33.903219520303679</c:v>
                </c:pt>
                <c:pt idx="79">
                  <c:v>33.903219520303679</c:v>
                </c:pt>
                <c:pt idx="80">
                  <c:v>33.903219520303679</c:v>
                </c:pt>
                <c:pt idx="81">
                  <c:v>33.903219520303679</c:v>
                </c:pt>
                <c:pt idx="82">
                  <c:v>33.903219520303679</c:v>
                </c:pt>
                <c:pt idx="83">
                  <c:v>33.903219520303679</c:v>
                </c:pt>
                <c:pt idx="84">
                  <c:v>33.903219520303679</c:v>
                </c:pt>
                <c:pt idx="85">
                  <c:v>33.903219520303679</c:v>
                </c:pt>
                <c:pt idx="86">
                  <c:v>33.903219520303679</c:v>
                </c:pt>
                <c:pt idx="87">
                  <c:v>33.903219520303679</c:v>
                </c:pt>
                <c:pt idx="88">
                  <c:v>33.903219520303679</c:v>
                </c:pt>
                <c:pt idx="89">
                  <c:v>33.903219520303679</c:v>
                </c:pt>
                <c:pt idx="90">
                  <c:v>33.903219520303679</c:v>
                </c:pt>
                <c:pt idx="91">
                  <c:v>33.903219520303679</c:v>
                </c:pt>
                <c:pt idx="92">
                  <c:v>33.903219520303679</c:v>
                </c:pt>
                <c:pt idx="93">
                  <c:v>33.903219520303679</c:v>
                </c:pt>
                <c:pt idx="94">
                  <c:v>33.903219520303679</c:v>
                </c:pt>
                <c:pt idx="95">
                  <c:v>33.903219520303679</c:v>
                </c:pt>
                <c:pt idx="96">
                  <c:v>33.903219520303679</c:v>
                </c:pt>
                <c:pt idx="97">
                  <c:v>33.903219520303679</c:v>
                </c:pt>
                <c:pt idx="98">
                  <c:v>33.903219520303679</c:v>
                </c:pt>
                <c:pt idx="99">
                  <c:v>33.903219520303679</c:v>
                </c:pt>
                <c:pt idx="100">
                  <c:v>33.903219520303679</c:v>
                </c:pt>
                <c:pt idx="101">
                  <c:v>33.903219520303679</c:v>
                </c:pt>
                <c:pt idx="102">
                  <c:v>33.903219520303679</c:v>
                </c:pt>
                <c:pt idx="103">
                  <c:v>33.903219520303679</c:v>
                </c:pt>
                <c:pt idx="104">
                  <c:v>33.903219520303679</c:v>
                </c:pt>
                <c:pt idx="105">
                  <c:v>33.903219520303679</c:v>
                </c:pt>
                <c:pt idx="106">
                  <c:v>33.903219520303679</c:v>
                </c:pt>
                <c:pt idx="107">
                  <c:v>33.903219520303679</c:v>
                </c:pt>
                <c:pt idx="108">
                  <c:v>33.903219520303679</c:v>
                </c:pt>
                <c:pt idx="109">
                  <c:v>33.903219520303679</c:v>
                </c:pt>
                <c:pt idx="110">
                  <c:v>33.903219520303679</c:v>
                </c:pt>
                <c:pt idx="111">
                  <c:v>33.903219520303679</c:v>
                </c:pt>
                <c:pt idx="112">
                  <c:v>33.903219520303679</c:v>
                </c:pt>
                <c:pt idx="113">
                  <c:v>33.903219520303679</c:v>
                </c:pt>
                <c:pt idx="114">
                  <c:v>33.903219520303679</c:v>
                </c:pt>
                <c:pt idx="115">
                  <c:v>33.903219520303679</c:v>
                </c:pt>
                <c:pt idx="116">
                  <c:v>33.903219520303679</c:v>
                </c:pt>
                <c:pt idx="117">
                  <c:v>33.903219520303679</c:v>
                </c:pt>
                <c:pt idx="118">
                  <c:v>33.903219520303679</c:v>
                </c:pt>
                <c:pt idx="119">
                  <c:v>33.903219520303679</c:v>
                </c:pt>
                <c:pt idx="120">
                  <c:v>33.903219520303679</c:v>
                </c:pt>
                <c:pt idx="121">
                  <c:v>33.903219520303679</c:v>
                </c:pt>
                <c:pt idx="122">
                  <c:v>33.903219520303679</c:v>
                </c:pt>
                <c:pt idx="123">
                  <c:v>33.903219520303679</c:v>
                </c:pt>
                <c:pt idx="124">
                  <c:v>33.903219520303679</c:v>
                </c:pt>
                <c:pt idx="125">
                  <c:v>33.903219520303679</c:v>
                </c:pt>
                <c:pt idx="126">
                  <c:v>33.903219520303679</c:v>
                </c:pt>
                <c:pt idx="127">
                  <c:v>33.903219520303679</c:v>
                </c:pt>
                <c:pt idx="128">
                  <c:v>33.903219520303679</c:v>
                </c:pt>
                <c:pt idx="129">
                  <c:v>33.903219520303679</c:v>
                </c:pt>
                <c:pt idx="130">
                  <c:v>33.903219520303679</c:v>
                </c:pt>
                <c:pt idx="131">
                  <c:v>33.903219520303679</c:v>
                </c:pt>
                <c:pt idx="132">
                  <c:v>33.903219520303679</c:v>
                </c:pt>
                <c:pt idx="133">
                  <c:v>33.903219520303679</c:v>
                </c:pt>
                <c:pt idx="134">
                  <c:v>33.903219520303679</c:v>
                </c:pt>
                <c:pt idx="135">
                  <c:v>33.903219520303679</c:v>
                </c:pt>
                <c:pt idx="136">
                  <c:v>33.903219520303679</c:v>
                </c:pt>
                <c:pt idx="137">
                  <c:v>33.903219520303679</c:v>
                </c:pt>
                <c:pt idx="138">
                  <c:v>33.903219520303679</c:v>
                </c:pt>
                <c:pt idx="139">
                  <c:v>33.903219520303679</c:v>
                </c:pt>
                <c:pt idx="140">
                  <c:v>33.903219520303679</c:v>
                </c:pt>
                <c:pt idx="141">
                  <c:v>33.903219520303679</c:v>
                </c:pt>
                <c:pt idx="142">
                  <c:v>33.903219520303679</c:v>
                </c:pt>
                <c:pt idx="143">
                  <c:v>33.903219520303679</c:v>
                </c:pt>
                <c:pt idx="144">
                  <c:v>33.903219520303679</c:v>
                </c:pt>
                <c:pt idx="145">
                  <c:v>33.903219520303679</c:v>
                </c:pt>
                <c:pt idx="146">
                  <c:v>33.903219520303679</c:v>
                </c:pt>
                <c:pt idx="147">
                  <c:v>33.903219520303679</c:v>
                </c:pt>
                <c:pt idx="148">
                  <c:v>33.903219520303679</c:v>
                </c:pt>
                <c:pt idx="149">
                  <c:v>33.903219520303679</c:v>
                </c:pt>
                <c:pt idx="150">
                  <c:v>33.903219520303679</c:v>
                </c:pt>
                <c:pt idx="151">
                  <c:v>33.903219520303679</c:v>
                </c:pt>
                <c:pt idx="152">
                  <c:v>33.903219520303679</c:v>
                </c:pt>
                <c:pt idx="153">
                  <c:v>33.903219520303679</c:v>
                </c:pt>
                <c:pt idx="154">
                  <c:v>33.903219520303679</c:v>
                </c:pt>
                <c:pt idx="155">
                  <c:v>33.903219520303679</c:v>
                </c:pt>
                <c:pt idx="156">
                  <c:v>33.903219520303679</c:v>
                </c:pt>
                <c:pt idx="157">
                  <c:v>33.903219520303679</c:v>
                </c:pt>
                <c:pt idx="158">
                  <c:v>33.903219520303679</c:v>
                </c:pt>
                <c:pt idx="159">
                  <c:v>33.903219520303679</c:v>
                </c:pt>
                <c:pt idx="160">
                  <c:v>33.903219520303679</c:v>
                </c:pt>
                <c:pt idx="161">
                  <c:v>33.903219520303679</c:v>
                </c:pt>
                <c:pt idx="162">
                  <c:v>33.903219520303679</c:v>
                </c:pt>
                <c:pt idx="163">
                  <c:v>33.903219520303679</c:v>
                </c:pt>
                <c:pt idx="164">
                  <c:v>33.903219520303679</c:v>
                </c:pt>
                <c:pt idx="165">
                  <c:v>33.903219520303679</c:v>
                </c:pt>
                <c:pt idx="166">
                  <c:v>33.903219520303679</c:v>
                </c:pt>
                <c:pt idx="167">
                  <c:v>33.903219520303679</c:v>
                </c:pt>
                <c:pt idx="168">
                  <c:v>33.903219520303679</c:v>
                </c:pt>
                <c:pt idx="169">
                  <c:v>33.903219520303679</c:v>
                </c:pt>
                <c:pt idx="170">
                  <c:v>33.903219520303679</c:v>
                </c:pt>
                <c:pt idx="171">
                  <c:v>33.903219520303679</c:v>
                </c:pt>
                <c:pt idx="172">
                  <c:v>33.903219520303679</c:v>
                </c:pt>
                <c:pt idx="173">
                  <c:v>33.903219520303679</c:v>
                </c:pt>
                <c:pt idx="174">
                  <c:v>33.903219520303679</c:v>
                </c:pt>
                <c:pt idx="175">
                  <c:v>33.903219520303679</c:v>
                </c:pt>
                <c:pt idx="176">
                  <c:v>33.903219520303679</c:v>
                </c:pt>
                <c:pt idx="177">
                  <c:v>33.903219520303679</c:v>
                </c:pt>
                <c:pt idx="178">
                  <c:v>33.903219520303679</c:v>
                </c:pt>
                <c:pt idx="179">
                  <c:v>33.903219520303679</c:v>
                </c:pt>
                <c:pt idx="180">
                  <c:v>33.903219520303679</c:v>
                </c:pt>
                <c:pt idx="181">
                  <c:v>33.903219520303679</c:v>
                </c:pt>
                <c:pt idx="182">
                  <c:v>33.903219520303679</c:v>
                </c:pt>
                <c:pt idx="183">
                  <c:v>33.903219520303679</c:v>
                </c:pt>
                <c:pt idx="184">
                  <c:v>33.903219520303679</c:v>
                </c:pt>
                <c:pt idx="185">
                  <c:v>33.903219520303679</c:v>
                </c:pt>
                <c:pt idx="186">
                  <c:v>33.903219520303679</c:v>
                </c:pt>
                <c:pt idx="187">
                  <c:v>33.903219520303679</c:v>
                </c:pt>
                <c:pt idx="188">
                  <c:v>33.903219520303679</c:v>
                </c:pt>
                <c:pt idx="189">
                  <c:v>33.903219520303679</c:v>
                </c:pt>
                <c:pt idx="190">
                  <c:v>33.903219520303679</c:v>
                </c:pt>
                <c:pt idx="191">
                  <c:v>33.903219520303679</c:v>
                </c:pt>
                <c:pt idx="192">
                  <c:v>33.903219520303679</c:v>
                </c:pt>
                <c:pt idx="193">
                  <c:v>33.903219520303679</c:v>
                </c:pt>
                <c:pt idx="194">
                  <c:v>33.903219520303679</c:v>
                </c:pt>
                <c:pt idx="195">
                  <c:v>33.903219520303679</c:v>
                </c:pt>
                <c:pt idx="196">
                  <c:v>33.903219520303679</c:v>
                </c:pt>
                <c:pt idx="197">
                  <c:v>33.903219520303679</c:v>
                </c:pt>
                <c:pt idx="198">
                  <c:v>33.903219520303679</c:v>
                </c:pt>
                <c:pt idx="199">
                  <c:v>33.903219520303679</c:v>
                </c:pt>
                <c:pt idx="200">
                  <c:v>33.903219520303679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2.0398170981797317</c:v>
                </c:pt>
                <c:pt idx="2">
                  <c:v>2.9129488879183971</c:v>
                </c:pt>
                <c:pt idx="3">
                  <c:v>4.1614754340362339</c:v>
                </c:pt>
                <c:pt idx="4">
                  <c:v>5.9474636610031757</c:v>
                </c:pt>
                <c:pt idx="5">
                  <c:v>8.5032181824773545</c:v>
                </c:pt>
                <c:pt idx="6">
                  <c:v>12.161829442270658</c:v>
                </c:pt>
                <c:pt idx="7">
                  <c:v>17.401051158979566</c:v>
                </c:pt>
                <c:pt idx="8">
                  <c:v>24.906340321197959</c:v>
                </c:pt>
                <c:pt idx="9">
                  <c:v>35.661452569983091</c:v>
                </c:pt>
                <c:pt idx="10">
                  <c:v>51.07867121932609</c:v>
                </c:pt>
                <c:pt idx="11">
                  <c:v>73.186055655057103</c:v>
                </c:pt>
                <c:pt idx="12">
                  <c:v>104.89673982943337</c:v>
                </c:pt>
                <c:pt idx="13">
                  <c:v>150.39632555666967</c:v>
                </c:pt>
                <c:pt idx="14">
                  <c:v>215.70028585681507</c:v>
                </c:pt>
                <c:pt idx="15">
                  <c:v>309.45616616969994</c:v>
                </c:pt>
                <c:pt idx="16">
                  <c:v>38.2342236763267</c:v>
                </c:pt>
                <c:pt idx="17">
                  <c:v>38.2342236763267</c:v>
                </c:pt>
                <c:pt idx="18">
                  <c:v>38.2342236763267</c:v>
                </c:pt>
                <c:pt idx="19">
                  <c:v>38.2342236763267</c:v>
                </c:pt>
                <c:pt idx="20">
                  <c:v>38.2342236763267</c:v>
                </c:pt>
                <c:pt idx="21">
                  <c:v>38.2342236763267</c:v>
                </c:pt>
                <c:pt idx="22">
                  <c:v>38.2342236763267</c:v>
                </c:pt>
                <c:pt idx="23">
                  <c:v>38.2342236763267</c:v>
                </c:pt>
                <c:pt idx="24">
                  <c:v>38.2342236763267</c:v>
                </c:pt>
                <c:pt idx="25">
                  <c:v>38.2342236763267</c:v>
                </c:pt>
                <c:pt idx="26">
                  <c:v>38.2342236763267</c:v>
                </c:pt>
                <c:pt idx="27">
                  <c:v>38.2342236763267</c:v>
                </c:pt>
                <c:pt idx="28">
                  <c:v>38.2342236763267</c:v>
                </c:pt>
                <c:pt idx="29">
                  <c:v>38.2342236763267</c:v>
                </c:pt>
                <c:pt idx="30">
                  <c:v>38.2342236763267</c:v>
                </c:pt>
                <c:pt idx="31">
                  <c:v>38.2342236763267</c:v>
                </c:pt>
                <c:pt idx="32">
                  <c:v>38.2342236763267</c:v>
                </c:pt>
                <c:pt idx="33">
                  <c:v>38.2342236763267</c:v>
                </c:pt>
                <c:pt idx="34">
                  <c:v>38.2342236763267</c:v>
                </c:pt>
                <c:pt idx="35">
                  <c:v>38.2342236763267</c:v>
                </c:pt>
                <c:pt idx="36">
                  <c:v>38.2342236763267</c:v>
                </c:pt>
                <c:pt idx="37">
                  <c:v>38.2342236763267</c:v>
                </c:pt>
                <c:pt idx="38">
                  <c:v>38.2342236763267</c:v>
                </c:pt>
                <c:pt idx="39">
                  <c:v>38.2342236763267</c:v>
                </c:pt>
                <c:pt idx="40">
                  <c:v>38.2342236763267</c:v>
                </c:pt>
                <c:pt idx="41">
                  <c:v>38.2342236763267</c:v>
                </c:pt>
                <c:pt idx="42">
                  <c:v>38.2342236763267</c:v>
                </c:pt>
                <c:pt idx="43">
                  <c:v>38.2342236763267</c:v>
                </c:pt>
                <c:pt idx="44">
                  <c:v>38.2342236763267</c:v>
                </c:pt>
                <c:pt idx="45">
                  <c:v>38.2342236763267</c:v>
                </c:pt>
                <c:pt idx="46">
                  <c:v>38.2342236763267</c:v>
                </c:pt>
                <c:pt idx="47">
                  <c:v>38.2342236763267</c:v>
                </c:pt>
                <c:pt idx="48">
                  <c:v>38.2342236763267</c:v>
                </c:pt>
                <c:pt idx="49">
                  <c:v>38.2342236763267</c:v>
                </c:pt>
                <c:pt idx="50">
                  <c:v>38.2342236763267</c:v>
                </c:pt>
                <c:pt idx="51">
                  <c:v>38.2342236763267</c:v>
                </c:pt>
                <c:pt idx="52">
                  <c:v>38.2342236763267</c:v>
                </c:pt>
                <c:pt idx="53">
                  <c:v>38.2342236763267</c:v>
                </c:pt>
                <c:pt idx="54">
                  <c:v>38.2342236763267</c:v>
                </c:pt>
                <c:pt idx="55">
                  <c:v>38.2342236763267</c:v>
                </c:pt>
                <c:pt idx="56">
                  <c:v>38.2342236763267</c:v>
                </c:pt>
                <c:pt idx="57">
                  <c:v>38.2342236763267</c:v>
                </c:pt>
                <c:pt idx="58">
                  <c:v>38.2342236763267</c:v>
                </c:pt>
                <c:pt idx="59">
                  <c:v>38.2342236763267</c:v>
                </c:pt>
                <c:pt idx="60">
                  <c:v>38.2342236763267</c:v>
                </c:pt>
                <c:pt idx="61">
                  <c:v>38.2342236763267</c:v>
                </c:pt>
                <c:pt idx="62">
                  <c:v>38.2342236763267</c:v>
                </c:pt>
                <c:pt idx="63">
                  <c:v>38.2342236763267</c:v>
                </c:pt>
                <c:pt idx="64">
                  <c:v>38.2342236763267</c:v>
                </c:pt>
                <c:pt idx="65">
                  <c:v>38.2342236763267</c:v>
                </c:pt>
                <c:pt idx="66">
                  <c:v>38.2342236763267</c:v>
                </c:pt>
                <c:pt idx="67">
                  <c:v>38.2342236763267</c:v>
                </c:pt>
                <c:pt idx="68">
                  <c:v>38.2342236763267</c:v>
                </c:pt>
                <c:pt idx="69">
                  <c:v>38.2342236763267</c:v>
                </c:pt>
                <c:pt idx="70">
                  <c:v>38.2342236763267</c:v>
                </c:pt>
                <c:pt idx="71">
                  <c:v>38.2342236763267</c:v>
                </c:pt>
                <c:pt idx="72">
                  <c:v>38.2342236763267</c:v>
                </c:pt>
                <c:pt idx="73">
                  <c:v>38.2342236763267</c:v>
                </c:pt>
                <c:pt idx="74">
                  <c:v>38.2342236763267</c:v>
                </c:pt>
                <c:pt idx="75">
                  <c:v>38.2342236763267</c:v>
                </c:pt>
                <c:pt idx="76">
                  <c:v>38.2342236763267</c:v>
                </c:pt>
                <c:pt idx="77">
                  <c:v>38.2342236763267</c:v>
                </c:pt>
                <c:pt idx="78">
                  <c:v>38.2342236763267</c:v>
                </c:pt>
                <c:pt idx="79">
                  <c:v>38.2342236763267</c:v>
                </c:pt>
                <c:pt idx="80">
                  <c:v>38.2342236763267</c:v>
                </c:pt>
                <c:pt idx="81">
                  <c:v>38.2342236763267</c:v>
                </c:pt>
                <c:pt idx="82">
                  <c:v>38.2342236763267</c:v>
                </c:pt>
                <c:pt idx="83">
                  <c:v>38.2342236763267</c:v>
                </c:pt>
                <c:pt idx="84">
                  <c:v>38.2342236763267</c:v>
                </c:pt>
                <c:pt idx="85">
                  <c:v>38.2342236763267</c:v>
                </c:pt>
                <c:pt idx="86">
                  <c:v>38.2342236763267</c:v>
                </c:pt>
                <c:pt idx="87">
                  <c:v>38.2342236763267</c:v>
                </c:pt>
                <c:pt idx="88">
                  <c:v>38.2342236763267</c:v>
                </c:pt>
                <c:pt idx="89">
                  <c:v>38.2342236763267</c:v>
                </c:pt>
                <c:pt idx="90">
                  <c:v>38.2342236763267</c:v>
                </c:pt>
                <c:pt idx="91">
                  <c:v>38.2342236763267</c:v>
                </c:pt>
                <c:pt idx="92">
                  <c:v>38.2342236763267</c:v>
                </c:pt>
                <c:pt idx="93">
                  <c:v>38.2342236763267</c:v>
                </c:pt>
                <c:pt idx="94">
                  <c:v>38.2342236763267</c:v>
                </c:pt>
                <c:pt idx="95">
                  <c:v>38.2342236763267</c:v>
                </c:pt>
                <c:pt idx="96">
                  <c:v>38.2342236763267</c:v>
                </c:pt>
                <c:pt idx="97">
                  <c:v>38.2342236763267</c:v>
                </c:pt>
                <c:pt idx="98">
                  <c:v>38.2342236763267</c:v>
                </c:pt>
                <c:pt idx="99">
                  <c:v>38.2342236763267</c:v>
                </c:pt>
                <c:pt idx="100">
                  <c:v>38.2342236763267</c:v>
                </c:pt>
                <c:pt idx="101">
                  <c:v>38.2342236763267</c:v>
                </c:pt>
                <c:pt idx="102">
                  <c:v>38.2342236763267</c:v>
                </c:pt>
                <c:pt idx="103">
                  <c:v>38.2342236763267</c:v>
                </c:pt>
                <c:pt idx="104">
                  <c:v>38.2342236763267</c:v>
                </c:pt>
                <c:pt idx="105">
                  <c:v>38.2342236763267</c:v>
                </c:pt>
                <c:pt idx="106">
                  <c:v>38.2342236763267</c:v>
                </c:pt>
                <c:pt idx="107">
                  <c:v>38.2342236763267</c:v>
                </c:pt>
                <c:pt idx="108">
                  <c:v>38.2342236763267</c:v>
                </c:pt>
                <c:pt idx="109">
                  <c:v>38.2342236763267</c:v>
                </c:pt>
                <c:pt idx="110">
                  <c:v>38.2342236763267</c:v>
                </c:pt>
                <c:pt idx="111">
                  <c:v>38.2342236763267</c:v>
                </c:pt>
                <c:pt idx="112">
                  <c:v>38.2342236763267</c:v>
                </c:pt>
                <c:pt idx="113">
                  <c:v>38.2342236763267</c:v>
                </c:pt>
                <c:pt idx="114">
                  <c:v>38.2342236763267</c:v>
                </c:pt>
                <c:pt idx="115">
                  <c:v>38.2342236763267</c:v>
                </c:pt>
                <c:pt idx="116">
                  <c:v>38.2342236763267</c:v>
                </c:pt>
                <c:pt idx="117">
                  <c:v>38.2342236763267</c:v>
                </c:pt>
                <c:pt idx="118">
                  <c:v>38.2342236763267</c:v>
                </c:pt>
                <c:pt idx="119">
                  <c:v>38.2342236763267</c:v>
                </c:pt>
                <c:pt idx="120">
                  <c:v>38.2342236763267</c:v>
                </c:pt>
                <c:pt idx="121">
                  <c:v>38.2342236763267</c:v>
                </c:pt>
                <c:pt idx="122">
                  <c:v>38.2342236763267</c:v>
                </c:pt>
                <c:pt idx="123">
                  <c:v>38.2342236763267</c:v>
                </c:pt>
                <c:pt idx="124">
                  <c:v>38.2342236763267</c:v>
                </c:pt>
                <c:pt idx="125">
                  <c:v>38.2342236763267</c:v>
                </c:pt>
                <c:pt idx="126">
                  <c:v>38.2342236763267</c:v>
                </c:pt>
                <c:pt idx="127">
                  <c:v>38.2342236763267</c:v>
                </c:pt>
                <c:pt idx="128">
                  <c:v>38.2342236763267</c:v>
                </c:pt>
                <c:pt idx="129">
                  <c:v>38.2342236763267</c:v>
                </c:pt>
                <c:pt idx="130">
                  <c:v>38.2342236763267</c:v>
                </c:pt>
                <c:pt idx="131">
                  <c:v>38.2342236763267</c:v>
                </c:pt>
                <c:pt idx="132">
                  <c:v>38.2342236763267</c:v>
                </c:pt>
                <c:pt idx="133">
                  <c:v>38.2342236763267</c:v>
                </c:pt>
                <c:pt idx="134">
                  <c:v>38.2342236763267</c:v>
                </c:pt>
                <c:pt idx="135">
                  <c:v>38.2342236763267</c:v>
                </c:pt>
                <c:pt idx="136">
                  <c:v>38.2342236763267</c:v>
                </c:pt>
                <c:pt idx="137">
                  <c:v>38.2342236763267</c:v>
                </c:pt>
                <c:pt idx="138">
                  <c:v>38.2342236763267</c:v>
                </c:pt>
                <c:pt idx="139">
                  <c:v>38.2342236763267</c:v>
                </c:pt>
                <c:pt idx="140">
                  <c:v>38.2342236763267</c:v>
                </c:pt>
                <c:pt idx="141">
                  <c:v>38.2342236763267</c:v>
                </c:pt>
                <c:pt idx="142">
                  <c:v>38.2342236763267</c:v>
                </c:pt>
                <c:pt idx="143">
                  <c:v>38.2342236763267</c:v>
                </c:pt>
                <c:pt idx="144">
                  <c:v>38.2342236763267</c:v>
                </c:pt>
                <c:pt idx="145">
                  <c:v>38.2342236763267</c:v>
                </c:pt>
                <c:pt idx="146">
                  <c:v>38.2342236763267</c:v>
                </c:pt>
                <c:pt idx="147">
                  <c:v>38.2342236763267</c:v>
                </c:pt>
                <c:pt idx="148">
                  <c:v>38.2342236763267</c:v>
                </c:pt>
                <c:pt idx="149">
                  <c:v>38.2342236763267</c:v>
                </c:pt>
                <c:pt idx="150">
                  <c:v>38.2342236763267</c:v>
                </c:pt>
                <c:pt idx="151">
                  <c:v>38.2342236763267</c:v>
                </c:pt>
                <c:pt idx="152">
                  <c:v>38.2342236763267</c:v>
                </c:pt>
                <c:pt idx="153">
                  <c:v>38.2342236763267</c:v>
                </c:pt>
                <c:pt idx="154">
                  <c:v>38.2342236763267</c:v>
                </c:pt>
                <c:pt idx="155">
                  <c:v>38.2342236763267</c:v>
                </c:pt>
                <c:pt idx="156">
                  <c:v>38.2342236763267</c:v>
                </c:pt>
                <c:pt idx="157">
                  <c:v>38.2342236763267</c:v>
                </c:pt>
                <c:pt idx="158">
                  <c:v>38.2342236763267</c:v>
                </c:pt>
                <c:pt idx="159">
                  <c:v>38.2342236763267</c:v>
                </c:pt>
                <c:pt idx="160">
                  <c:v>38.2342236763267</c:v>
                </c:pt>
                <c:pt idx="161">
                  <c:v>38.2342236763267</c:v>
                </c:pt>
                <c:pt idx="162">
                  <c:v>38.2342236763267</c:v>
                </c:pt>
                <c:pt idx="163">
                  <c:v>38.2342236763267</c:v>
                </c:pt>
                <c:pt idx="164">
                  <c:v>38.2342236763267</c:v>
                </c:pt>
                <c:pt idx="165">
                  <c:v>38.2342236763267</c:v>
                </c:pt>
                <c:pt idx="166">
                  <c:v>38.2342236763267</c:v>
                </c:pt>
                <c:pt idx="167">
                  <c:v>38.2342236763267</c:v>
                </c:pt>
                <c:pt idx="168">
                  <c:v>38.2342236763267</c:v>
                </c:pt>
                <c:pt idx="169">
                  <c:v>38.2342236763267</c:v>
                </c:pt>
                <c:pt idx="170">
                  <c:v>38.2342236763267</c:v>
                </c:pt>
                <c:pt idx="171">
                  <c:v>38.2342236763267</c:v>
                </c:pt>
                <c:pt idx="172">
                  <c:v>38.2342236763267</c:v>
                </c:pt>
                <c:pt idx="173">
                  <c:v>38.2342236763267</c:v>
                </c:pt>
                <c:pt idx="174">
                  <c:v>38.2342236763267</c:v>
                </c:pt>
                <c:pt idx="175">
                  <c:v>38.2342236763267</c:v>
                </c:pt>
                <c:pt idx="176">
                  <c:v>38.2342236763267</c:v>
                </c:pt>
                <c:pt idx="177">
                  <c:v>38.2342236763267</c:v>
                </c:pt>
                <c:pt idx="178">
                  <c:v>38.2342236763267</c:v>
                </c:pt>
                <c:pt idx="179">
                  <c:v>38.2342236763267</c:v>
                </c:pt>
                <c:pt idx="180">
                  <c:v>38.2342236763267</c:v>
                </c:pt>
                <c:pt idx="181">
                  <c:v>38.2342236763267</c:v>
                </c:pt>
                <c:pt idx="182">
                  <c:v>38.2342236763267</c:v>
                </c:pt>
                <c:pt idx="183">
                  <c:v>38.2342236763267</c:v>
                </c:pt>
                <c:pt idx="184">
                  <c:v>38.2342236763267</c:v>
                </c:pt>
                <c:pt idx="185">
                  <c:v>38.2342236763267</c:v>
                </c:pt>
                <c:pt idx="186">
                  <c:v>38.2342236763267</c:v>
                </c:pt>
                <c:pt idx="187">
                  <c:v>38.2342236763267</c:v>
                </c:pt>
                <c:pt idx="188">
                  <c:v>38.2342236763267</c:v>
                </c:pt>
                <c:pt idx="189">
                  <c:v>38.2342236763267</c:v>
                </c:pt>
                <c:pt idx="190">
                  <c:v>38.2342236763267</c:v>
                </c:pt>
                <c:pt idx="191">
                  <c:v>38.2342236763267</c:v>
                </c:pt>
                <c:pt idx="192">
                  <c:v>38.2342236763267</c:v>
                </c:pt>
                <c:pt idx="193">
                  <c:v>38.2342236763267</c:v>
                </c:pt>
                <c:pt idx="194">
                  <c:v>38.2342236763267</c:v>
                </c:pt>
                <c:pt idx="195">
                  <c:v>38.2342236763267</c:v>
                </c:pt>
                <c:pt idx="196">
                  <c:v>38.2342236763267</c:v>
                </c:pt>
                <c:pt idx="197">
                  <c:v>38.2342236763267</c:v>
                </c:pt>
                <c:pt idx="198">
                  <c:v>38.2342236763267</c:v>
                </c:pt>
                <c:pt idx="199">
                  <c:v>38.2342236763267</c:v>
                </c:pt>
                <c:pt idx="200">
                  <c:v>38.2342236763267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10" sqref="C1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4.0199999999999996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122</v>
      </c>
      <c r="C9" s="35">
        <v>0.6915</v>
      </c>
      <c r="D9" s="36">
        <f t="shared" ref="D9:D18" si="0">C9*$C$5</f>
        <v>2.7798299999999996</v>
      </c>
      <c r="E9" s="37">
        <v>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H9" s="25" t="s">
        <v>324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108</v>
      </c>
      <c r="C10" s="35">
        <v>0.25369999999999998</v>
      </c>
      <c r="D10" s="36">
        <f t="shared" si="0"/>
        <v>1.0198739999999997</v>
      </c>
      <c r="E10" s="37">
        <v>15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325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0.94520000000000004</v>
      </c>
      <c r="D19" s="41">
        <f>SUM(D9:D18)</f>
        <v>3.7997039999999993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Blanc du Poitou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257</v>
      </c>
      <c r="C36" s="63">
        <v>1</v>
      </c>
      <c r="D36" s="63">
        <v>227</v>
      </c>
      <c r="E36" s="54">
        <v>0.77</v>
      </c>
      <c r="F36" s="54">
        <v>0.12</v>
      </c>
      <c r="G36" s="54">
        <v>0.11</v>
      </c>
      <c r="H36" s="54"/>
      <c r="I36" s="52">
        <f>IFERROR(B36/A36,"")</f>
        <v>17.133333333333333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Alcinde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257</v>
      </c>
      <c r="C62" s="63">
        <v>1</v>
      </c>
      <c r="D62" s="63">
        <v>227</v>
      </c>
      <c r="E62" s="54">
        <v>0.77</v>
      </c>
      <c r="F62" s="54">
        <v>0.12</v>
      </c>
      <c r="G62" s="54">
        <v>0.11</v>
      </c>
      <c r="H62" s="54"/>
      <c r="I62" s="56">
        <f>IFERROR(B62/A62,"")</f>
        <v>17.133333333333333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Blanc du Poitou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Alcinde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65.585138535467195</v>
      </c>
      <c r="T3" s="62">
        <f>IF('Données projet'!E9&gt;30,$R$33-$H$33,LOOKUP('Données projet'!$E$9,$A$3:$A$203,R3:R203)-LOOKUP('Données projet'!$E$9,$A$3:$A$203,$H$3:$H$203))</f>
        <v>292.56159092613944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72.817281731857122</v>
      </c>
      <c r="AO3" s="62">
        <f>IF('Données projet'!E10&gt;30,$AM$33-$H$33,LOOKUP('Données projet'!$E$10,$A$3:$A$203,AM3:AM203)-LOOKUP('Données projet'!$E$10,$A$3:$A$203,$H$3:$H$203))</f>
        <v>327.78949950303326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17.133333333333333</v>
      </c>
      <c r="N4" s="14">
        <f>IF('Données projet'!$A$36&gt;35,N3+M4-V3,IF(A4&lt;'Données projet'!$A$36,$K$205^A4,IF(A4='Données projet'!$A$36,'Données projet'!$B$36,N3+M4-V3)))</f>
        <v>1.4476454451509746</v>
      </c>
      <c r="O4" s="14">
        <f>N4*VLOOKUP('Données projet'!$B$9,Paramètres!$A$1:$I$89,3,0)*VLOOKUP('Données projet'!$B$9,Paramètres!$A$1:$I$89,5,0)</f>
        <v>0.70233966416944682</v>
      </c>
      <c r="P4" s="14">
        <f>EXP(-1.0587+0.8836*LN(O4)+0.284)</f>
        <v>0.33725715095441156</v>
      </c>
      <c r="Q4" s="22">
        <f t="shared" ref="Q4:Q34" si="2">(O4+P4)*0.475*44/12</f>
        <v>1.810631119674053</v>
      </c>
      <c r="R4" s="62">
        <f t="shared" si="0"/>
        <v>259.6995200085629</v>
      </c>
      <c r="S4" s="62">
        <f ca="1">AVERAGE(OFFSET($R$3,0,0,'Données projet'!$E$9+1,1))-AVERAGE(OFFSET($H$3,0,0,'Données projet'!$E$9+1,1))</f>
        <v>65.585138535467195</v>
      </c>
      <c r="T4" s="62">
        <f>$T$3</f>
        <v>292.56159092613944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17.133333333333333</v>
      </c>
      <c r="AI4" s="14">
        <f>IF('Données projet'!$A$62&gt;35,AI3+AH4-AQ3,IF(A4&lt;'Données projet'!$A$62,$AF$205^A4,IF(A4='Données projet'!$A$62,'Données projet'!$B$62,AI3+AH4-AQ3)))</f>
        <v>1.4476454451509746</v>
      </c>
      <c r="AJ4" s="14">
        <f>AI4*VLOOKUP('Données projet'!$B$10,Paramètres!$A$1:$I$89,3,0)*VLOOKUP('Données projet'!$B$10,Paramètres!$A$1:$I$89,5,0)</f>
        <v>0.7949310668413031</v>
      </c>
      <c r="AK4" s="14">
        <f>EXP(-1.0587+0.8836*LN(AJ4)+0.284)</f>
        <v>0.37625578378820795</v>
      </c>
      <c r="AL4" s="22">
        <f t="shared" ref="AL4:AL67" si="4">(AJ4+AK4)*0.475*44/12</f>
        <v>2.0398170981797317</v>
      </c>
      <c r="AM4" s="62">
        <f t="shared" ref="AM4:AM67" si="5">AL4+(AD4+AE4)*44/12</f>
        <v>259.92870598706861</v>
      </c>
      <c r="AN4" s="62">
        <f ca="1">AVERAGE(OFFSET($AM$3,0,0,'Données projet'!$E$10+1,1))-AVERAGE(OFFSET($H$3,0,0,'Données projet'!$E$10+1,1))</f>
        <v>72.817281731857122</v>
      </c>
      <c r="AO4" s="62">
        <f>$AO$3</f>
        <v>327.78949950303326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17.133333333333333</v>
      </c>
      <c r="N5" s="14">
        <f>IF('Données projet'!$A$36&gt;35,N4+M5-V4,IF(A5&lt;'Données projet'!$A$36,$K$205^A5,IF(A5='Données projet'!$A$36,'Données projet'!$B$36,N4+M5-V4)))</f>
        <v>2.0956773348663633</v>
      </c>
      <c r="O5" s="14">
        <f>N5*VLOOKUP('Données projet'!$B$9,Paramètres!$A$1:$I$89,3,0)*VLOOKUP('Données projet'!$B$9,Paramètres!$A$1:$I$89,5,0)</f>
        <v>1.0167388157837649</v>
      </c>
      <c r="P5" s="14">
        <f t="shared" ref="P5:P68" si="33">EXP(-1.0587+0.8836*LN(O5)+0.284)</f>
        <v>0.46765145951124082</v>
      </c>
      <c r="Q5" s="22">
        <f t="shared" si="2"/>
        <v>2.5853130628054681</v>
      </c>
      <c r="R5" s="62">
        <f t="shared" si="0"/>
        <v>261.69642417391663</v>
      </c>
      <c r="S5" s="62">
        <f ca="1">AVERAGE(OFFSET($R$3,0,0,'Données projet'!$E$9+1,1))-AVERAGE(OFFSET($H$3,0,0,'Données projet'!$E$9+1,1))</f>
        <v>65.585138535467195</v>
      </c>
      <c r="T5" s="62">
        <f t="shared" ref="T5:T68" si="34">$T$3</f>
        <v>292.56159092613944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17.133333333333333</v>
      </c>
      <c r="AI5" s="14">
        <f>IF('Données projet'!$A$62&gt;35,AI4+AH5-AQ4,IF(A5&lt;'Données projet'!$A$62,$AF$205^A5,IF(A5='Données projet'!$A$62,'Données projet'!$B$62,AI4+AH5-AQ4)))</f>
        <v>2.0956773348663633</v>
      </c>
      <c r="AJ5" s="14">
        <f>AI5*VLOOKUP('Données projet'!$B$10,Paramètres!$A$1:$I$89,3,0)*VLOOKUP('Données projet'!$B$10,Paramètres!$A$1:$I$89,5,0)</f>
        <v>1.1507783381218173</v>
      </c>
      <c r="AK5" s="14">
        <f t="shared" ref="AK5:AK68" si="35">EXP(-1.0587+0.8836*LN(AJ5)+0.284)</f>
        <v>0.52172820039592294</v>
      </c>
      <c r="AL5" s="22">
        <f t="shared" si="4"/>
        <v>2.9129488879183971</v>
      </c>
      <c r="AM5" s="62">
        <f t="shared" si="5"/>
        <v>262.02405999902953</v>
      </c>
      <c r="AN5" s="62">
        <f ca="1">AVERAGE(OFFSET($AM$3,0,0,'Données projet'!$E$10+1,1))-AVERAGE(OFFSET($H$3,0,0,'Données projet'!$E$10+1,1))</f>
        <v>72.817281731857122</v>
      </c>
      <c r="AO5" s="62">
        <f t="shared" ref="AO5:AO68" si="36">$AO$3</f>
        <v>327.78949950303326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17.133333333333333</v>
      </c>
      <c r="N6" s="14">
        <f>IF('Données projet'!$A$36&gt;35,N5+M6-V5,IF(A6&lt;'Données projet'!$A$36,$K$205^A6,IF(A6='Données projet'!$A$36,'Données projet'!$B$36,N5+M6-V5)))</f>
        <v>3.0337977483254246</v>
      </c>
      <c r="O6" s="14">
        <f>N6*VLOOKUP('Données projet'!$B$9,Paramètres!$A$1:$I$89,3,0)*VLOOKUP('Données projet'!$B$9,Paramètres!$A$1:$I$89,5,0)</f>
        <v>1.4718773155775629</v>
      </c>
      <c r="P6" s="14">
        <f t="shared" si="33"/>
        <v>0.64846034239480332</v>
      </c>
      <c r="Q6" s="22">
        <f t="shared" si="2"/>
        <v>3.692921420968537</v>
      </c>
      <c r="R6" s="62">
        <f t="shared" si="0"/>
        <v>264.02625475430187</v>
      </c>
      <c r="S6" s="62">
        <f ca="1">AVERAGE(OFFSET($R$3,0,0,'Données projet'!$E$9+1,1))-AVERAGE(OFFSET($H$3,0,0,'Données projet'!$E$9+1,1))</f>
        <v>65.585138535467195</v>
      </c>
      <c r="T6" s="62">
        <f t="shared" si="34"/>
        <v>292.56159092613944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17.133333333333333</v>
      </c>
      <c r="AI6" s="14">
        <f>IF('Données projet'!$A$62&gt;35,AI5+AH6-AQ5,IF(A6&lt;'Données projet'!$A$62,$AF$205^A6,IF(A6='Données projet'!$A$62,'Données projet'!$B$62,AI5+AH6-AQ5)))</f>
        <v>3.0337977483254246</v>
      </c>
      <c r="AJ6" s="14">
        <f>AI6*VLOOKUP('Données projet'!$B$10,Paramètres!$A$1:$I$89,3,0)*VLOOKUP('Données projet'!$B$10,Paramètres!$A$1:$I$89,5,0)</f>
        <v>1.6659190195604572</v>
      </c>
      <c r="AK6" s="14">
        <f t="shared" si="35"/>
        <v>0.72344486601058655</v>
      </c>
      <c r="AL6" s="22">
        <f t="shared" si="4"/>
        <v>4.1614754340362339</v>
      </c>
      <c r="AM6" s="62">
        <f t="shared" si="5"/>
        <v>264.49480876736953</v>
      </c>
      <c r="AN6" s="62">
        <f ca="1">AVERAGE(OFFSET($AM$3,0,0,'Données projet'!$E$10+1,1))-AVERAGE(OFFSET($H$3,0,0,'Données projet'!$E$10+1,1))</f>
        <v>72.817281731857122</v>
      </c>
      <c r="AO6" s="62">
        <f t="shared" si="36"/>
        <v>327.78949950303326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17.133333333333333</v>
      </c>
      <c r="N7" s="14">
        <f>IF('Données projet'!$A$36&gt;35,N6+M7-V6,IF(A7&lt;'Données projet'!$A$36,$K$205^A7,IF(A7='Données projet'!$A$36,'Données projet'!$B$36,N6+M7-V6)))</f>
        <v>4.3918634918725834</v>
      </c>
      <c r="O7" s="14">
        <f>N7*VLOOKUP('Données projet'!$B$9,Paramètres!$A$1:$I$89,3,0)*VLOOKUP('Données projet'!$B$9,Paramètres!$A$1:$I$89,5,0)</f>
        <v>2.1307564917169026</v>
      </c>
      <c r="P7" s="14">
        <f t="shared" si="33"/>
        <v>0.8991756726222262</v>
      </c>
      <c r="Q7" s="22">
        <f t="shared" si="2"/>
        <v>5.2771318528906486</v>
      </c>
      <c r="R7" s="62">
        <f t="shared" si="0"/>
        <v>266.83268740844619</v>
      </c>
      <c r="S7" s="62">
        <f ca="1">AVERAGE(OFFSET($R$3,0,0,'Données projet'!$E$9+1,1))-AVERAGE(OFFSET($H$3,0,0,'Données projet'!$E$9+1,1))</f>
        <v>65.585138535467195</v>
      </c>
      <c r="T7" s="62">
        <f t="shared" si="34"/>
        <v>292.56159092613944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17.133333333333333</v>
      </c>
      <c r="AI7" s="14">
        <f>IF('Données projet'!$A$62&gt;35,AI6+AH7-AQ6,IF(A7&lt;'Données projet'!$A$62,$AF$205^A7,IF(A7='Données projet'!$A$62,'Données projet'!$B$62,AI6+AH7-AQ6)))</f>
        <v>4.3918634918725834</v>
      </c>
      <c r="AJ7" s="14">
        <f>AI7*VLOOKUP('Données projet'!$B$10,Paramètres!$A$1:$I$89,3,0)*VLOOKUP('Données projet'!$B$10,Paramètres!$A$1:$I$89,5,0)</f>
        <v>2.4116600806570729</v>
      </c>
      <c r="AK7" s="14">
        <f t="shared" si="35"/>
        <v>1.0031515907323101</v>
      </c>
      <c r="AL7" s="22">
        <f t="shared" si="4"/>
        <v>5.9474636610031757</v>
      </c>
      <c r="AM7" s="62">
        <f t="shared" si="5"/>
        <v>267.5030192165587</v>
      </c>
      <c r="AN7" s="62">
        <f ca="1">AVERAGE(OFFSET($AM$3,0,0,'Données projet'!$E$10+1,1))-AVERAGE(OFFSET($H$3,0,0,'Données projet'!$E$10+1,1))</f>
        <v>72.817281731857122</v>
      </c>
      <c r="AO7" s="62">
        <f t="shared" si="36"/>
        <v>327.78949950303326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17.133333333333333</v>
      </c>
      <c r="N8" s="14">
        <f>IF('Données projet'!$A$36&gt;35,N7+M8-V7,IF(A8&lt;'Données projet'!$A$36,$K$205^A8,IF(A8='Données projet'!$A$36,'Données projet'!$B$36,N7+M8-V7)))</f>
        <v>6.3578611797341997</v>
      </c>
      <c r="O8" s="14">
        <f>N8*VLOOKUP('Données projet'!$B$9,Paramètres!$A$1:$I$89,3,0)*VLOOKUP('Données projet'!$B$9,Paramètres!$A$1:$I$89,5,0)</f>
        <v>3.0845799299598444</v>
      </c>
      <c r="P8" s="14">
        <f t="shared" si="33"/>
        <v>1.2468254993817061</v>
      </c>
      <c r="Q8" s="22">
        <f t="shared" si="2"/>
        <v>7.5438644561032007</v>
      </c>
      <c r="R8" s="62">
        <f t="shared" si="0"/>
        <v>270.32164223388099</v>
      </c>
      <c r="S8" s="62">
        <f ca="1">AVERAGE(OFFSET($R$3,0,0,'Données projet'!$E$9+1,1))-AVERAGE(OFFSET($H$3,0,0,'Données projet'!$E$9+1,1))</f>
        <v>65.585138535467195</v>
      </c>
      <c r="T8" s="62">
        <f t="shared" si="34"/>
        <v>292.56159092613944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17.133333333333333</v>
      </c>
      <c r="AI8" s="14">
        <f>IF('Données projet'!$A$62&gt;35,AI7+AH8-AQ7,IF(A8&lt;'Données projet'!$A$62,$AF$205^A8,IF(A8='Données projet'!$A$62,'Données projet'!$B$62,AI7+AH8-AQ7)))</f>
        <v>6.3578611797341997</v>
      </c>
      <c r="AJ8" s="14">
        <f>AI8*VLOOKUP('Données projet'!$B$10,Paramètres!$A$1:$I$89,3,0)*VLOOKUP('Données projet'!$B$10,Paramètres!$A$1:$I$89,5,0)</f>
        <v>3.491228731015644</v>
      </c>
      <c r="AK8" s="14">
        <f t="shared" si="35"/>
        <v>1.3910018043780523</v>
      </c>
      <c r="AL8" s="22">
        <f t="shared" si="4"/>
        <v>8.5032181824773545</v>
      </c>
      <c r="AM8" s="62">
        <f t="shared" si="5"/>
        <v>271.28099596025515</v>
      </c>
      <c r="AN8" s="62">
        <f ca="1">AVERAGE(OFFSET($AM$3,0,0,'Données projet'!$E$10+1,1))-AVERAGE(OFFSET($H$3,0,0,'Données projet'!$E$10+1,1))</f>
        <v>72.817281731857122</v>
      </c>
      <c r="AO8" s="62">
        <f t="shared" si="36"/>
        <v>327.78949950303326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17.133333333333333</v>
      </c>
      <c r="N9" s="14">
        <f>IF('Données projet'!$A$36&gt;35,N8+M9-V8,IF(A9&lt;'Données projet'!$A$36,$K$205^A9,IF(A9='Données projet'!$A$36,'Données projet'!$B$36,N8+M9-V8)))</f>
        <v>9.2039287777444159</v>
      </c>
      <c r="O9" s="14">
        <f>N9*VLOOKUP('Données projet'!$B$9,Paramètres!$A$1:$I$89,3,0)*VLOOKUP('Données projet'!$B$9,Paramètres!$A$1:$I$89,5,0)</f>
        <v>4.4653780858104808</v>
      </c>
      <c r="P9" s="14">
        <f t="shared" si="33"/>
        <v>1.7288877727028646</v>
      </c>
      <c r="Q9" s="22">
        <f t="shared" si="2"/>
        <v>10.788346370244078</v>
      </c>
      <c r="R9" s="62">
        <f t="shared" si="0"/>
        <v>274.78834637024408</v>
      </c>
      <c r="S9" s="62">
        <f ca="1">AVERAGE(OFFSET($R$3,0,0,'Données projet'!$E$9+1,1))-AVERAGE(OFFSET($H$3,0,0,'Données projet'!$E$9+1,1))</f>
        <v>65.585138535467195</v>
      </c>
      <c r="T9" s="62">
        <f t="shared" si="34"/>
        <v>292.56159092613944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17.133333333333333</v>
      </c>
      <c r="AI9" s="14">
        <f>IF('Données projet'!$A$62&gt;35,AI8+AH9-AQ8,IF(A9&lt;'Données projet'!$A$62,$AF$205^A9,IF(A9='Données projet'!$A$62,'Données projet'!$B$62,AI8+AH9-AQ8)))</f>
        <v>9.2039287777444159</v>
      </c>
      <c r="AJ9" s="14">
        <f>AI9*VLOOKUP('Données projet'!$B$10,Paramètres!$A$1:$I$89,3,0)*VLOOKUP('Données projet'!$B$10,Paramètres!$A$1:$I$89,5,0)</f>
        <v>5.0540613704350141</v>
      </c>
      <c r="AK9" s="14">
        <f t="shared" si="35"/>
        <v>1.9288072088591437</v>
      </c>
      <c r="AL9" s="22">
        <f t="shared" si="4"/>
        <v>12.161829442270658</v>
      </c>
      <c r="AM9" s="62">
        <f t="shared" si="5"/>
        <v>276.16182944227069</v>
      </c>
      <c r="AN9" s="62">
        <f ca="1">AVERAGE(OFFSET($AM$3,0,0,'Données projet'!$E$10+1,1))-AVERAGE(OFFSET($H$3,0,0,'Données projet'!$E$10+1,1))</f>
        <v>72.817281731857122</v>
      </c>
      <c r="AO9" s="62">
        <f t="shared" si="36"/>
        <v>327.78949950303326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17.133333333333333</v>
      </c>
      <c r="N10" s="14">
        <f>IF('Données projet'!$A$36&gt;35,N9+M10-V9,IF(A10&lt;'Données projet'!$A$36,$K$205^A10,IF(A10='Données projet'!$A$36,'Données projet'!$B$36,N9+M10-V9)))</f>
        <v>13.32402557259568</v>
      </c>
      <c r="O10" s="14">
        <f>N10*VLOOKUP('Données projet'!$B$9,Paramètres!$A$1:$I$89,3,0)*VLOOKUP('Données projet'!$B$9,Paramètres!$A$1:$I$89,5,0)</f>
        <v>6.4642842468005197</v>
      </c>
      <c r="P10" s="14">
        <f t="shared" si="33"/>
        <v>2.3973306064751858</v>
      </c>
      <c r="Q10" s="22">
        <f t="shared" si="2"/>
        <v>15.433979202788521</v>
      </c>
      <c r="R10" s="62">
        <f t="shared" si="0"/>
        <v>280.65620142501075</v>
      </c>
      <c r="S10" s="62">
        <f ca="1">AVERAGE(OFFSET($R$3,0,0,'Données projet'!$E$9+1,1))-AVERAGE(OFFSET($H$3,0,0,'Données projet'!$E$9+1,1))</f>
        <v>65.585138535467195</v>
      </c>
      <c r="T10" s="62">
        <f t="shared" si="34"/>
        <v>292.56159092613944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17.133333333333333</v>
      </c>
      <c r="AI10" s="14">
        <f>IF('Données projet'!$A$62&gt;35,AI9+AH10-AQ9,IF(A10&lt;'Données projet'!$A$62,$AF$205^A10,IF(A10='Données projet'!$A$62,'Données projet'!$B$62,AI9+AH10-AQ9)))</f>
        <v>13.32402557259568</v>
      </c>
      <c r="AJ10" s="14">
        <f>AI10*VLOOKUP('Données projet'!$B$10,Paramètres!$A$1:$I$89,3,0)*VLOOKUP('Données projet'!$B$10,Paramètres!$A$1:$I$89,5,0)</f>
        <v>7.3164889224237397</v>
      </c>
      <c r="AK10" s="14">
        <f t="shared" si="35"/>
        <v>2.6745452358420398</v>
      </c>
      <c r="AL10" s="22">
        <f t="shared" si="4"/>
        <v>17.401051158979566</v>
      </c>
      <c r="AM10" s="62">
        <f t="shared" si="5"/>
        <v>282.62327338120178</v>
      </c>
      <c r="AN10" s="62">
        <f ca="1">AVERAGE(OFFSET($AM$3,0,0,'Données projet'!$E$10+1,1))-AVERAGE(OFFSET($H$3,0,0,'Données projet'!$E$10+1,1))</f>
        <v>72.817281731857122</v>
      </c>
      <c r="AO10" s="62">
        <f t="shared" si="36"/>
        <v>327.78949950303326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17.133333333333333</v>
      </c>
      <c r="N11" s="14">
        <f>IF('Données projet'!$A$36&gt;35,N10+M11-V10,IF(A11&lt;'Données projet'!$A$36,$K$205^A11,IF(A11='Données projet'!$A$36,'Données projet'!$B$36,N10+M11-V10)))</f>
        <v>19.28846493124324</v>
      </c>
      <c r="O11" s="14">
        <f>N11*VLOOKUP('Données projet'!$B$9,Paramètres!$A$1:$I$89,3,0)*VLOOKUP('Données projet'!$B$9,Paramètres!$A$1:$I$89,5,0)</f>
        <v>9.3579916460419703</v>
      </c>
      <c r="P11" s="14">
        <f t="shared" si="33"/>
        <v>3.3242146352610153</v>
      </c>
      <c r="Q11" s="22">
        <f t="shared" si="2"/>
        <v>22.088175939936033</v>
      </c>
      <c r="R11" s="62">
        <f t="shared" si="0"/>
        <v>288.53262038438049</v>
      </c>
      <c r="S11" s="62">
        <f ca="1">AVERAGE(OFFSET($R$3,0,0,'Données projet'!$E$9+1,1))-AVERAGE(OFFSET($H$3,0,0,'Données projet'!$E$9+1,1))</f>
        <v>65.585138535467195</v>
      </c>
      <c r="T11" s="62">
        <f t="shared" si="34"/>
        <v>292.56159092613944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17.133333333333333</v>
      </c>
      <c r="AI11" s="14">
        <f>IF('Données projet'!$A$62&gt;35,AI10+AH11-AQ10,IF(A11&lt;'Données projet'!$A$62,$AF$205^A11,IF(A11='Données projet'!$A$62,'Données projet'!$B$62,AI10+AH11-AQ10)))</f>
        <v>19.28846493124324</v>
      </c>
      <c r="AJ11" s="14">
        <f>AI11*VLOOKUP('Données projet'!$B$10,Paramètres!$A$1:$I$89,3,0)*VLOOKUP('Données projet'!$B$10,Paramètres!$A$1:$I$89,5,0)</f>
        <v>10.591681863044288</v>
      </c>
      <c r="AK11" s="14">
        <f t="shared" si="35"/>
        <v>3.7086092304665028</v>
      </c>
      <c r="AL11" s="22">
        <f t="shared" si="4"/>
        <v>24.906340321197959</v>
      </c>
      <c r="AM11" s="62">
        <f t="shared" si="5"/>
        <v>291.3507847656424</v>
      </c>
      <c r="AN11" s="62">
        <f ca="1">AVERAGE(OFFSET($AM$3,0,0,'Données projet'!$E$10+1,1))-AVERAGE(OFFSET($H$3,0,0,'Données projet'!$E$10+1,1))</f>
        <v>72.817281731857122</v>
      </c>
      <c r="AO11" s="62">
        <f t="shared" si="36"/>
        <v>327.78949950303326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17.133333333333333</v>
      </c>
      <c r="N12" s="14">
        <f>IF('Données projet'!$A$36&gt;35,N11+M12-V11,IF(A12&lt;'Données projet'!$A$36,$K$205^A12,IF(A12='Données projet'!$A$36,'Données projet'!$B$36,N11+M12-V11)))</f>
        <v>27.922858401668584</v>
      </c>
      <c r="O12" s="14">
        <f>N12*VLOOKUP('Données projet'!$B$9,Paramètres!$A$1:$I$89,3,0)*VLOOKUP('Données projet'!$B$9,Paramètres!$A$1:$I$89,5,0)</f>
        <v>13.54705398215353</v>
      </c>
      <c r="P12" s="14">
        <f t="shared" si="33"/>
        <v>4.6094614198961166</v>
      </c>
      <c r="Q12" s="22">
        <f t="shared" si="2"/>
        <v>31.622597658569799</v>
      </c>
      <c r="R12" s="62">
        <f t="shared" si="0"/>
        <v>299.2892643252365</v>
      </c>
      <c r="S12" s="62">
        <f ca="1">AVERAGE(OFFSET($R$3,0,0,'Données projet'!$E$9+1,1))-AVERAGE(OFFSET($H$3,0,0,'Données projet'!$E$9+1,1))</f>
        <v>65.585138535467195</v>
      </c>
      <c r="T12" s="62">
        <f t="shared" si="34"/>
        <v>292.56159092613944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17.133333333333333</v>
      </c>
      <c r="AI12" s="14">
        <f>IF('Données projet'!$A$62&gt;35,AI11+AH12-AQ11,IF(A12&lt;'Données projet'!$A$62,$AF$205^A12,IF(A12='Données projet'!$A$62,'Données projet'!$B$62,AI11+AH12-AQ11)))</f>
        <v>27.922858401668584</v>
      </c>
      <c r="AJ12" s="14">
        <f>AI12*VLOOKUP('Données projet'!$B$10,Paramètres!$A$1:$I$89,3,0)*VLOOKUP('Données projet'!$B$10,Paramètres!$A$1:$I$89,5,0)</f>
        <v>15.333000005524251</v>
      </c>
      <c r="AK12" s="14">
        <f t="shared" si="35"/>
        <v>5.1424751542746563</v>
      </c>
      <c r="AL12" s="22">
        <f t="shared" si="4"/>
        <v>35.661452569983091</v>
      </c>
      <c r="AM12" s="62">
        <f t="shared" si="5"/>
        <v>303.3281192366498</v>
      </c>
      <c r="AN12" s="62">
        <f ca="1">AVERAGE(OFFSET($AM$3,0,0,'Données projet'!$E$10+1,1))-AVERAGE(OFFSET($H$3,0,0,'Données projet'!$E$10+1,1))</f>
        <v>72.817281731857122</v>
      </c>
      <c r="AO12" s="62">
        <f t="shared" si="36"/>
        <v>327.78949950303326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17.133333333333333</v>
      </c>
      <c r="N13" s="14">
        <f>IF('Données projet'!$A$36&gt;35,N12+M13-V12,IF(A13&lt;'Données projet'!$A$36,$K$205^A13,IF(A13='Données projet'!$A$36,'Données projet'!$B$36,N12+M13-V12)))</f>
        <v>40.422398780771147</v>
      </c>
      <c r="O13" s="14">
        <f>N13*VLOOKUP('Données projet'!$B$9,Paramètres!$A$1:$I$89,3,0)*VLOOKUP('Données projet'!$B$9,Paramètres!$A$1:$I$89,5,0)</f>
        <v>19.61133099247893</v>
      </c>
      <c r="P13" s="14">
        <f t="shared" si="33"/>
        <v>6.3916253650217145</v>
      </c>
      <c r="Q13" s="22">
        <f t="shared" si="2"/>
        <v>45.288482322646956</v>
      </c>
      <c r="R13" s="62">
        <f t="shared" si="0"/>
        <v>314.17737121153584</v>
      </c>
      <c r="S13" s="62">
        <f ca="1">AVERAGE(OFFSET($R$3,0,0,'Données projet'!$E$9+1,1))-AVERAGE(OFFSET($H$3,0,0,'Données projet'!$E$9+1,1))</f>
        <v>65.585138535467195</v>
      </c>
      <c r="T13" s="62">
        <f t="shared" si="34"/>
        <v>292.56159092613944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17.133333333333333</v>
      </c>
      <c r="AI13" s="14">
        <f>IF('Données projet'!$A$62&gt;35,AI12+AH13-AQ12,IF(A13&lt;'Données projet'!$A$62,$AF$205^A13,IF(A13='Données projet'!$A$62,'Données projet'!$B$62,AI12+AH13-AQ12)))</f>
        <v>40.422398780771147</v>
      </c>
      <c r="AJ13" s="14">
        <f>AI13*VLOOKUP('Données projet'!$B$10,Paramètres!$A$1:$I$89,3,0)*VLOOKUP('Données projet'!$B$10,Paramètres!$A$1:$I$89,5,0)</f>
        <v>22.196747618497053</v>
      </c>
      <c r="AK13" s="14">
        <f t="shared" si="35"/>
        <v>7.1307191103026177</v>
      </c>
      <c r="AL13" s="22">
        <f t="shared" si="4"/>
        <v>51.07867121932609</v>
      </c>
      <c r="AM13" s="62">
        <f t="shared" si="5"/>
        <v>319.96756010821497</v>
      </c>
      <c r="AN13" s="62">
        <f ca="1">AVERAGE(OFFSET($AM$3,0,0,'Données projet'!$E$10+1,1))-AVERAGE(OFFSET($H$3,0,0,'Données projet'!$E$10+1,1))</f>
        <v>72.817281731857122</v>
      </c>
      <c r="AO13" s="62">
        <f t="shared" si="36"/>
        <v>327.78949950303326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17.133333333333333</v>
      </c>
      <c r="N14" s="14">
        <f>IF('Données projet'!$A$36&gt;35,N13+M14-V13,IF(A14&lt;'Données projet'!$A$36,$K$205^A14,IF(A14='Données projet'!$A$36,'Données projet'!$B$36,N13+M14-V13)))</f>
        <v>58.517301477059661</v>
      </c>
      <c r="O14" s="14">
        <f>N14*VLOOKUP('Données projet'!$B$9,Paramètres!$A$1:$I$89,3,0)*VLOOKUP('Données projet'!$B$9,Paramètres!$A$1:$I$89,5,0)</f>
        <v>28.390253984610265</v>
      </c>
      <c r="P14" s="14">
        <f t="shared" si="33"/>
        <v>8.8628304014983321</v>
      </c>
      <c r="Q14" s="22">
        <f t="shared" si="2"/>
        <v>64.882455305805806</v>
      </c>
      <c r="R14" s="62">
        <f t="shared" si="0"/>
        <v>334.99356641691696</v>
      </c>
      <c r="S14" s="62">
        <f ca="1">AVERAGE(OFFSET($R$3,0,0,'Données projet'!$E$9+1,1))-AVERAGE(OFFSET($H$3,0,0,'Données projet'!$E$9+1,1))</f>
        <v>65.585138535467195</v>
      </c>
      <c r="T14" s="62">
        <f t="shared" si="34"/>
        <v>292.56159092613944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17.133333333333333</v>
      </c>
      <c r="AI14" s="14">
        <f>IF('Données projet'!$A$62&gt;35,AI13+AH14-AQ13,IF(A14&lt;'Données projet'!$A$62,$AF$205^A14,IF(A14='Données projet'!$A$62,'Données projet'!$B$62,AI13+AH14-AQ13)))</f>
        <v>58.517301477059661</v>
      </c>
      <c r="AJ14" s="14">
        <f>AI14*VLOOKUP('Données projet'!$B$10,Paramètres!$A$1:$I$89,3,0)*VLOOKUP('Données projet'!$B$10,Paramètres!$A$1:$I$89,5,0)</f>
        <v>32.133020587083003</v>
      </c>
      <c r="AK14" s="14">
        <f t="shared" si="35"/>
        <v>9.8876812244330363</v>
      </c>
      <c r="AL14" s="22">
        <f t="shared" si="4"/>
        <v>73.186055655057103</v>
      </c>
      <c r="AM14" s="62">
        <f t="shared" si="5"/>
        <v>343.29716676616823</v>
      </c>
      <c r="AN14" s="62">
        <f ca="1">AVERAGE(OFFSET($AM$3,0,0,'Données projet'!$E$10+1,1))-AVERAGE(OFFSET($H$3,0,0,'Données projet'!$E$10+1,1))</f>
        <v>72.817281731857122</v>
      </c>
      <c r="AO14" s="62">
        <f t="shared" si="36"/>
        <v>327.78949950303326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17.133333333333333</v>
      </c>
      <c r="N15" s="14">
        <f>IF('Données projet'!$A$36&gt;35,N14+M15-V14,IF(A15&lt;'Données projet'!$A$36,$K$205^A15,IF(A15='Données projet'!$A$36,'Données projet'!$B$36,N14+M15-V14)))</f>
        <v>84.7123049457918</v>
      </c>
      <c r="O15" s="14">
        <f>N15*VLOOKUP('Données projet'!$B$9,Paramètres!$A$1:$I$89,3,0)*VLOOKUP('Données projet'!$B$9,Paramètres!$A$1:$I$89,5,0)</f>
        <v>41.099021867500355</v>
      </c>
      <c r="P15" s="14">
        <f t="shared" si="33"/>
        <v>12.289481663864111</v>
      </c>
      <c r="Q15" s="22">
        <f t="shared" si="2"/>
        <v>92.984976983793103</v>
      </c>
      <c r="R15" s="62">
        <f t="shared" si="0"/>
        <v>364.31831031712642</v>
      </c>
      <c r="S15" s="62">
        <f ca="1">AVERAGE(OFFSET($R$3,0,0,'Données projet'!$E$9+1,1))-AVERAGE(OFFSET($H$3,0,0,'Données projet'!$E$9+1,1))</f>
        <v>65.585138535467195</v>
      </c>
      <c r="T15" s="62">
        <f t="shared" si="34"/>
        <v>292.56159092613944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17.133333333333333</v>
      </c>
      <c r="AI15" s="14">
        <f>IF('Données projet'!$A$62&gt;35,AI14+AH15-AQ14,IF(A15&lt;'Données projet'!$A$62,$AF$205^A15,IF(A15='Données projet'!$A$62,'Données projet'!$B$62,AI14+AH15-AQ14)))</f>
        <v>84.7123049457918</v>
      </c>
      <c r="AJ15" s="14">
        <f>AI15*VLOOKUP('Données projet'!$B$10,Paramètres!$A$1:$I$89,3,0)*VLOOKUP('Données projet'!$B$10,Paramètres!$A$1:$I$89,5,0)</f>
        <v>46.517220891833198</v>
      </c>
      <c r="AK15" s="14">
        <f t="shared" si="35"/>
        <v>13.710572311669214</v>
      </c>
      <c r="AL15" s="22">
        <f t="shared" si="4"/>
        <v>104.89673982943337</v>
      </c>
      <c r="AM15" s="62">
        <f t="shared" si="5"/>
        <v>376.2300731627667</v>
      </c>
      <c r="AN15" s="62">
        <f ca="1">AVERAGE(OFFSET($AM$3,0,0,'Données projet'!$E$10+1,1))-AVERAGE(OFFSET($H$3,0,0,'Données projet'!$E$10+1,1))</f>
        <v>72.817281731857122</v>
      </c>
      <c r="AO15" s="62">
        <f t="shared" si="36"/>
        <v>327.78949950303326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17.133333333333333</v>
      </c>
      <c r="N16" s="14">
        <f>IF('Données projet'!$A$36&gt;35,N15+M16-V15,IF(A16&lt;'Données projet'!$A$36,$K$205^A16,IF(A16='Données projet'!$A$36,'Données projet'!$B$36,N15+M16-V15)))</f>
        <v>122.63338240301589</v>
      </c>
      <c r="O16" s="14">
        <f>N16*VLOOKUP('Données projet'!$B$9,Paramètres!$A$1:$I$89,3,0)*VLOOKUP('Données projet'!$B$9,Paramètres!$A$1:$I$89,5,0)</f>
        <v>59.496811806647187</v>
      </c>
      <c r="P16" s="14">
        <f t="shared" si="33"/>
        <v>17.040984959039623</v>
      </c>
      <c r="Q16" s="22">
        <f t="shared" si="2"/>
        <v>133.30332936690451</v>
      </c>
      <c r="R16" s="62">
        <f t="shared" si="0"/>
        <v>405.85888492246005</v>
      </c>
      <c r="S16" s="62">
        <f ca="1">AVERAGE(OFFSET($R$3,0,0,'Données projet'!$E$9+1,1))-AVERAGE(OFFSET($H$3,0,0,'Données projet'!$E$9+1,1))</f>
        <v>65.585138535467195</v>
      </c>
      <c r="T16" s="62">
        <f t="shared" si="34"/>
        <v>292.56159092613944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17.133333333333333</v>
      </c>
      <c r="AI16" s="14">
        <f>IF('Données projet'!$A$62&gt;35,AI15+AH16-AQ15,IF(A16&lt;'Données projet'!$A$62,$AF$205^A16,IF(A16='Données projet'!$A$62,'Données projet'!$B$62,AI15+AH16-AQ15)))</f>
        <v>122.63338240301589</v>
      </c>
      <c r="AJ16" s="14">
        <f>AI16*VLOOKUP('Données projet'!$B$10,Paramètres!$A$1:$I$89,3,0)*VLOOKUP('Données projet'!$B$10,Paramètres!$A$1:$I$89,5,0)</f>
        <v>67.340442945144076</v>
      </c>
      <c r="AK16" s="14">
        <f t="shared" si="35"/>
        <v>19.011514312273906</v>
      </c>
      <c r="AL16" s="22">
        <f t="shared" si="4"/>
        <v>150.39632555666967</v>
      </c>
      <c r="AM16" s="62">
        <f t="shared" si="5"/>
        <v>422.95188111222524</v>
      </c>
      <c r="AN16" s="62">
        <f ca="1">AVERAGE(OFFSET($AM$3,0,0,'Données projet'!$E$10+1,1))-AVERAGE(OFFSET($H$3,0,0,'Données projet'!$E$10+1,1))</f>
        <v>72.817281731857122</v>
      </c>
      <c r="AO16" s="62">
        <f t="shared" si="36"/>
        <v>327.78949950303326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17.133333333333333</v>
      </c>
      <c r="N17" s="14">
        <f>IF('Données projet'!$A$36&gt;35,N16+M17-V16,IF(A17&lt;'Données projet'!$A$36,$K$205^A17,IF(A17='Données projet'!$A$36,'Données projet'!$B$36,N16+M17-V16)))</f>
        <v>177.52965745918362</v>
      </c>
      <c r="O17" s="14">
        <f>N17*VLOOKUP('Données projet'!$B$9,Paramètres!$A$1:$I$89,3,0)*VLOOKUP('Données projet'!$B$9,Paramètres!$A$1:$I$89,5,0)</f>
        <v>86.13028861289753</v>
      </c>
      <c r="P17" s="14">
        <f t="shared" si="33"/>
        <v>23.629570092292028</v>
      </c>
      <c r="Q17" s="22">
        <f t="shared" si="2"/>
        <v>191.16508724487178</v>
      </c>
      <c r="R17" s="62">
        <f t="shared" si="0"/>
        <v>464.94286502264958</v>
      </c>
      <c r="S17" s="62">
        <f ca="1">AVERAGE(OFFSET($R$3,0,0,'Données projet'!$E$9+1,1))-AVERAGE(OFFSET($H$3,0,0,'Données projet'!$E$9+1,1))</f>
        <v>65.585138535467195</v>
      </c>
      <c r="T17" s="62">
        <f t="shared" si="34"/>
        <v>292.56159092613944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17.133333333333333</v>
      </c>
      <c r="AI17" s="14">
        <f>IF('Données projet'!$A$62&gt;35,AI16+AH17-AQ16,IF(A17&lt;'Données projet'!$A$62,$AF$205^A17,IF(A17='Données projet'!$A$62,'Données projet'!$B$62,AI16+AH17-AQ16)))</f>
        <v>177.52965745918362</v>
      </c>
      <c r="AJ17" s="14">
        <f>AI17*VLOOKUP('Données projet'!$B$10,Paramètres!$A$1:$I$89,3,0)*VLOOKUP('Données projet'!$B$10,Paramètres!$A$1:$I$89,5,0)</f>
        <v>97.485085503986909</v>
      </c>
      <c r="AK17" s="14">
        <f t="shared" si="35"/>
        <v>26.361968576481072</v>
      </c>
      <c r="AL17" s="22">
        <f t="shared" si="4"/>
        <v>215.70028585681507</v>
      </c>
      <c r="AM17" s="62">
        <f t="shared" si="5"/>
        <v>489.47806363459284</v>
      </c>
      <c r="AN17" s="62">
        <f ca="1">AVERAGE(OFFSET($AM$3,0,0,'Données projet'!$E$10+1,1))-AVERAGE(OFFSET($H$3,0,0,'Données projet'!$E$10+1,1))</f>
        <v>72.817281731857122</v>
      </c>
      <c r="AO17" s="62">
        <f t="shared" si="36"/>
        <v>327.78949950303326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257</v>
      </c>
      <c r="L18" s="13">
        <f>VLOOKUP(A18,'Données projet'!$A$35:$I$55,9,0)</f>
        <v>17.133333333333333</v>
      </c>
      <c r="M18" s="13">
        <f t="array" ref="M18">INDEX(L:L,MIN(IF(ISNUMBER(L18:L214),ROW(L18:L214),"")))</f>
        <v>17.133333333333333</v>
      </c>
      <c r="N18" s="14">
        <f>IF('Données projet'!$A$36&gt;35,N17+M18-V17,IF(A18&lt;'Données projet'!$A$36,$K$205^A18,IF(A18='Données projet'!$A$36,'Données projet'!$B$36,N17+M18-V17)))</f>
        <v>257</v>
      </c>
      <c r="O18" s="14">
        <f>N18*VLOOKUP('Données projet'!$B$9,Paramètres!$A$1:$I$89,3,0)*VLOOKUP('Données projet'!$B$9,Paramètres!$A$1:$I$89,5,0)</f>
        <v>124.68612000000002</v>
      </c>
      <c r="P18" s="14">
        <f t="shared" si="33"/>
        <v>32.765511153764251</v>
      </c>
      <c r="Q18" s="22">
        <f t="shared" si="2"/>
        <v>274.22825759280607</v>
      </c>
      <c r="R18" s="62">
        <f t="shared" si="0"/>
        <v>549.22825759280613</v>
      </c>
      <c r="S18" s="62">
        <f ca="1">AVERAGE(OFFSET($R$3,0,0,'Données projet'!$E$9+1,1))-AVERAGE(OFFSET($H$3,0,0,'Données projet'!$E$9+1,1))</f>
        <v>65.585138535467195</v>
      </c>
      <c r="T18" s="62">
        <f t="shared" si="34"/>
        <v>292.56159092613944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227</v>
      </c>
      <c r="W18" s="17">
        <f>IF(ISNA(VLOOKUP(A18,'Données projet'!$A$35:$I$55,5,0)),0%,VLOOKUP(A18,'Données projet'!$A$35:$I$55,5,0)*VLOOKUP('Données projet'!$B$9,Paramètres!$A$1:$I$89,7,0))</f>
        <v>0.46199999999999997</v>
      </c>
      <c r="X18" s="17">
        <f>IF(ISNA(VLOOKUP(A18,'Données projet'!$A$35:$I$55,6,0)),0%,VLOOKUP(A18,'Données projet'!$A$35:$I$55,6,0)*VLOOKUP('Données projet'!$B$9,Paramètres!$A$1:$I$89,7,0))</f>
        <v>7.1999999999999995E-2</v>
      </c>
      <c r="Y18" s="17">
        <f>IF(ISNA(VLOOKUP(A18,'Données projet'!$A$35:$I$55,7,0)),0%,VLOOKUP(A18,'Données projet'!$A$35:$I$55,7,0))</f>
        <v>0.11</v>
      </c>
      <c r="Z18" s="23">
        <f>EXP(-LN(2)/35)*Z17+(1-EXP(-LN(2)/35))/(LN(2)/35)*V18*W18*VLOOKUP('Données projet'!$B$9,Paramètres!$A$1:$I$89,3,0)*0.475*44/12</f>
        <v>56.247073398915525</v>
      </c>
      <c r="AA18" s="23">
        <f>EXP(-LN(2)/25)*AA17+(1-EXP(-LN(2)/25))/(LN(2)/25)*Calculateur!V18*Calculateur!X18*VLOOKUP('Données projet'!$B$9,Paramètres!$A$1:$I$89,3,0)*0.475*44/12</f>
        <v>8.7312634658382553</v>
      </c>
      <c r="AB18" s="23">
        <f>EXP(-LN(2)/2)*AB17+(1-EXP(-LN(2)/2))/(LN(2)/2)*V18*Y18*VLOOKUP('Données projet'!$B$9,Paramètres!$A$1:$I$89,3,0)*0.475*44/12</f>
        <v>11.430305101712056</v>
      </c>
      <c r="AC18" s="24">
        <f t="shared" si="3"/>
        <v>76.408641966465837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257</v>
      </c>
      <c r="AG18" s="13">
        <f>VLOOKUP(A18,'Données projet'!$A$61:$I$81,9,0)</f>
        <v>17.133333333333333</v>
      </c>
      <c r="AH18" s="13">
        <f t="array" ref="AH18">INDEX(AG:AG,MIN(IF(ISNUMBER(AG18:AG214),ROW(AG18:AG214),"")))</f>
        <v>17.133333333333333</v>
      </c>
      <c r="AI18" s="14">
        <f>IF('Données projet'!$A$62&gt;35,AI17+AH18-AQ17,IF(A18&lt;'Données projet'!$A$62,$AF$205^A18,IF(A18='Données projet'!$A$62,'Données projet'!$B$62,AI17+AH18-AQ17)))</f>
        <v>257</v>
      </c>
      <c r="AJ18" s="14">
        <f>AI18*VLOOKUP('Données projet'!$B$10,Paramètres!$A$1:$I$89,3,0)*VLOOKUP('Données projet'!$B$10,Paramètres!$A$1:$I$89,5,0)</f>
        <v>141.12384</v>
      </c>
      <c r="AK18" s="14">
        <f t="shared" si="35"/>
        <v>36.554341532842088</v>
      </c>
      <c r="AL18" s="22">
        <f t="shared" si="4"/>
        <v>309.45616616969994</v>
      </c>
      <c r="AM18" s="62">
        <f t="shared" si="5"/>
        <v>584.45616616969994</v>
      </c>
      <c r="AN18" s="62">
        <f ca="1">AVERAGE(OFFSET($AM$3,0,0,'Données projet'!$E$10+1,1))-AVERAGE(OFFSET($H$3,0,0,'Données projet'!$E$10+1,1))</f>
        <v>72.817281731857122</v>
      </c>
      <c r="AO18" s="62">
        <f t="shared" si="36"/>
        <v>327.78949950303326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227</v>
      </c>
      <c r="AR18" s="17">
        <f>IF(ISNA(VLOOKUP(A18,'Données projet'!$A$61:$I$81,5,0)),0%,VLOOKUP(A18,'Données projet'!$A$61:$I$81,5,0)*VLOOKUP('Données projet'!$B$10,Paramètres!$A$1:$I$89,7,0))</f>
        <v>0.46199999999999997</v>
      </c>
      <c r="AS18" s="17">
        <f>IF(ISNA(VLOOKUP(A18,'Données projet'!$A$61:$I$81,6,0)),0%,VLOOKUP(A18,'Données projet'!$A$61:$I$81,6,0)*VLOOKUP('Données projet'!$B$10,Paramètres!$A$1:$I$89,7,0))</f>
        <v>7.1999999999999995E-2</v>
      </c>
      <c r="AT18" s="17">
        <f>IF(ISNA(VLOOKUP(A18,'Données projet'!$A$61:$I$81,7,0)),0%,VLOOKUP(A18,'Données projet'!$A$61:$I$81,7,0))</f>
        <v>0.11</v>
      </c>
      <c r="AU18" s="23">
        <f>EXP(-LN(2)/35)*AU17+(1-EXP(-LN(2)/35))/(LN(2)/35)*AQ18*AR18*VLOOKUP('Données projet'!$B$10,Paramètres!$A$1:$I$89,3,0)*0.475*44/12</f>
        <v>63.662282432213082</v>
      </c>
      <c r="AV18" s="23">
        <f>EXP(-LN(2)/25)*AV17+(1-EXP(-LN(2)/25))/(LN(2)/25)*Calculateur!AQ18*Calculateur!AS18*VLOOKUP('Données projet'!$B$10,Paramètres!$A$1:$I$89,3,0)*0.475*44/12</f>
        <v>9.8823303536175739</v>
      </c>
      <c r="AW18" s="23">
        <f>EXP(-LN(2)/2)*AW17+(1-EXP(-LN(2)/2))/(LN(2)/2)*AQ18*AT18*VLOOKUP('Données projet'!$B$10,Paramètres!$A$1:$I$89,3,0)*0.475*44/12</f>
        <v>12.937194198722326</v>
      </c>
      <c r="AX18" s="23">
        <f t="shared" si="6"/>
        <v>86.481806984552975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30</v>
      </c>
      <c r="O19" s="14">
        <f>N19*VLOOKUP('Données projet'!$B$9,Paramètres!$A$1:$I$89,3,0)*VLOOKUP('Données projet'!$B$9,Paramètres!$A$1:$I$89,5,0)</f>
        <v>14.5548</v>
      </c>
      <c r="P19" s="14">
        <f t="shared" si="33"/>
        <v>4.9111633609399075</v>
      </c>
      <c r="Q19" s="22">
        <f t="shared" si="2"/>
        <v>33.903219520303679</v>
      </c>
      <c r="R19" s="62">
        <f t="shared" si="0"/>
        <v>310.12544174252594</v>
      </c>
      <c r="S19" s="62">
        <f ca="1">AVERAGE(OFFSET($R$3,0,0,'Données projet'!$E$9+1,1))-AVERAGE(OFFSET($H$3,0,0,'Données projet'!$E$9+1,1))</f>
        <v>65.585138535467195</v>
      </c>
      <c r="T19" s="62">
        <f t="shared" si="34"/>
        <v>292.56159092613944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55.144102596890001</v>
      </c>
      <c r="AA19" s="23">
        <f>EXP(-LN(2)/25)*AA18+(1-EXP(-LN(2)/25))/(LN(2)/25)*Calculateur!V19*Calculateur!X19*VLOOKUP('Données projet'!$B$9,Paramètres!$A$1:$I$89,3,0)*0.475*44/12</f>
        <v>8.4925066072077176</v>
      </c>
      <c r="AB19" s="23">
        <f>EXP(-LN(2)/2)*AB18+(1-EXP(-LN(2)/2))/(LN(2)/2)*V19*Y19*VLOOKUP('Données projet'!$B$9,Paramètres!$A$1:$I$89,3,0)*0.475*44/12</f>
        <v>8.0824462484517845</v>
      </c>
      <c r="AC19" s="24">
        <f t="shared" si="3"/>
        <v>71.719055452549497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30</v>
      </c>
      <c r="AJ19" s="14">
        <f>AI19*VLOOKUP('Données projet'!$B$10,Paramètres!$A$1:$I$89,3,0)*VLOOKUP('Données projet'!$B$10,Paramètres!$A$1:$I$89,5,0)</f>
        <v>16.473599999999998</v>
      </c>
      <c r="AK19" s="14">
        <f t="shared" si="35"/>
        <v>5.479064311766531</v>
      </c>
      <c r="AL19" s="22">
        <f t="shared" si="4"/>
        <v>38.2342236763267</v>
      </c>
      <c r="AM19" s="62">
        <f t="shared" si="5"/>
        <v>314.45644589854891</v>
      </c>
      <c r="AN19" s="62">
        <f ca="1">AVERAGE(OFFSET($AM$3,0,0,'Données projet'!$E$10+1,1))-AVERAGE(OFFSET($H$3,0,0,'Données projet'!$E$10+1,1))</f>
        <v>72.817281731857122</v>
      </c>
      <c r="AO19" s="62">
        <f t="shared" si="36"/>
        <v>327.78949950303326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62.413903903875507</v>
      </c>
      <c r="AV19" s="23">
        <f>EXP(-LN(2)/25)*AV18+(1-EXP(-LN(2)/25))/(LN(2)/25)*Calculateur!AQ19*Calculateur!AS19*VLOOKUP('Données projet'!$B$10,Paramètres!$A$1:$I$89,3,0)*0.475*44/12</f>
        <v>9.6120975104087343</v>
      </c>
      <c r="AW19" s="23">
        <f>EXP(-LN(2)/2)*AW18+(1-EXP(-LN(2)/2))/(LN(2)/2)*AQ19*AT19*VLOOKUP('Données projet'!$B$10,Paramètres!$A$1:$I$89,3,0)*0.475*44/12</f>
        <v>9.1479777474438198</v>
      </c>
      <c r="AX19" s="23">
        <f t="shared" si="6"/>
        <v>81.173979161728056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30</v>
      </c>
      <c r="O20" s="14">
        <f>N20*VLOOKUP('Données projet'!$B$9,Paramètres!$A$1:$I$89,3,0)*VLOOKUP('Données projet'!$B$9,Paramètres!$A$1:$I$89,5,0)</f>
        <v>14.5548</v>
      </c>
      <c r="P20" s="14">
        <f t="shared" si="33"/>
        <v>4.9111633609399075</v>
      </c>
      <c r="Q20" s="22">
        <f t="shared" si="2"/>
        <v>33.903219520303679</v>
      </c>
      <c r="R20" s="62">
        <f t="shared" si="0"/>
        <v>311.34766396474811</v>
      </c>
      <c r="S20" s="62">
        <f ca="1">AVERAGE(OFFSET($R$3,0,0,'Données projet'!$E$9+1,1))-AVERAGE(OFFSET($H$3,0,0,'Données projet'!$E$9+1,1))</f>
        <v>65.585138535467195</v>
      </c>
      <c r="T20" s="62">
        <f t="shared" si="34"/>
        <v>292.56159092613944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54.062760379546432</v>
      </c>
      <c r="AA20" s="23">
        <f>EXP(-LN(2)/25)*AA19+(1-EXP(-LN(2)/25))/(LN(2)/25)*Calculateur!V20*Calculateur!X20*VLOOKUP('Données projet'!$B$9,Paramètres!$A$1:$I$89,3,0)*0.475*44/12</f>
        <v>8.2602785674321098</v>
      </c>
      <c r="AB20" s="23">
        <f>EXP(-LN(2)/2)*AB19+(1-EXP(-LN(2)/2))/(LN(2)/2)*V20*Y20*VLOOKUP('Données projet'!$B$9,Paramètres!$A$1:$I$89,3,0)*0.475*44/12</f>
        <v>5.7151525508560281</v>
      </c>
      <c r="AC20" s="24">
        <f t="shared" si="3"/>
        <v>68.038191497834575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30</v>
      </c>
      <c r="AJ20" s="14">
        <f>AI20*VLOOKUP('Données projet'!$B$10,Paramètres!$A$1:$I$89,3,0)*VLOOKUP('Données projet'!$B$10,Paramètres!$A$1:$I$89,5,0)</f>
        <v>16.473599999999998</v>
      </c>
      <c r="AK20" s="14">
        <f t="shared" si="35"/>
        <v>5.479064311766531</v>
      </c>
      <c r="AL20" s="22">
        <f t="shared" si="4"/>
        <v>38.2342236763267</v>
      </c>
      <c r="AM20" s="62">
        <f t="shared" si="5"/>
        <v>315.67866812077114</v>
      </c>
      <c r="AN20" s="62">
        <f ca="1">AVERAGE(OFFSET($AM$3,0,0,'Données projet'!$E$10+1,1))-AVERAGE(OFFSET($H$3,0,0,'Données projet'!$E$10+1,1))</f>
        <v>72.817281731857122</v>
      </c>
      <c r="AO20" s="62">
        <f t="shared" si="36"/>
        <v>327.78949950303326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61.190005317042917</v>
      </c>
      <c r="AV20" s="23">
        <f>EXP(-LN(2)/25)*AV19+(1-EXP(-LN(2)/25))/(LN(2)/25)*Calculateur!AQ20*Calculateur!AS20*VLOOKUP('Données projet'!$B$10,Paramètres!$A$1:$I$89,3,0)*0.475*44/12</f>
        <v>9.3492541985083673</v>
      </c>
      <c r="AW20" s="23">
        <f>EXP(-LN(2)/2)*AW19+(1-EXP(-LN(2)/2))/(LN(2)/2)*AQ20*AT20*VLOOKUP('Données projet'!$B$10,Paramètres!$A$1:$I$89,3,0)*0.475*44/12</f>
        <v>6.4685970993611637</v>
      </c>
      <c r="AX20" s="23">
        <f t="shared" si="6"/>
        <v>77.007856614912441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30</v>
      </c>
      <c r="O21" s="14">
        <f>N21*VLOOKUP('Données projet'!$B$9,Paramètres!$A$1:$I$89,3,0)*VLOOKUP('Données projet'!$B$9,Paramètres!$A$1:$I$89,5,0)</f>
        <v>14.5548</v>
      </c>
      <c r="P21" s="14">
        <f t="shared" si="33"/>
        <v>4.9111633609399075</v>
      </c>
      <c r="Q21" s="22">
        <f t="shared" si="2"/>
        <v>33.903219520303679</v>
      </c>
      <c r="R21" s="62">
        <f t="shared" si="0"/>
        <v>312.56988618697039</v>
      </c>
      <c r="S21" s="62">
        <f ca="1">AVERAGE(OFFSET($R$3,0,0,'Données projet'!$E$9+1,1))-AVERAGE(OFFSET($H$3,0,0,'Données projet'!$E$9+1,1))</f>
        <v>65.585138535467195</v>
      </c>
      <c r="T21" s="62">
        <f t="shared" si="34"/>
        <v>292.56159092613944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53.002622623531344</v>
      </c>
      <c r="AA21" s="23">
        <f>EXP(-LN(2)/25)*AA20+(1-EXP(-LN(2)/25))/(LN(2)/25)*Calculateur!V21*Calculateur!X21*VLOOKUP('Données projet'!$B$9,Paramètres!$A$1:$I$89,3,0)*0.475*44/12</f>
        <v>8.0344008156165074</v>
      </c>
      <c r="AB21" s="23">
        <f>EXP(-LN(2)/2)*AB20+(1-EXP(-LN(2)/2))/(LN(2)/2)*V21*Y21*VLOOKUP('Données projet'!$B$9,Paramètres!$A$1:$I$89,3,0)*0.475*44/12</f>
        <v>4.0412231242258922</v>
      </c>
      <c r="AC21" s="24">
        <f t="shared" si="3"/>
        <v>65.078246563373739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30</v>
      </c>
      <c r="AJ21" s="14">
        <f>AI21*VLOOKUP('Données projet'!$B$10,Paramètres!$A$1:$I$89,3,0)*VLOOKUP('Données projet'!$B$10,Paramètres!$A$1:$I$89,5,0)</f>
        <v>16.473599999999998</v>
      </c>
      <c r="AK21" s="14">
        <f t="shared" si="35"/>
        <v>5.479064311766531</v>
      </c>
      <c r="AL21" s="22">
        <f t="shared" si="4"/>
        <v>38.2342236763267</v>
      </c>
      <c r="AM21" s="62">
        <f t="shared" si="5"/>
        <v>316.90089034299336</v>
      </c>
      <c r="AN21" s="62">
        <f ca="1">AVERAGE(OFFSET($AM$3,0,0,'Données projet'!$E$10+1,1))-AVERAGE(OFFSET($H$3,0,0,'Données projet'!$E$10+1,1))</f>
        <v>72.817281731857122</v>
      </c>
      <c r="AO21" s="62">
        <f t="shared" si="36"/>
        <v>327.78949950303326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59.990106634993687</v>
      </c>
      <c r="AV21" s="23">
        <f>EXP(-LN(2)/25)*AV20+(1-EXP(-LN(2)/25))/(LN(2)/25)*Calculateur!AQ21*Calculateur!AS21*VLOOKUP('Données projet'!$B$10,Paramètres!$A$1:$I$89,3,0)*0.475*44/12</f>
        <v>9.0935983507942453</v>
      </c>
      <c r="AW21" s="23">
        <f>EXP(-LN(2)/2)*AW20+(1-EXP(-LN(2)/2))/(LN(2)/2)*AQ21*AT21*VLOOKUP('Données projet'!$B$10,Paramètres!$A$1:$I$89,3,0)*0.475*44/12</f>
        <v>4.5739888737219108</v>
      </c>
      <c r="AX21" s="23">
        <f t="shared" si="6"/>
        <v>73.657693859509848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30</v>
      </c>
      <c r="O22" s="14">
        <f>N22*VLOOKUP('Données projet'!$B$9,Paramètres!$A$1:$I$89,3,0)*VLOOKUP('Données projet'!$B$9,Paramètres!$A$1:$I$89,5,0)</f>
        <v>14.5548</v>
      </c>
      <c r="P22" s="14">
        <f t="shared" si="33"/>
        <v>4.9111633609399075</v>
      </c>
      <c r="Q22" s="22">
        <f t="shared" si="2"/>
        <v>33.903219520303679</v>
      </c>
      <c r="R22" s="62">
        <f t="shared" si="0"/>
        <v>313.79210840919256</v>
      </c>
      <c r="S22" s="62">
        <f ca="1">AVERAGE(OFFSET($R$3,0,0,'Données projet'!$E$9+1,1))-AVERAGE(OFFSET($H$3,0,0,'Données projet'!$E$9+1,1))</f>
        <v>65.585138535467195</v>
      </c>
      <c r="T22" s="62">
        <f t="shared" si="34"/>
        <v>292.56159092613944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51.96327352229153</v>
      </c>
      <c r="AA22" s="23">
        <f>EXP(-LN(2)/25)*AA21+(1-EXP(-LN(2)/25))/(LN(2)/25)*Calculateur!V22*Calculateur!X22*VLOOKUP('Données projet'!$B$9,Paramètres!$A$1:$I$89,3,0)*0.475*44/12</f>
        <v>7.8146997028026979</v>
      </c>
      <c r="AB22" s="23">
        <f>EXP(-LN(2)/2)*AB21+(1-EXP(-LN(2)/2))/(LN(2)/2)*V22*Y22*VLOOKUP('Données projet'!$B$9,Paramètres!$A$1:$I$89,3,0)*0.475*44/12</f>
        <v>2.8575762754280141</v>
      </c>
      <c r="AC22" s="24">
        <f t="shared" si="3"/>
        <v>62.635549500522245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30</v>
      </c>
      <c r="AJ22" s="14">
        <f>AI22*VLOOKUP('Données projet'!$B$10,Paramètres!$A$1:$I$89,3,0)*VLOOKUP('Données projet'!$B$10,Paramètres!$A$1:$I$89,5,0)</f>
        <v>16.473599999999998</v>
      </c>
      <c r="AK22" s="14">
        <f t="shared" si="35"/>
        <v>5.479064311766531</v>
      </c>
      <c r="AL22" s="22">
        <f t="shared" si="4"/>
        <v>38.2342236763267</v>
      </c>
      <c r="AM22" s="62">
        <f t="shared" si="5"/>
        <v>318.12311256521554</v>
      </c>
      <c r="AN22" s="62">
        <f ca="1">AVERAGE(OFFSET($AM$3,0,0,'Données projet'!$E$10+1,1))-AVERAGE(OFFSET($H$3,0,0,'Données projet'!$E$10+1,1))</f>
        <v>72.817281731857122</v>
      </c>
      <c r="AO22" s="62">
        <f t="shared" si="36"/>
        <v>327.78949950303326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58.813737234233514</v>
      </c>
      <c r="AV22" s="23">
        <f>EXP(-LN(2)/25)*AV21+(1-EXP(-LN(2)/25))/(LN(2)/25)*Calculateur!AQ22*Calculateur!AS22*VLOOKUP('Données projet'!$B$10,Paramètres!$A$1:$I$89,3,0)*0.475*44/12</f>
        <v>8.8449334256802228</v>
      </c>
      <c r="AW22" s="23">
        <f>EXP(-LN(2)/2)*AW21+(1-EXP(-LN(2)/2))/(LN(2)/2)*AQ22*AT22*VLOOKUP('Données projet'!$B$10,Paramètres!$A$1:$I$89,3,0)*0.475*44/12</f>
        <v>3.2342985496805823</v>
      </c>
      <c r="AX22" s="23">
        <f t="shared" si="6"/>
        <v>70.892969209594327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30</v>
      </c>
      <c r="O23" s="14">
        <f>N23*VLOOKUP('Données projet'!$B$9,Paramètres!$A$1:$I$89,3,0)*VLOOKUP('Données projet'!$B$9,Paramètres!$A$1:$I$89,5,0)</f>
        <v>14.5548</v>
      </c>
      <c r="P23" s="14">
        <f t="shared" si="33"/>
        <v>4.9111633609399075</v>
      </c>
      <c r="Q23" s="22">
        <f t="shared" si="2"/>
        <v>33.903219520303679</v>
      </c>
      <c r="R23" s="62">
        <f t="shared" si="0"/>
        <v>315.01433063141485</v>
      </c>
      <c r="S23" s="62">
        <f ca="1">AVERAGE(OFFSET($R$3,0,0,'Données projet'!$E$9+1,1))-AVERAGE(OFFSET($H$3,0,0,'Données projet'!$E$9+1,1))</f>
        <v>65.585138535467195</v>
      </c>
      <c r="T23" s="62">
        <f t="shared" si="34"/>
        <v>292.56159092613944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50.944305422986673</v>
      </c>
      <c r="AA23" s="23">
        <f>EXP(-LN(2)/25)*AA22+(1-EXP(-LN(2)/25))/(LN(2)/25)*Calculateur!V23*Calculateur!X23*VLOOKUP('Données projet'!$B$9,Paramètres!$A$1:$I$89,3,0)*0.475*44/12</f>
        <v>7.6010063284723612</v>
      </c>
      <c r="AB23" s="23">
        <f>EXP(-LN(2)/2)*AB22+(1-EXP(-LN(2)/2))/(LN(2)/2)*V23*Y23*VLOOKUP('Données projet'!$B$9,Paramètres!$A$1:$I$89,3,0)*0.475*44/12</f>
        <v>2.0206115621129461</v>
      </c>
      <c r="AC23" s="24">
        <f t="shared" si="3"/>
        <v>60.565923313571979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30</v>
      </c>
      <c r="AJ23" s="14">
        <f>AI23*VLOOKUP('Données projet'!$B$10,Paramètres!$A$1:$I$89,3,0)*VLOOKUP('Données projet'!$B$10,Paramètres!$A$1:$I$89,5,0)</f>
        <v>16.473599999999998</v>
      </c>
      <c r="AK23" s="14">
        <f t="shared" si="35"/>
        <v>5.479064311766531</v>
      </c>
      <c r="AL23" s="22">
        <f t="shared" si="4"/>
        <v>38.2342236763267</v>
      </c>
      <c r="AM23" s="62">
        <f t="shared" si="5"/>
        <v>319.34533478743782</v>
      </c>
      <c r="AN23" s="62">
        <f ca="1">AVERAGE(OFFSET($AM$3,0,0,'Données projet'!$E$10+1,1))-AVERAGE(OFFSET($H$3,0,0,'Données projet'!$E$10+1,1))</f>
        <v>72.817281731857122</v>
      </c>
      <c r="AO23" s="62">
        <f t="shared" si="36"/>
        <v>327.78949950303326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57.66043571990776</v>
      </c>
      <c r="AV23" s="23">
        <f>EXP(-LN(2)/25)*AV22+(1-EXP(-LN(2)/25))/(LN(2)/25)*Calculateur!AQ23*Calculateur!AS23*VLOOKUP('Données projet'!$B$10,Paramètres!$A$1:$I$89,3,0)*0.475*44/12</f>
        <v>8.6030682560201637</v>
      </c>
      <c r="AW23" s="23">
        <f>EXP(-LN(2)/2)*AW22+(1-EXP(-LN(2)/2))/(LN(2)/2)*AQ23*AT23*VLOOKUP('Données projet'!$B$10,Paramètres!$A$1:$I$89,3,0)*0.475*44/12</f>
        <v>2.2869944368609558</v>
      </c>
      <c r="AX23" s="23">
        <f t="shared" si="6"/>
        <v>68.550498412788869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30</v>
      </c>
      <c r="O24" s="14">
        <f>N24*VLOOKUP('Données projet'!$B$9,Paramètres!$A$1:$I$89,3,0)*VLOOKUP('Données projet'!$B$9,Paramètres!$A$1:$I$89,5,0)</f>
        <v>14.5548</v>
      </c>
      <c r="P24" s="14">
        <f t="shared" si="33"/>
        <v>4.9111633609399075</v>
      </c>
      <c r="Q24" s="22">
        <f t="shared" si="2"/>
        <v>33.903219520303679</v>
      </c>
      <c r="R24" s="62">
        <f t="shared" si="0"/>
        <v>316.23655285363702</v>
      </c>
      <c r="S24" s="62">
        <f ca="1">AVERAGE(OFFSET($R$3,0,0,'Données projet'!$E$9+1,1))-AVERAGE(OFFSET($H$3,0,0,'Données projet'!$E$9+1,1))</f>
        <v>65.585138535467195</v>
      </c>
      <c r="T24" s="62">
        <f t="shared" si="34"/>
        <v>292.56159092613944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49.945318666600009</v>
      </c>
      <c r="AA24" s="23">
        <f>EXP(-LN(2)/25)*AA23+(1-EXP(-LN(2)/25))/(LN(2)/25)*Calculateur!V24*Calculateur!X24*VLOOKUP('Données projet'!$B$9,Paramètres!$A$1:$I$89,3,0)*0.475*44/12</f>
        <v>7.3931564107007341</v>
      </c>
      <c r="AB24" s="23">
        <f>EXP(-LN(2)/2)*AB23+(1-EXP(-LN(2)/2))/(LN(2)/2)*V24*Y24*VLOOKUP('Données projet'!$B$9,Paramètres!$A$1:$I$89,3,0)*0.475*44/12</f>
        <v>1.428788137714007</v>
      </c>
      <c r="AC24" s="24">
        <f t="shared" si="3"/>
        <v>58.767263215014751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30</v>
      </c>
      <c r="AJ24" s="14">
        <f>AI24*VLOOKUP('Données projet'!$B$10,Paramètres!$A$1:$I$89,3,0)*VLOOKUP('Données projet'!$B$10,Paramètres!$A$1:$I$89,5,0)</f>
        <v>16.473599999999998</v>
      </c>
      <c r="AK24" s="14">
        <f t="shared" si="35"/>
        <v>5.479064311766531</v>
      </c>
      <c r="AL24" s="22">
        <f t="shared" si="4"/>
        <v>38.2342236763267</v>
      </c>
      <c r="AM24" s="62">
        <f t="shared" si="5"/>
        <v>320.56755700965999</v>
      </c>
      <c r="AN24" s="62">
        <f ca="1">AVERAGE(OFFSET($AM$3,0,0,'Données projet'!$E$10+1,1))-AVERAGE(OFFSET($H$3,0,0,'Données projet'!$E$10+1,1))</f>
        <v>72.817281731857122</v>
      </c>
      <c r="AO24" s="62">
        <f t="shared" si="36"/>
        <v>327.78949950303326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56.529749744833467</v>
      </c>
      <c r="AV24" s="23">
        <f>EXP(-LN(2)/25)*AV23+(1-EXP(-LN(2)/25))/(LN(2)/25)*Calculateur!AQ24*Calculateur!AS24*VLOOKUP('Données projet'!$B$10,Paramètres!$A$1:$I$89,3,0)*0.475*44/12</f>
        <v>8.3678169021435949</v>
      </c>
      <c r="AW24" s="23">
        <f>EXP(-LN(2)/2)*AW23+(1-EXP(-LN(2)/2))/(LN(2)/2)*AQ24*AT24*VLOOKUP('Données projet'!$B$10,Paramètres!$A$1:$I$89,3,0)*0.475*44/12</f>
        <v>1.6171492748402916</v>
      </c>
      <c r="AX24" s="23">
        <f t="shared" si="6"/>
        <v>66.514715921817341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30</v>
      </c>
      <c r="O25" s="14">
        <f>N25*VLOOKUP('Données projet'!$B$9,Paramètres!$A$1:$I$89,3,0)*VLOOKUP('Données projet'!$B$9,Paramètres!$A$1:$I$89,5,0)</f>
        <v>14.5548</v>
      </c>
      <c r="P25" s="14">
        <f t="shared" si="33"/>
        <v>4.9111633609399075</v>
      </c>
      <c r="Q25" s="22">
        <f t="shared" si="2"/>
        <v>33.903219520303679</v>
      </c>
      <c r="R25" s="62">
        <f t="shared" si="0"/>
        <v>317.45877507585919</v>
      </c>
      <c r="S25" s="62">
        <f ca="1">AVERAGE(OFFSET($R$3,0,0,'Données projet'!$E$9+1,1))-AVERAGE(OFFSET($H$3,0,0,'Données projet'!$E$9+1,1))</f>
        <v>65.585138535467195</v>
      </c>
      <c r="T25" s="62">
        <f t="shared" si="34"/>
        <v>292.56159092613944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48.965921431184334</v>
      </c>
      <c r="AA25" s="23">
        <f>EXP(-LN(2)/25)*AA24+(1-EXP(-LN(2)/25))/(LN(2)/25)*Calculateur!V25*Calculateur!X25*VLOOKUP('Données projet'!$B$9,Paramètres!$A$1:$I$89,3,0)*0.475*44/12</f>
        <v>7.1909901598609238</v>
      </c>
      <c r="AB25" s="23">
        <f>EXP(-LN(2)/2)*AB24+(1-EXP(-LN(2)/2))/(LN(2)/2)*V25*Y25*VLOOKUP('Données projet'!$B$9,Paramètres!$A$1:$I$89,3,0)*0.475*44/12</f>
        <v>1.0103057810564731</v>
      </c>
      <c r="AC25" s="24">
        <f t="shared" si="3"/>
        <v>57.167217372101732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30</v>
      </c>
      <c r="AJ25" s="14">
        <f>AI25*VLOOKUP('Données projet'!$B$10,Paramètres!$A$1:$I$89,3,0)*VLOOKUP('Données projet'!$B$10,Paramètres!$A$1:$I$89,5,0)</f>
        <v>16.473599999999998</v>
      </c>
      <c r="AK25" s="14">
        <f t="shared" si="35"/>
        <v>5.479064311766531</v>
      </c>
      <c r="AL25" s="22">
        <f t="shared" si="4"/>
        <v>38.2342236763267</v>
      </c>
      <c r="AM25" s="62">
        <f t="shared" si="5"/>
        <v>321.78977923188222</v>
      </c>
      <c r="AN25" s="62">
        <f ca="1">AVERAGE(OFFSET($AM$3,0,0,'Données projet'!$E$10+1,1))-AVERAGE(OFFSET($H$3,0,0,'Données projet'!$E$10+1,1))</f>
        <v>72.817281731857122</v>
      </c>
      <c r="AO25" s="62">
        <f t="shared" si="36"/>
        <v>327.78949950303326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55.421235832080036</v>
      </c>
      <c r="AV25" s="23">
        <f>EXP(-LN(2)/25)*AV24+(1-EXP(-LN(2)/25))/(LN(2)/25)*Calculateur!AQ25*Calculateur!AS25*VLOOKUP('Données projet'!$B$10,Paramètres!$A$1:$I$89,3,0)*0.475*44/12</f>
        <v>8.1389985089101131</v>
      </c>
      <c r="AW25" s="23">
        <f>EXP(-LN(2)/2)*AW24+(1-EXP(-LN(2)/2))/(LN(2)/2)*AQ25*AT25*VLOOKUP('Données projet'!$B$10,Paramètres!$A$1:$I$89,3,0)*0.475*44/12</f>
        <v>1.1434972184304781</v>
      </c>
      <c r="AX25" s="23">
        <f t="shared" si="6"/>
        <v>64.703731559420632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30</v>
      </c>
      <c r="O26" s="14">
        <f>N26*VLOOKUP('Données projet'!$B$9,Paramètres!$A$1:$I$89,3,0)*VLOOKUP('Données projet'!$B$9,Paramètres!$A$1:$I$89,5,0)</f>
        <v>14.5548</v>
      </c>
      <c r="P26" s="14">
        <f t="shared" si="33"/>
        <v>4.9111633609399075</v>
      </c>
      <c r="Q26" s="22">
        <f t="shared" si="2"/>
        <v>33.903219520303679</v>
      </c>
      <c r="R26" s="62">
        <f t="shared" si="0"/>
        <v>318.68099729808148</v>
      </c>
      <c r="S26" s="62">
        <f ca="1">AVERAGE(OFFSET($R$3,0,0,'Données projet'!$E$9+1,1))-AVERAGE(OFFSET($H$3,0,0,'Données projet'!$E$9+1,1))</f>
        <v>65.585138535467195</v>
      </c>
      <c r="T26" s="62">
        <f t="shared" si="34"/>
        <v>292.56159092613944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48.005729578181835</v>
      </c>
      <c r="AA26" s="23">
        <f>EXP(-LN(2)/25)*AA25+(1-EXP(-LN(2)/25))/(LN(2)/25)*Calculateur!V26*Calculateur!X26*VLOOKUP('Données projet'!$B$9,Paramètres!$A$1:$I$89,3,0)*0.475*44/12</f>
        <v>6.9943521557817894</v>
      </c>
      <c r="AB26" s="23">
        <f>EXP(-LN(2)/2)*AB25+(1-EXP(-LN(2)/2))/(LN(2)/2)*V26*Y26*VLOOKUP('Données projet'!$B$9,Paramètres!$A$1:$I$89,3,0)*0.475*44/12</f>
        <v>0.71439406885700352</v>
      </c>
      <c r="AC26" s="24">
        <f t="shared" si="3"/>
        <v>55.71447580282063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30</v>
      </c>
      <c r="AJ26" s="14">
        <f>AI26*VLOOKUP('Données projet'!$B$10,Paramètres!$A$1:$I$89,3,0)*VLOOKUP('Données projet'!$B$10,Paramètres!$A$1:$I$89,5,0)</f>
        <v>16.473599999999998</v>
      </c>
      <c r="AK26" s="14">
        <f t="shared" si="35"/>
        <v>5.479064311766531</v>
      </c>
      <c r="AL26" s="22">
        <f t="shared" si="4"/>
        <v>38.2342236763267</v>
      </c>
      <c r="AM26" s="62">
        <f t="shared" si="5"/>
        <v>323.01200145410445</v>
      </c>
      <c r="AN26" s="62">
        <f ca="1">AVERAGE(OFFSET($AM$3,0,0,'Données projet'!$E$10+1,1))-AVERAGE(OFFSET($H$3,0,0,'Données projet'!$E$10+1,1))</f>
        <v>72.817281731857122</v>
      </c>
      <c r="AO26" s="62">
        <f t="shared" si="36"/>
        <v>327.78949950303326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54.334459201028977</v>
      </c>
      <c r="AV26" s="23">
        <f>EXP(-LN(2)/25)*AV25+(1-EXP(-LN(2)/25))/(LN(2)/25)*Calculateur!AQ26*Calculateur!AS26*VLOOKUP('Données projet'!$B$10,Paramètres!$A$1:$I$89,3,0)*0.475*44/12</f>
        <v>7.9164371666726367</v>
      </c>
      <c r="AW26" s="23">
        <f>EXP(-LN(2)/2)*AW25+(1-EXP(-LN(2)/2))/(LN(2)/2)*AQ26*AT26*VLOOKUP('Données projet'!$B$10,Paramètres!$A$1:$I$89,3,0)*0.475*44/12</f>
        <v>0.8085746374201459</v>
      </c>
      <c r="AX26" s="23">
        <f t="shared" si="6"/>
        <v>63.059471005121758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30</v>
      </c>
      <c r="O27" s="14">
        <f>N27*VLOOKUP('Données projet'!$B$9,Paramètres!$A$1:$I$89,3,0)*VLOOKUP('Données projet'!$B$9,Paramètres!$A$1:$I$89,5,0)</f>
        <v>14.5548</v>
      </c>
      <c r="P27" s="14">
        <f t="shared" si="33"/>
        <v>4.9111633609399075</v>
      </c>
      <c r="Q27" s="22">
        <f t="shared" si="2"/>
        <v>33.903219520303679</v>
      </c>
      <c r="R27" s="62">
        <f t="shared" si="0"/>
        <v>319.90321952030365</v>
      </c>
      <c r="S27" s="62">
        <f ca="1">AVERAGE(OFFSET($R$3,0,0,'Données projet'!$E$9+1,1))-AVERAGE(OFFSET($H$3,0,0,'Données projet'!$E$9+1,1))</f>
        <v>65.585138535467195</v>
      </c>
      <c r="T27" s="62">
        <f t="shared" si="34"/>
        <v>292.56159092613944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47.064366501757512</v>
      </c>
      <c r="AA27" s="23">
        <f>EXP(-LN(2)/25)*AA26+(1-EXP(-LN(2)/25))/(LN(2)/25)*Calculateur!V27*Calculateur!X27*VLOOKUP('Données projet'!$B$9,Paramètres!$A$1:$I$89,3,0)*0.475*44/12</f>
        <v>6.8030912282649423</v>
      </c>
      <c r="AB27" s="23">
        <f>EXP(-LN(2)/2)*AB26+(1-EXP(-LN(2)/2))/(LN(2)/2)*V27*Y27*VLOOKUP('Données projet'!$B$9,Paramètres!$A$1:$I$89,3,0)*0.475*44/12</f>
        <v>0.50515289052823653</v>
      </c>
      <c r="AC27" s="24">
        <f t="shared" si="3"/>
        <v>54.372610620550688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30</v>
      </c>
      <c r="AJ27" s="14">
        <f>AI27*VLOOKUP('Données projet'!$B$10,Paramètres!$A$1:$I$89,3,0)*VLOOKUP('Données projet'!$B$10,Paramètres!$A$1:$I$89,5,0)</f>
        <v>16.473599999999998</v>
      </c>
      <c r="AK27" s="14">
        <f t="shared" si="35"/>
        <v>5.479064311766531</v>
      </c>
      <c r="AL27" s="22">
        <f t="shared" si="4"/>
        <v>38.2342236763267</v>
      </c>
      <c r="AM27" s="62">
        <f t="shared" si="5"/>
        <v>324.23422367632668</v>
      </c>
      <c r="AN27" s="62">
        <f ca="1">AVERAGE(OFFSET($AM$3,0,0,'Données projet'!$E$10+1,1))-AVERAGE(OFFSET($H$3,0,0,'Données projet'!$E$10+1,1))</f>
        <v>72.817281731857122</v>
      </c>
      <c r="AO27" s="62">
        <f t="shared" si="36"/>
        <v>327.78949950303326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53.268993596844531</v>
      </c>
      <c r="AV27" s="23">
        <f>EXP(-LN(2)/25)*AV26+(1-EXP(-LN(2)/25))/(LN(2)/25)*Calculateur!AQ27*Calculateur!AS27*VLOOKUP('Données projet'!$B$10,Paramètres!$A$1:$I$89,3,0)*0.475*44/12</f>
        <v>7.6999617760426364</v>
      </c>
      <c r="AW27" s="23">
        <f>EXP(-LN(2)/2)*AW26+(1-EXP(-LN(2)/2))/(LN(2)/2)*AQ27*AT27*VLOOKUP('Données projet'!$B$10,Paramètres!$A$1:$I$89,3,0)*0.475*44/12</f>
        <v>0.57174860921523918</v>
      </c>
      <c r="AX27" s="23">
        <f t="shared" si="6"/>
        <v>61.540703982102407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14.5548</v>
      </c>
      <c r="P28" s="14">
        <f t="shared" si="33"/>
        <v>4.9111633609399075</v>
      </c>
      <c r="Q28" s="22">
        <f t="shared" si="2"/>
        <v>33.903219520303679</v>
      </c>
      <c r="R28" s="62">
        <f t="shared" si="0"/>
        <v>321.12544174252594</v>
      </c>
      <c r="S28" s="62">
        <f ca="1">AVERAGE(OFFSET($R$3,0,0,'Données projet'!$E$9+1,1))-AVERAGE(OFFSET($H$3,0,0,'Données projet'!$E$9+1,1))</f>
        <v>65.585138535467195</v>
      </c>
      <c r="T28" s="62">
        <f t="shared" si="34"/>
        <v>292.56159092613944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46.141462981087088</v>
      </c>
      <c r="AA28" s="23">
        <f>EXP(-LN(2)/25)*AA27+(1-EXP(-LN(2)/25))/(LN(2)/25)*Calculateur!V28*Calculateur!X28*VLOOKUP('Données projet'!$B$9,Paramètres!$A$1:$I$89,3,0)*0.475*44/12</f>
        <v>6.6170603408690187</v>
      </c>
      <c r="AB28" s="23">
        <f>EXP(-LN(2)/2)*AB27+(1-EXP(-LN(2)/2))/(LN(2)/2)*V28*Y28*VLOOKUP('Données projet'!$B$9,Paramètres!$A$1:$I$89,3,0)*0.475*44/12</f>
        <v>0.35719703442850176</v>
      </c>
      <c r="AC28" s="24">
        <f t="shared" si="3"/>
        <v>53.115720356384607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16.473599999999998</v>
      </c>
      <c r="AK28" s="14">
        <f t="shared" si="35"/>
        <v>5.479064311766531</v>
      </c>
      <c r="AL28" s="22">
        <f t="shared" si="4"/>
        <v>38.2342236763267</v>
      </c>
      <c r="AM28" s="62">
        <f t="shared" si="5"/>
        <v>325.45644589854891</v>
      </c>
      <c r="AN28" s="62">
        <f ca="1">AVERAGE(OFFSET($AM$3,0,0,'Données projet'!$E$10+1,1))-AVERAGE(OFFSET($H$3,0,0,'Données projet'!$E$10+1,1))</f>
        <v>72.817281731857122</v>
      </c>
      <c r="AO28" s="62">
        <f t="shared" si="36"/>
        <v>327.78949950303326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52.224421123288295</v>
      </c>
      <c r="AV28" s="23">
        <f>EXP(-LN(2)/25)*AV27+(1-EXP(-LN(2)/25))/(LN(2)/25)*Calculateur!AQ28*Calculateur!AS28*VLOOKUP('Données projet'!$B$10,Paramètres!$A$1:$I$89,3,0)*0.475*44/12</f>
        <v>7.4894059163533591</v>
      </c>
      <c r="AW28" s="23">
        <f>EXP(-LN(2)/2)*AW27+(1-EXP(-LN(2)/2))/(LN(2)/2)*AQ28*AT28*VLOOKUP('Données projet'!$B$10,Paramètres!$A$1:$I$89,3,0)*0.475*44/12</f>
        <v>0.40428731871007301</v>
      </c>
      <c r="AX28" s="23">
        <f t="shared" si="6"/>
        <v>60.118114358351733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30</v>
      </c>
      <c r="O29" s="14">
        <f>N29*VLOOKUP('Données projet'!$B$9,Paramètres!$A$1:$I$89,3,0)*VLOOKUP('Données projet'!$B$9,Paramètres!$A$1:$I$89,5,0)</f>
        <v>14.5548</v>
      </c>
      <c r="P29" s="14">
        <f t="shared" si="33"/>
        <v>4.9111633609399075</v>
      </c>
      <c r="Q29" s="22">
        <f t="shared" si="2"/>
        <v>33.903219520303679</v>
      </c>
      <c r="R29" s="62">
        <f t="shared" si="0"/>
        <v>322.34766396474811</v>
      </c>
      <c r="S29" s="62">
        <f ca="1">AVERAGE(OFFSET($R$3,0,0,'Données projet'!$E$9+1,1))-AVERAGE(OFFSET($H$3,0,0,'Données projet'!$E$9+1,1))</f>
        <v>65.585138535467195</v>
      </c>
      <c r="T29" s="62">
        <f t="shared" si="34"/>
        <v>292.56159092613944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45.236657035541448</v>
      </c>
      <c r="AA29" s="23">
        <f>EXP(-LN(2)/25)*AA28+(1-EXP(-LN(2)/25))/(LN(2)/25)*Calculateur!V29*Calculateur!X29*VLOOKUP('Données projet'!$B$9,Paramètres!$A$1:$I$89,3,0)*0.475*44/12</f>
        <v>6.4361164778718756</v>
      </c>
      <c r="AB29" s="23">
        <f>EXP(-LN(2)/2)*AB28+(1-EXP(-LN(2)/2))/(LN(2)/2)*V29*Y29*VLOOKUP('Données projet'!$B$9,Paramètres!$A$1:$I$89,3,0)*0.475*44/12</f>
        <v>0.25257644526411827</v>
      </c>
      <c r="AC29" s="24">
        <f t="shared" si="3"/>
        <v>51.925349958677444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30</v>
      </c>
      <c r="AJ29" s="14">
        <f>AI29*VLOOKUP('Données projet'!$B$10,Paramètres!$A$1:$I$89,3,0)*VLOOKUP('Données projet'!$B$10,Paramètres!$A$1:$I$89,5,0)</f>
        <v>16.473599999999998</v>
      </c>
      <c r="AK29" s="14">
        <f t="shared" si="35"/>
        <v>5.479064311766531</v>
      </c>
      <c r="AL29" s="22">
        <f t="shared" si="4"/>
        <v>38.2342236763267</v>
      </c>
      <c r="AM29" s="62">
        <f t="shared" si="5"/>
        <v>326.67866812077114</v>
      </c>
      <c r="AN29" s="62">
        <f ca="1">AVERAGE(OFFSET($AM$3,0,0,'Données projet'!$E$10+1,1))-AVERAGE(OFFSET($H$3,0,0,'Données projet'!$E$10+1,1))</f>
        <v>72.817281731857122</v>
      </c>
      <c r="AO29" s="62">
        <f t="shared" si="36"/>
        <v>327.78949950303326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51.200332078812202</v>
      </c>
      <c r="AV29" s="23">
        <f>EXP(-LN(2)/25)*AV28+(1-EXP(-LN(2)/25))/(LN(2)/25)*Calculateur!AQ29*Calculateur!AS29*VLOOKUP('Données projet'!$B$10,Paramètres!$A$1:$I$89,3,0)*0.475*44/12</f>
        <v>7.2846077177199362</v>
      </c>
      <c r="AW29" s="23">
        <f>EXP(-LN(2)/2)*AW28+(1-EXP(-LN(2)/2))/(LN(2)/2)*AQ29*AT29*VLOOKUP('Données projet'!$B$10,Paramètres!$A$1:$I$89,3,0)*0.475*44/12</f>
        <v>0.28587430460761959</v>
      </c>
      <c r="AX29" s="23">
        <f t="shared" si="6"/>
        <v>58.770814101139756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30</v>
      </c>
      <c r="O30" s="14">
        <f>N30*VLOOKUP('Données projet'!$B$9,Paramètres!$A$1:$I$89,3,0)*VLOOKUP('Données projet'!$B$9,Paramètres!$A$1:$I$89,5,0)</f>
        <v>14.5548</v>
      </c>
      <c r="P30" s="14">
        <f t="shared" si="33"/>
        <v>4.9111633609399075</v>
      </c>
      <c r="Q30" s="22">
        <f t="shared" si="2"/>
        <v>33.903219520303679</v>
      </c>
      <c r="R30" s="62">
        <f t="shared" si="0"/>
        <v>323.56988618697039</v>
      </c>
      <c r="S30" s="62">
        <f ca="1">AVERAGE(OFFSET($R$3,0,0,'Données projet'!$E$9+1,1))-AVERAGE(OFFSET($H$3,0,0,'Données projet'!$E$9+1,1))</f>
        <v>65.585138535467195</v>
      </c>
      <c r="T30" s="62">
        <f t="shared" si="34"/>
        <v>292.56159092613944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44.349593782710826</v>
      </c>
      <c r="AA30" s="23">
        <f>EXP(-LN(2)/25)*AA29+(1-EXP(-LN(2)/25))/(LN(2)/25)*Calculateur!V30*Calculateur!X30*VLOOKUP('Données projet'!$B$9,Paramètres!$A$1:$I$89,3,0)*0.475*44/12</f>
        <v>6.2601205343238133</v>
      </c>
      <c r="AB30" s="23">
        <f>EXP(-LN(2)/2)*AB29+(1-EXP(-LN(2)/2))/(LN(2)/2)*V30*Y30*VLOOKUP('Données projet'!$B$9,Paramètres!$A$1:$I$89,3,0)*0.475*44/12</f>
        <v>0.17859851721425088</v>
      </c>
      <c r="AC30" s="24">
        <f t="shared" si="3"/>
        <v>50.788312834248885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30</v>
      </c>
      <c r="AJ30" s="14">
        <f>AI30*VLOOKUP('Données projet'!$B$10,Paramètres!$A$1:$I$89,3,0)*VLOOKUP('Données projet'!$B$10,Paramètres!$A$1:$I$89,5,0)</f>
        <v>16.473599999999998</v>
      </c>
      <c r="AK30" s="14">
        <f t="shared" si="35"/>
        <v>5.479064311766531</v>
      </c>
      <c r="AL30" s="22">
        <f t="shared" si="4"/>
        <v>38.2342236763267</v>
      </c>
      <c r="AM30" s="62">
        <f t="shared" si="5"/>
        <v>327.90089034299336</v>
      </c>
      <c r="AN30" s="62">
        <f ca="1">AVERAGE(OFFSET($AM$3,0,0,'Données projet'!$E$10+1,1))-AVERAGE(OFFSET($H$3,0,0,'Données projet'!$E$10+1,1))</f>
        <v>72.817281731857122</v>
      </c>
      <c r="AO30" s="62">
        <f t="shared" si="36"/>
        <v>327.78949950303326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50.196324795865642</v>
      </c>
      <c r="AV30" s="23">
        <f>EXP(-LN(2)/25)*AV29+(1-EXP(-LN(2)/25))/(LN(2)/25)*Calculateur!AQ30*Calculateur!AS30*VLOOKUP('Données projet'!$B$10,Paramètres!$A$1:$I$89,3,0)*0.475*44/12</f>
        <v>7.085409736598014</v>
      </c>
      <c r="AW30" s="23">
        <f>EXP(-LN(2)/2)*AW29+(1-EXP(-LN(2)/2))/(LN(2)/2)*AQ30*AT30*VLOOKUP('Données projet'!$B$10,Paramètres!$A$1:$I$89,3,0)*0.475*44/12</f>
        <v>0.2021436593550365</v>
      </c>
      <c r="AX30" s="23">
        <f t="shared" si="6"/>
        <v>57.483878191818697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30</v>
      </c>
      <c r="O31" s="14">
        <f>N31*VLOOKUP('Données projet'!$B$9,Paramètres!$A$1:$I$89,3,0)*VLOOKUP('Données projet'!$B$9,Paramètres!$A$1:$I$89,5,0)</f>
        <v>14.5548</v>
      </c>
      <c r="P31" s="14">
        <f t="shared" si="33"/>
        <v>4.9111633609399075</v>
      </c>
      <c r="Q31" s="22">
        <f t="shared" si="2"/>
        <v>33.903219520303679</v>
      </c>
      <c r="R31" s="62">
        <f t="shared" si="0"/>
        <v>324.79210840919256</v>
      </c>
      <c r="S31" s="62">
        <f ca="1">AVERAGE(OFFSET($R$3,0,0,'Données projet'!$E$9+1,1))-AVERAGE(OFFSET($H$3,0,0,'Données projet'!$E$9+1,1))</f>
        <v>65.585138535467195</v>
      </c>
      <c r="T31" s="62">
        <f t="shared" si="34"/>
        <v>292.56159092613944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43.47992529921305</v>
      </c>
      <c r="AA31" s="23">
        <f>EXP(-LN(2)/25)*AA30+(1-EXP(-LN(2)/25))/(LN(2)/25)*Calculateur!V31*Calculateur!X31*VLOOKUP('Données projet'!$B$9,Paramètres!$A$1:$I$89,3,0)*0.475*44/12</f>
        <v>6.0889372091072973</v>
      </c>
      <c r="AB31" s="23">
        <f>EXP(-LN(2)/2)*AB30+(1-EXP(-LN(2)/2))/(LN(2)/2)*V31*Y31*VLOOKUP('Données projet'!$B$9,Paramètres!$A$1:$I$89,3,0)*0.475*44/12</f>
        <v>0.12628822263205913</v>
      </c>
      <c r="AC31" s="24">
        <f t="shared" si="3"/>
        <v>49.695150730952406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30</v>
      </c>
      <c r="AJ31" s="14">
        <f>AI31*VLOOKUP('Données projet'!$B$10,Paramètres!$A$1:$I$89,3,0)*VLOOKUP('Données projet'!$B$10,Paramètres!$A$1:$I$89,5,0)</f>
        <v>16.473599999999998</v>
      </c>
      <c r="AK31" s="14">
        <f t="shared" si="35"/>
        <v>5.479064311766531</v>
      </c>
      <c r="AL31" s="22">
        <f t="shared" si="4"/>
        <v>38.2342236763267</v>
      </c>
      <c r="AM31" s="62">
        <f t="shared" si="5"/>
        <v>329.12311256521554</v>
      </c>
      <c r="AN31" s="62">
        <f ca="1">AVERAGE(OFFSET($AM$3,0,0,'Données projet'!$E$10+1,1))-AVERAGE(OFFSET($H$3,0,0,'Données projet'!$E$10+1,1))</f>
        <v>72.817281731857122</v>
      </c>
      <c r="AO31" s="62">
        <f t="shared" si="36"/>
        <v>327.78949950303326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49.212005483353693</v>
      </c>
      <c r="AV31" s="23">
        <f>EXP(-LN(2)/25)*AV30+(1-EXP(-LN(2)/25))/(LN(2)/25)*Calculateur!AQ31*Calculateur!AS31*VLOOKUP('Données projet'!$B$10,Paramètres!$A$1:$I$89,3,0)*0.475*44/12</f>
        <v>6.891658834745237</v>
      </c>
      <c r="AW31" s="23">
        <f>EXP(-LN(2)/2)*AW30+(1-EXP(-LN(2)/2))/(LN(2)/2)*AQ31*AT31*VLOOKUP('Données projet'!$B$10,Paramètres!$A$1:$I$89,3,0)*0.475*44/12</f>
        <v>0.14293715230380979</v>
      </c>
      <c r="AX31" s="23">
        <f t="shared" si="6"/>
        <v>56.246601470402737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30</v>
      </c>
      <c r="O32" s="14">
        <f>N32*VLOOKUP('Données projet'!$B$9,Paramètres!$A$1:$I$89,3,0)*VLOOKUP('Données projet'!$B$9,Paramètres!$A$1:$I$89,5,0)</f>
        <v>14.5548</v>
      </c>
      <c r="P32" s="14">
        <f t="shared" si="33"/>
        <v>4.9111633609399075</v>
      </c>
      <c r="Q32" s="22">
        <f t="shared" si="2"/>
        <v>33.903219520303679</v>
      </c>
      <c r="R32" s="62">
        <f t="shared" si="0"/>
        <v>326.01433063141485</v>
      </c>
      <c r="S32" s="62">
        <f ca="1">AVERAGE(OFFSET($R$3,0,0,'Données projet'!$E$9+1,1))-AVERAGE(OFFSET($H$3,0,0,'Données projet'!$E$9+1,1))</f>
        <v>65.585138535467195</v>
      </c>
      <c r="T32" s="62">
        <f t="shared" si="34"/>
        <v>292.56159092613944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42.627310484231266</v>
      </c>
      <c r="AA32" s="23">
        <f>EXP(-LN(2)/25)*AA31+(1-EXP(-LN(2)/25))/(LN(2)/25)*Calculateur!V32*Calculateur!X32*VLOOKUP('Données projet'!$B$9,Paramètres!$A$1:$I$89,3,0)*0.475*44/12</f>
        <v>5.9224349009209671</v>
      </c>
      <c r="AB32" s="23">
        <f>EXP(-LN(2)/2)*AB31+(1-EXP(-LN(2)/2))/(LN(2)/2)*V32*Y32*VLOOKUP('Données projet'!$B$9,Paramètres!$A$1:$I$89,3,0)*0.475*44/12</f>
        <v>8.929925860712544E-2</v>
      </c>
      <c r="AC32" s="24">
        <f t="shared" si="3"/>
        <v>48.639044643759362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30</v>
      </c>
      <c r="AJ32" s="14">
        <f>AI32*VLOOKUP('Données projet'!$B$10,Paramètres!$A$1:$I$89,3,0)*VLOOKUP('Données projet'!$B$10,Paramètres!$A$1:$I$89,5,0)</f>
        <v>16.473599999999998</v>
      </c>
      <c r="AK32" s="14">
        <f t="shared" si="35"/>
        <v>5.479064311766531</v>
      </c>
      <c r="AL32" s="22">
        <f t="shared" si="4"/>
        <v>38.2342236763267</v>
      </c>
      <c r="AM32" s="62">
        <f t="shared" si="5"/>
        <v>330.34533478743782</v>
      </c>
      <c r="AN32" s="62">
        <f ca="1">AVERAGE(OFFSET($AM$3,0,0,'Données projet'!$E$10+1,1))-AVERAGE(OFFSET($H$3,0,0,'Données projet'!$E$10+1,1))</f>
        <v>72.817281731857122</v>
      </c>
      <c r="AO32" s="62">
        <f t="shared" si="36"/>
        <v>327.78949950303326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48.2469880721846</v>
      </c>
      <c r="AV32" s="23">
        <f>EXP(-LN(2)/25)*AV31+(1-EXP(-LN(2)/25))/(LN(2)/25)*Calculateur!AQ32*Calculateur!AS32*VLOOKUP('Données projet'!$B$10,Paramètres!$A$1:$I$89,3,0)*0.475*44/12</f>
        <v>6.7032060614925415</v>
      </c>
      <c r="AW32" s="23">
        <f>EXP(-LN(2)/2)*AW31+(1-EXP(-LN(2)/2))/(LN(2)/2)*AQ32*AT32*VLOOKUP('Données projet'!$B$10,Paramètres!$A$1:$I$89,3,0)*0.475*44/12</f>
        <v>0.10107182967751825</v>
      </c>
      <c r="AX32" s="23">
        <f t="shared" si="6"/>
        <v>55.051265963354659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30</v>
      </c>
      <c r="O33" s="14">
        <f>N33*VLOOKUP('Données projet'!$B$9,Paramètres!$A$1:$I$89,3,0)*VLOOKUP('Données projet'!$B$9,Paramètres!$A$1:$I$89,5,0)</f>
        <v>14.5548</v>
      </c>
      <c r="P33" s="14">
        <f t="shared" si="33"/>
        <v>4.9111633609399075</v>
      </c>
      <c r="Q33" s="22">
        <f t="shared" si="2"/>
        <v>33.903219520303679</v>
      </c>
      <c r="R33" s="62">
        <f t="shared" si="0"/>
        <v>327.23655285363702</v>
      </c>
      <c r="S33" s="62">
        <f ca="1">AVERAGE(OFFSET($R$3,0,0,'Données projet'!$E$9+1,1))-AVERAGE(OFFSET($H$3,0,0,'Données projet'!$E$9+1,1))</f>
        <v>65.585138535467195</v>
      </c>
      <c r="T33" s="62">
        <f t="shared" si="34"/>
        <v>292.56159092613944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41.791414925727594</v>
      </c>
      <c r="AA33" s="23">
        <f>EXP(-LN(2)/25)*AA32+(1-EXP(-LN(2)/25))/(LN(2)/25)*Calculateur!V33*Calculateur!X33*VLOOKUP('Données projet'!$B$9,Paramètres!$A$1:$I$89,3,0)*0.475*44/12</f>
        <v>5.7604856071079675</v>
      </c>
      <c r="AB33" s="23">
        <f>EXP(-LN(2)/2)*AB32+(1-EXP(-LN(2)/2))/(LN(2)/2)*V33*Y33*VLOOKUP('Données projet'!$B$9,Paramètres!$A$1:$I$89,3,0)*0.475*44/12</f>
        <v>6.3144111316029566E-2</v>
      </c>
      <c r="AC33" s="24">
        <f t="shared" si="3"/>
        <v>47.615044644151588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30</v>
      </c>
      <c r="AJ33" s="14">
        <f>AI33*VLOOKUP('Données projet'!$B$10,Paramètres!$A$1:$I$89,3,0)*VLOOKUP('Données projet'!$B$10,Paramètres!$A$1:$I$89,5,0)</f>
        <v>16.473599999999998</v>
      </c>
      <c r="AK33" s="14">
        <f t="shared" si="35"/>
        <v>5.479064311766531</v>
      </c>
      <c r="AL33" s="22">
        <f t="shared" si="4"/>
        <v>38.2342236763267</v>
      </c>
      <c r="AM33" s="62">
        <f t="shared" si="5"/>
        <v>331.56755700965999</v>
      </c>
      <c r="AN33" s="62">
        <f ca="1">AVERAGE(OFFSET($AM$3,0,0,'Données projet'!$E$10+1,1))-AVERAGE(OFFSET($H$3,0,0,'Données projet'!$E$10+1,1))</f>
        <v>72.817281731857122</v>
      </c>
      <c r="AO33" s="62">
        <f t="shared" si="36"/>
        <v>327.78949950303326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47.300894063846037</v>
      </c>
      <c r="AV33" s="23">
        <f>EXP(-LN(2)/25)*AV32+(1-EXP(-LN(2)/25))/(LN(2)/25)*Calculateur!AQ33*Calculateur!AS33*VLOOKUP('Données projet'!$B$10,Paramètres!$A$1:$I$89,3,0)*0.475*44/12</f>
        <v>6.5199065392347419</v>
      </c>
      <c r="AW33" s="23">
        <f>EXP(-LN(2)/2)*AW32+(1-EXP(-LN(2)/2))/(LN(2)/2)*AQ33*AT33*VLOOKUP('Données projet'!$B$10,Paramètres!$A$1:$I$89,3,0)*0.475*44/12</f>
        <v>7.1468576151904897E-2</v>
      </c>
      <c r="AX33" s="23">
        <f t="shared" si="6"/>
        <v>53.892269179232684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30</v>
      </c>
      <c r="O34" s="14">
        <f>N34*VLOOKUP('Données projet'!$B$9,Paramètres!$A$1:$I$89,3,0)*VLOOKUP('Données projet'!$B$9,Paramètres!$A$1:$I$89,5,0)</f>
        <v>14.5548</v>
      </c>
      <c r="P34" s="14">
        <f t="shared" si="33"/>
        <v>4.9111633609399075</v>
      </c>
      <c r="Q34" s="22">
        <f t="shared" si="2"/>
        <v>33.903219520303679</v>
      </c>
      <c r="R34" s="62">
        <f t="shared" si="0"/>
        <v>327.23655285363702</v>
      </c>
      <c r="S34" s="62">
        <f ca="1">AVERAGE(OFFSET($R$3,0,0,'Données projet'!$E$9+1,1))-AVERAGE(OFFSET($H$3,0,0,'Données projet'!$E$9+1,1))</f>
        <v>65.585138535467195</v>
      </c>
      <c r="T34" s="62">
        <f t="shared" si="34"/>
        <v>292.56159092613944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40.971910769280228</v>
      </c>
      <c r="AA34" s="23">
        <f>EXP(-LN(2)/25)*AA33+(1-EXP(-LN(2)/25))/(LN(2)/25)*Calculateur!V34*Calculateur!X34*VLOOKUP('Données projet'!$B$9,Paramètres!$A$1:$I$89,3,0)*0.475*44/12</f>
        <v>5.6029648252508277</v>
      </c>
      <c r="AB34" s="23">
        <f>EXP(-LN(2)/2)*AB33+(1-EXP(-LN(2)/2))/(LN(2)/2)*V34*Y34*VLOOKUP('Données projet'!$B$9,Paramètres!$A$1:$I$89,3,0)*0.475*44/12</f>
        <v>4.464962930356272E-2</v>
      </c>
      <c r="AC34" s="24">
        <f t="shared" si="3"/>
        <v>46.619525223834621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30</v>
      </c>
      <c r="AJ34" s="14">
        <f>AI34*VLOOKUP('Données projet'!$B$10,Paramètres!$A$1:$I$89,3,0)*VLOOKUP('Données projet'!$B$10,Paramètres!$A$1:$I$89,5,0)</f>
        <v>16.473599999999998</v>
      </c>
      <c r="AK34" s="14">
        <f t="shared" si="35"/>
        <v>5.479064311766531</v>
      </c>
      <c r="AL34" s="22">
        <f t="shared" si="4"/>
        <v>38.2342236763267</v>
      </c>
      <c r="AM34" s="62">
        <f t="shared" si="5"/>
        <v>331.56755700965999</v>
      </c>
      <c r="AN34" s="62">
        <f ca="1">AVERAGE(OFFSET($AM$3,0,0,'Données projet'!$E$10+1,1))-AVERAGE(OFFSET($H$3,0,0,'Données projet'!$E$10+1,1))</f>
        <v>72.817281731857122</v>
      </c>
      <c r="AO34" s="62">
        <f t="shared" si="36"/>
        <v>327.78949950303326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46.373352381950625</v>
      </c>
      <c r="AV34" s="23">
        <f>EXP(-LN(2)/25)*AV33+(1-EXP(-LN(2)/25))/(LN(2)/25)*Calculateur!AQ34*Calculateur!AS34*VLOOKUP('Données projet'!$B$10,Paramètres!$A$1:$I$89,3,0)*0.475*44/12</f>
        <v>6.3416193520523843</v>
      </c>
      <c r="AW34" s="23">
        <f>EXP(-LN(2)/2)*AW33+(1-EXP(-LN(2)/2))/(LN(2)/2)*AQ34*AT34*VLOOKUP('Données projet'!$B$10,Paramètres!$A$1:$I$89,3,0)*0.475*44/12</f>
        <v>5.0535914838759126E-2</v>
      </c>
      <c r="AX34" s="23">
        <f t="shared" si="6"/>
        <v>52.765507648841769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30</v>
      </c>
      <c r="O35" s="14">
        <f>N35*VLOOKUP('Données projet'!$B$9,Paramètres!$A$1:$I$89,3,0)*VLOOKUP('Données projet'!$B$9,Paramètres!$A$1:$I$89,5,0)</f>
        <v>14.5548</v>
      </c>
      <c r="P35" s="14">
        <f t="shared" si="33"/>
        <v>4.9111633609399075</v>
      </c>
      <c r="Q35" s="22">
        <f t="shared" ref="Q35:Q66" si="53">(O35+P35)*0.475*44/12</f>
        <v>33.903219520303679</v>
      </c>
      <c r="R35" s="62">
        <f t="shared" si="0"/>
        <v>327.23655285363702</v>
      </c>
      <c r="S35" s="62">
        <f ca="1">AVERAGE(OFFSET($R$3,0,0,'Données projet'!$E$9+1,1))-AVERAGE(OFFSET($H$3,0,0,'Données projet'!$E$9+1,1))</f>
        <v>65.585138535467195</v>
      </c>
      <c r="T35" s="62">
        <f t="shared" si="34"/>
        <v>292.56159092613944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40.168476589492613</v>
      </c>
      <c r="AA35" s="23">
        <f>EXP(-LN(2)/25)*AA34+(1-EXP(-LN(2)/25))/(LN(2)/25)*Calculateur!V35*Calculateur!X35*VLOOKUP('Données projet'!$B$9,Paramètres!$A$1:$I$89,3,0)*0.475*44/12</f>
        <v>5.4497514574572294</v>
      </c>
      <c r="AB35" s="23">
        <f>EXP(-LN(2)/2)*AB34+(1-EXP(-LN(2)/2))/(LN(2)/2)*V35*Y35*VLOOKUP('Données projet'!$B$9,Paramètres!$A$1:$I$89,3,0)*0.475*44/12</f>
        <v>3.1572055658014783E-2</v>
      </c>
      <c r="AC35" s="24">
        <f t="shared" si="3"/>
        <v>45.649800102607863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30</v>
      </c>
      <c r="AJ35" s="14">
        <f>AI35*VLOOKUP('Données projet'!$B$10,Paramètres!$A$1:$I$89,3,0)*VLOOKUP('Données projet'!$B$10,Paramètres!$A$1:$I$89,5,0)</f>
        <v>16.473599999999998</v>
      </c>
      <c r="AK35" s="14">
        <f t="shared" si="35"/>
        <v>5.479064311766531</v>
      </c>
      <c r="AL35" s="22">
        <f t="shared" si="4"/>
        <v>38.2342236763267</v>
      </c>
      <c r="AM35" s="62">
        <f t="shared" si="5"/>
        <v>331.56755700965999</v>
      </c>
      <c r="AN35" s="62">
        <f ca="1">AVERAGE(OFFSET($AM$3,0,0,'Données projet'!$E$10+1,1))-AVERAGE(OFFSET($H$3,0,0,'Données projet'!$E$10+1,1))</f>
        <v>72.817281731857122</v>
      </c>
      <c r="AO35" s="62">
        <f t="shared" si="36"/>
        <v>327.78949950303326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45.463999226692621</v>
      </c>
      <c r="AV35" s="23">
        <f>EXP(-LN(2)/25)*AV34+(1-EXP(-LN(2)/25))/(LN(2)/25)*Calculateur!AQ35*Calculateur!AS35*VLOOKUP('Données projet'!$B$10,Paramètres!$A$1:$I$89,3,0)*0.475*44/12</f>
        <v>6.1682074373792437</v>
      </c>
      <c r="AW35" s="23">
        <f>EXP(-LN(2)/2)*AW34+(1-EXP(-LN(2)/2))/(LN(2)/2)*AQ35*AT35*VLOOKUP('Données projet'!$B$10,Paramètres!$A$1:$I$89,3,0)*0.475*44/12</f>
        <v>3.5734288075952449E-2</v>
      </c>
      <c r="AX35" s="23">
        <f t="shared" si="6"/>
        <v>51.667940952147816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30</v>
      </c>
      <c r="O36" s="14">
        <f>N36*VLOOKUP('Données projet'!$B$9,Paramètres!$A$1:$I$89,3,0)*VLOOKUP('Données projet'!$B$9,Paramètres!$A$1:$I$89,5,0)</f>
        <v>14.5548</v>
      </c>
      <c r="P36" s="14">
        <f t="shared" si="33"/>
        <v>4.9111633609399075</v>
      </c>
      <c r="Q36" s="22">
        <f t="shared" si="53"/>
        <v>33.903219520303679</v>
      </c>
      <c r="R36" s="62">
        <f t="shared" si="0"/>
        <v>327.23655285363702</v>
      </c>
      <c r="S36" s="62">
        <f ca="1">AVERAGE(OFFSET($R$3,0,0,'Données projet'!$E$9+1,1))-AVERAGE(OFFSET($H$3,0,0,'Données projet'!$E$9+1,1))</f>
        <v>65.585138535467195</v>
      </c>
      <c r="T36" s="62">
        <f t="shared" si="34"/>
        <v>292.56159092613944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39.380797263924173</v>
      </c>
      <c r="AA36" s="23">
        <f>EXP(-LN(2)/25)*AA35+(1-EXP(-LN(2)/25))/(LN(2)/25)*Calculateur!V36*Calculateur!X36*VLOOKUP('Données projet'!$B$9,Paramètres!$A$1:$I$89,3,0)*0.475*44/12</f>
        <v>5.3007277172630882</v>
      </c>
      <c r="AB36" s="23">
        <f>EXP(-LN(2)/2)*AB35+(1-EXP(-LN(2)/2))/(LN(2)/2)*V36*Y36*VLOOKUP('Données projet'!$B$9,Paramètres!$A$1:$I$89,3,0)*0.475*44/12</f>
        <v>2.232481465178136E-2</v>
      </c>
      <c r="AC36" s="24">
        <f t="shared" si="3"/>
        <v>44.703849795839041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30</v>
      </c>
      <c r="AJ36" s="14">
        <f>AI36*VLOOKUP('Données projet'!$B$10,Paramètres!$A$1:$I$89,3,0)*VLOOKUP('Données projet'!$B$10,Paramètres!$A$1:$I$89,5,0)</f>
        <v>16.473599999999998</v>
      </c>
      <c r="AK36" s="14">
        <f t="shared" si="35"/>
        <v>5.479064311766531</v>
      </c>
      <c r="AL36" s="22">
        <f t="shared" si="4"/>
        <v>38.2342236763267</v>
      </c>
      <c r="AM36" s="62">
        <f t="shared" si="5"/>
        <v>331.56755700965999</v>
      </c>
      <c r="AN36" s="62">
        <f ca="1">AVERAGE(OFFSET($AM$3,0,0,'Données projet'!$E$10+1,1))-AVERAGE(OFFSET($H$3,0,0,'Données projet'!$E$10+1,1))</f>
        <v>72.817281731857122</v>
      </c>
      <c r="AO36" s="62">
        <f t="shared" si="36"/>
        <v>327.78949950303326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44.57247793215857</v>
      </c>
      <c r="AV36" s="23">
        <f>EXP(-LN(2)/25)*AV35+(1-EXP(-LN(2)/25))/(LN(2)/25)*Calculateur!AQ36*Calculateur!AS36*VLOOKUP('Données projet'!$B$10,Paramètres!$A$1:$I$89,3,0)*0.475*44/12</f>
        <v>5.9995374806321768</v>
      </c>
      <c r="AW36" s="23">
        <f>EXP(-LN(2)/2)*AW35+(1-EXP(-LN(2)/2))/(LN(2)/2)*AQ36*AT36*VLOOKUP('Données projet'!$B$10,Paramètres!$A$1:$I$89,3,0)*0.475*44/12</f>
        <v>2.5267957419379563E-2</v>
      </c>
      <c r="AX36" s="23">
        <f t="shared" si="6"/>
        <v>50.597283370210128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30</v>
      </c>
      <c r="O37" s="14">
        <f>N37*VLOOKUP('Données projet'!$B$9,Paramètres!$A$1:$I$89,3,0)*VLOOKUP('Données projet'!$B$9,Paramètres!$A$1:$I$89,5,0)</f>
        <v>14.5548</v>
      </c>
      <c r="P37" s="14">
        <f t="shared" si="33"/>
        <v>4.9111633609399075</v>
      </c>
      <c r="Q37" s="22">
        <f t="shared" si="53"/>
        <v>33.903219520303679</v>
      </c>
      <c r="R37" s="62">
        <f t="shared" si="0"/>
        <v>327.23655285363702</v>
      </c>
      <c r="S37" s="62">
        <f ca="1">AVERAGE(OFFSET($R$3,0,0,'Données projet'!$E$9+1,1))-AVERAGE(OFFSET($H$3,0,0,'Données projet'!$E$9+1,1))</f>
        <v>65.585138535467195</v>
      </c>
      <c r="T37" s="62">
        <f t="shared" si="34"/>
        <v>292.56159092613944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38.60856384949318</v>
      </c>
      <c r="AA37" s="23">
        <f>EXP(-LN(2)/25)*AA36+(1-EXP(-LN(2)/25))/(LN(2)/25)*Calculateur!V37*Calculateur!X37*VLOOKUP('Données projet'!$B$9,Paramètres!$A$1:$I$89,3,0)*0.475*44/12</f>
        <v>5.1557790390813736</v>
      </c>
      <c r="AB37" s="23">
        <f>EXP(-LN(2)/2)*AB36+(1-EXP(-LN(2)/2))/(LN(2)/2)*V37*Y37*VLOOKUP('Données projet'!$B$9,Paramètres!$A$1:$I$89,3,0)*0.475*44/12</f>
        <v>1.5786027829007392E-2</v>
      </c>
      <c r="AC37" s="24">
        <f t="shared" si="3"/>
        <v>43.780128916403562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30</v>
      </c>
      <c r="AJ37" s="14">
        <f>AI37*VLOOKUP('Données projet'!$B$10,Paramètres!$A$1:$I$89,3,0)*VLOOKUP('Données projet'!$B$10,Paramètres!$A$1:$I$89,5,0)</f>
        <v>16.473599999999998</v>
      </c>
      <c r="AK37" s="14">
        <f t="shared" si="35"/>
        <v>5.479064311766531</v>
      </c>
      <c r="AL37" s="22">
        <f t="shared" si="4"/>
        <v>38.2342236763267</v>
      </c>
      <c r="AM37" s="62">
        <f t="shared" si="5"/>
        <v>331.56755700965999</v>
      </c>
      <c r="AN37" s="62">
        <f ca="1">AVERAGE(OFFSET($AM$3,0,0,'Données projet'!$E$10+1,1))-AVERAGE(OFFSET($H$3,0,0,'Données projet'!$E$10+1,1))</f>
        <v>72.817281731857122</v>
      </c>
      <c r="AO37" s="62">
        <f t="shared" si="36"/>
        <v>327.78949950303326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43.698438826436032</v>
      </c>
      <c r="AV37" s="23">
        <f>EXP(-LN(2)/25)*AV36+(1-EXP(-LN(2)/25))/(LN(2)/25)*Calculateur!AQ37*Calculateur!AS37*VLOOKUP('Données projet'!$B$10,Paramètres!$A$1:$I$89,3,0)*0.475*44/12</f>
        <v>5.8354798127223262</v>
      </c>
      <c r="AW37" s="23">
        <f>EXP(-LN(2)/2)*AW36+(1-EXP(-LN(2)/2))/(LN(2)/2)*AQ37*AT37*VLOOKUP('Données projet'!$B$10,Paramètres!$A$1:$I$89,3,0)*0.475*44/12</f>
        <v>1.7867144037976224E-2</v>
      </c>
      <c r="AX37" s="23">
        <f t="shared" si="6"/>
        <v>49.551785783196337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30</v>
      </c>
      <c r="O38" s="14">
        <f>N38*VLOOKUP('Données projet'!$B$9,Paramètres!$A$1:$I$89,3,0)*VLOOKUP('Données projet'!$B$9,Paramètres!$A$1:$I$89,5,0)</f>
        <v>14.5548</v>
      </c>
      <c r="P38" s="14">
        <f t="shared" si="33"/>
        <v>4.9111633609399075</v>
      </c>
      <c r="Q38" s="22">
        <f t="shared" si="53"/>
        <v>33.903219520303679</v>
      </c>
      <c r="R38" s="62">
        <f t="shared" si="0"/>
        <v>327.23655285363702</v>
      </c>
      <c r="S38" s="62">
        <f ca="1">AVERAGE(OFFSET($R$3,0,0,'Données projet'!$E$9+1,1))-AVERAGE(OFFSET($H$3,0,0,'Données projet'!$E$9+1,1))</f>
        <v>65.585138535467195</v>
      </c>
      <c r="T38" s="62">
        <f t="shared" si="34"/>
        <v>292.56159092613944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37.851473461303307</v>
      </c>
      <c r="AA38" s="23">
        <f>EXP(-LN(2)/25)*AA37+(1-EXP(-LN(2)/25))/(LN(2)/25)*Calculateur!V38*Calculateur!X38*VLOOKUP('Données projet'!$B$9,Paramètres!$A$1:$I$89,3,0)*0.475*44/12</f>
        <v>5.0147939901270577</v>
      </c>
      <c r="AB38" s="23">
        <f>EXP(-LN(2)/2)*AB37+(1-EXP(-LN(2)/2))/(LN(2)/2)*V38*Y38*VLOOKUP('Données projet'!$B$9,Paramètres!$A$1:$I$89,3,0)*0.475*44/12</f>
        <v>1.116240732589068E-2</v>
      </c>
      <c r="AC38" s="24">
        <f t="shared" si="3"/>
        <v>42.877429858756258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30</v>
      </c>
      <c r="AJ38" s="14">
        <f>AI38*VLOOKUP('Données projet'!$B$10,Paramètres!$A$1:$I$89,3,0)*VLOOKUP('Données projet'!$B$10,Paramètres!$A$1:$I$89,5,0)</f>
        <v>16.473599999999998</v>
      </c>
      <c r="AK38" s="14">
        <f t="shared" si="35"/>
        <v>5.479064311766531</v>
      </c>
      <c r="AL38" s="22">
        <f t="shared" si="4"/>
        <v>38.2342236763267</v>
      </c>
      <c r="AM38" s="62">
        <f t="shared" si="5"/>
        <v>331.56755700965999</v>
      </c>
      <c r="AN38" s="62">
        <f ca="1">AVERAGE(OFFSET($AM$3,0,0,'Données projet'!$E$10+1,1))-AVERAGE(OFFSET($H$3,0,0,'Données projet'!$E$10+1,1))</f>
        <v>72.817281731857122</v>
      </c>
      <c r="AO38" s="62">
        <f t="shared" si="36"/>
        <v>327.78949950303326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42.841539094465496</v>
      </c>
      <c r="AV38" s="23">
        <f>EXP(-LN(2)/25)*AV37+(1-EXP(-LN(2)/25))/(LN(2)/25)*Calculateur!AQ38*Calculateur!AS38*VLOOKUP('Données projet'!$B$10,Paramètres!$A$1:$I$89,3,0)*0.475*44/12</f>
        <v>5.6759083103688877</v>
      </c>
      <c r="AW38" s="23">
        <f>EXP(-LN(2)/2)*AW37+(1-EXP(-LN(2)/2))/(LN(2)/2)*AQ38*AT38*VLOOKUP('Données projet'!$B$10,Paramètres!$A$1:$I$89,3,0)*0.475*44/12</f>
        <v>1.2633978709689781E-2</v>
      </c>
      <c r="AX38" s="23">
        <f t="shared" si="6"/>
        <v>48.530081383544072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30</v>
      </c>
      <c r="O39" s="14">
        <f>N39*VLOOKUP('Données projet'!$B$9,Paramètres!$A$1:$I$89,3,0)*VLOOKUP('Données projet'!$B$9,Paramètres!$A$1:$I$89,5,0)</f>
        <v>14.5548</v>
      </c>
      <c r="P39" s="14">
        <f t="shared" si="33"/>
        <v>4.9111633609399075</v>
      </c>
      <c r="Q39" s="22">
        <f t="shared" si="53"/>
        <v>33.903219520303679</v>
      </c>
      <c r="R39" s="62">
        <f t="shared" si="0"/>
        <v>327.23655285363702</v>
      </c>
      <c r="S39" s="62">
        <f ca="1">AVERAGE(OFFSET($R$3,0,0,'Données projet'!$E$9+1,1))-AVERAGE(OFFSET($H$3,0,0,'Données projet'!$E$9+1,1))</f>
        <v>65.585138535467195</v>
      </c>
      <c r="T39" s="62">
        <f t="shared" si="34"/>
        <v>292.56159092613944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37.1092291538463</v>
      </c>
      <c r="AA39" s="23">
        <f>EXP(-LN(2)/25)*AA38+(1-EXP(-LN(2)/25))/(LN(2)/25)*Calculateur!V39*Calculateur!X39*VLOOKUP('Données projet'!$B$9,Paramètres!$A$1:$I$89,3,0)*0.475*44/12</f>
        <v>4.8776641847504791</v>
      </c>
      <c r="AB39" s="23">
        <f>EXP(-LN(2)/2)*AB38+(1-EXP(-LN(2)/2))/(LN(2)/2)*V39*Y39*VLOOKUP('Données projet'!$B$9,Paramètres!$A$1:$I$89,3,0)*0.475*44/12</f>
        <v>7.8930139145036958E-3</v>
      </c>
      <c r="AC39" s="24">
        <f t="shared" si="3"/>
        <v>41.994786352511284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30</v>
      </c>
      <c r="AJ39" s="14">
        <f>AI39*VLOOKUP('Données projet'!$B$10,Paramètres!$A$1:$I$89,3,0)*VLOOKUP('Données projet'!$B$10,Paramètres!$A$1:$I$89,5,0)</f>
        <v>16.473599999999998</v>
      </c>
      <c r="AK39" s="14">
        <f t="shared" si="35"/>
        <v>5.479064311766531</v>
      </c>
      <c r="AL39" s="22">
        <f t="shared" si="4"/>
        <v>38.2342236763267</v>
      </c>
      <c r="AM39" s="62">
        <f t="shared" si="5"/>
        <v>331.56755700965999</v>
      </c>
      <c r="AN39" s="62">
        <f ca="1">AVERAGE(OFFSET($AM$3,0,0,'Données projet'!$E$10+1,1))-AVERAGE(OFFSET($H$3,0,0,'Données projet'!$E$10+1,1))</f>
        <v>72.817281731857122</v>
      </c>
      <c r="AO39" s="62">
        <f t="shared" si="36"/>
        <v>327.78949950303326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42.001442643581676</v>
      </c>
      <c r="AV39" s="23">
        <f>EXP(-LN(2)/25)*AV38+(1-EXP(-LN(2)/25))/(LN(2)/25)*Calculateur!AQ39*Calculateur!AS39*VLOOKUP('Données projet'!$B$10,Paramètres!$A$1:$I$89,3,0)*0.475*44/12</f>
        <v>5.520700299138805</v>
      </c>
      <c r="AW39" s="23">
        <f>EXP(-LN(2)/2)*AW38+(1-EXP(-LN(2)/2))/(LN(2)/2)*AQ39*AT39*VLOOKUP('Données projet'!$B$10,Paramètres!$A$1:$I$89,3,0)*0.475*44/12</f>
        <v>8.9335720189881122E-3</v>
      </c>
      <c r="AX39" s="23">
        <f t="shared" si="6"/>
        <v>47.531076514739468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30</v>
      </c>
      <c r="O40" s="14">
        <f>N40*VLOOKUP('Données projet'!$B$9,Paramètres!$A$1:$I$89,3,0)*VLOOKUP('Données projet'!$B$9,Paramètres!$A$1:$I$89,5,0)</f>
        <v>14.5548</v>
      </c>
      <c r="P40" s="14">
        <f t="shared" si="33"/>
        <v>4.9111633609399075</v>
      </c>
      <c r="Q40" s="22">
        <f t="shared" si="53"/>
        <v>33.903219520303679</v>
      </c>
      <c r="R40" s="62">
        <f t="shared" si="0"/>
        <v>327.23655285363702</v>
      </c>
      <c r="S40" s="62">
        <f ca="1">AVERAGE(OFFSET($R$3,0,0,'Données projet'!$E$9+1,1))-AVERAGE(OFFSET($H$3,0,0,'Données projet'!$E$9+1,1))</f>
        <v>65.585138535467195</v>
      </c>
      <c r="T40" s="62">
        <f t="shared" si="34"/>
        <v>292.56159092613944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36.381539804534199</v>
      </c>
      <c r="AA40" s="23">
        <f>EXP(-LN(2)/25)*AA39+(1-EXP(-LN(2)/25))/(LN(2)/25)*Calculateur!V40*Calculateur!X40*VLOOKUP('Données projet'!$B$9,Paramètres!$A$1:$I$89,3,0)*0.475*44/12</f>
        <v>4.744284201113266</v>
      </c>
      <c r="AB40" s="23">
        <f>EXP(-LN(2)/2)*AB39+(1-EXP(-LN(2)/2))/(LN(2)/2)*V40*Y40*VLOOKUP('Données projet'!$B$9,Paramètres!$A$1:$I$89,3,0)*0.475*44/12</f>
        <v>5.58120366294534E-3</v>
      </c>
      <c r="AC40" s="24">
        <f t="shared" si="3"/>
        <v>41.131405209310408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30</v>
      </c>
      <c r="AJ40" s="14">
        <f>AI40*VLOOKUP('Données projet'!$B$10,Paramètres!$A$1:$I$89,3,0)*VLOOKUP('Données projet'!$B$10,Paramètres!$A$1:$I$89,5,0)</f>
        <v>16.473599999999998</v>
      </c>
      <c r="AK40" s="14">
        <f t="shared" si="35"/>
        <v>5.479064311766531</v>
      </c>
      <c r="AL40" s="22">
        <f t="shared" si="4"/>
        <v>38.2342236763267</v>
      </c>
      <c r="AM40" s="62">
        <f t="shared" si="5"/>
        <v>331.56755700965999</v>
      </c>
      <c r="AN40" s="62">
        <f ca="1">AVERAGE(OFFSET($AM$3,0,0,'Données projet'!$E$10+1,1))-AVERAGE(OFFSET($H$3,0,0,'Données projet'!$E$10+1,1))</f>
        <v>72.817281731857122</v>
      </c>
      <c r="AO40" s="62">
        <f t="shared" si="36"/>
        <v>327.78949950303326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41.177819971691449</v>
      </c>
      <c r="AV40" s="23">
        <f>EXP(-LN(2)/25)*AV39+(1-EXP(-LN(2)/25))/(LN(2)/25)*Calculateur!AQ40*Calculateur!AS40*VLOOKUP('Données projet'!$B$10,Paramètres!$A$1:$I$89,3,0)*0.475*44/12</f>
        <v>5.3697364591378438</v>
      </c>
      <c r="AW40" s="23">
        <f>EXP(-LN(2)/2)*AW39+(1-EXP(-LN(2)/2))/(LN(2)/2)*AQ40*AT40*VLOOKUP('Données projet'!$B$10,Paramètres!$A$1:$I$89,3,0)*0.475*44/12</f>
        <v>6.3169893548448907E-3</v>
      </c>
      <c r="AX40" s="23">
        <f t="shared" si="6"/>
        <v>46.553873420184132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30</v>
      </c>
      <c r="O41" s="14">
        <f>N41*VLOOKUP('Données projet'!$B$9,Paramètres!$A$1:$I$89,3,0)*VLOOKUP('Données projet'!$B$9,Paramètres!$A$1:$I$89,5,0)</f>
        <v>14.5548</v>
      </c>
      <c r="P41" s="14">
        <f t="shared" si="33"/>
        <v>4.9111633609399075</v>
      </c>
      <c r="Q41" s="22">
        <f t="shared" si="53"/>
        <v>33.903219520303679</v>
      </c>
      <c r="R41" s="62">
        <f t="shared" si="0"/>
        <v>327.23655285363702</v>
      </c>
      <c r="S41" s="62">
        <f ca="1">AVERAGE(OFFSET($R$3,0,0,'Données projet'!$E$9+1,1))-AVERAGE(OFFSET($H$3,0,0,'Données projet'!$E$9+1,1))</f>
        <v>65.585138535467195</v>
      </c>
      <c r="T41" s="62">
        <f t="shared" si="34"/>
        <v>292.56159092613944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35.668119999515433</v>
      </c>
      <c r="AA41" s="23">
        <f>EXP(-LN(2)/25)*AA40+(1-EXP(-LN(2)/25))/(LN(2)/25)*Calculateur!V41*Calculateur!X41*VLOOKUP('Données projet'!$B$9,Paramètres!$A$1:$I$89,3,0)*0.475*44/12</f>
        <v>4.6145515001427606</v>
      </c>
      <c r="AB41" s="23">
        <f>EXP(-LN(2)/2)*AB40+(1-EXP(-LN(2)/2))/(LN(2)/2)*V41*Y41*VLOOKUP('Données projet'!$B$9,Paramètres!$A$1:$I$89,3,0)*0.475*44/12</f>
        <v>3.9465069572518479E-3</v>
      </c>
      <c r="AC41" s="24">
        <f t="shared" si="3"/>
        <v>40.286618006615441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30</v>
      </c>
      <c r="AJ41" s="14">
        <f>AI41*VLOOKUP('Données projet'!$B$10,Paramètres!$A$1:$I$89,3,0)*VLOOKUP('Données projet'!$B$10,Paramètres!$A$1:$I$89,5,0)</f>
        <v>16.473599999999998</v>
      </c>
      <c r="AK41" s="14">
        <f t="shared" si="35"/>
        <v>5.479064311766531</v>
      </c>
      <c r="AL41" s="22">
        <f t="shared" si="4"/>
        <v>38.2342236763267</v>
      </c>
      <c r="AM41" s="62">
        <f t="shared" si="5"/>
        <v>331.56755700965999</v>
      </c>
      <c r="AN41" s="62">
        <f ca="1">AVERAGE(OFFSET($AM$3,0,0,'Données projet'!$E$10+1,1))-AVERAGE(OFFSET($H$3,0,0,'Données projet'!$E$10+1,1))</f>
        <v>72.817281731857122</v>
      </c>
      <c r="AO41" s="62">
        <f t="shared" si="36"/>
        <v>327.78949950303326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40.370348038036767</v>
      </c>
      <c r="AV41" s="23">
        <f>EXP(-LN(2)/25)*AV40+(1-EXP(-LN(2)/25))/(LN(2)/25)*Calculateur!AQ41*Calculateur!AS41*VLOOKUP('Données projet'!$B$10,Paramètres!$A$1:$I$89,3,0)*0.475*44/12</f>
        <v>5.2229007332805519</v>
      </c>
      <c r="AW41" s="23">
        <f>EXP(-LN(2)/2)*AW40+(1-EXP(-LN(2)/2))/(LN(2)/2)*AQ41*AT41*VLOOKUP('Données projet'!$B$10,Paramètres!$A$1:$I$89,3,0)*0.475*44/12</f>
        <v>4.4667860094940561E-3</v>
      </c>
      <c r="AX41" s="23">
        <f t="shared" si="6"/>
        <v>45.597715557326815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30</v>
      </c>
      <c r="O42" s="14">
        <f>N42*VLOOKUP('Données projet'!$B$9,Paramètres!$A$1:$I$89,3,0)*VLOOKUP('Données projet'!$B$9,Paramètres!$A$1:$I$89,5,0)</f>
        <v>14.5548</v>
      </c>
      <c r="P42" s="14">
        <f t="shared" si="33"/>
        <v>4.9111633609399075</v>
      </c>
      <c r="Q42" s="22">
        <f t="shared" si="53"/>
        <v>33.903219520303679</v>
      </c>
      <c r="R42" s="62">
        <f t="shared" si="0"/>
        <v>327.23655285363702</v>
      </c>
      <c r="S42" s="62">
        <f ca="1">AVERAGE(OFFSET($R$3,0,0,'Données projet'!$E$9+1,1))-AVERAGE(OFFSET($H$3,0,0,'Données projet'!$E$9+1,1))</f>
        <v>65.585138535467195</v>
      </c>
      <c r="T42" s="62">
        <f t="shared" si="34"/>
        <v>292.56159092613944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34.968689921729968</v>
      </c>
      <c r="AA42" s="23">
        <f>EXP(-LN(2)/25)*AA41+(1-EXP(-LN(2)/25))/(LN(2)/25)*Calculateur!V42*Calculateur!X42*VLOOKUP('Données projet'!$B$9,Paramètres!$A$1:$I$89,3,0)*0.475*44/12</f>
        <v>4.48836634670264</v>
      </c>
      <c r="AB42" s="23">
        <f>EXP(-LN(2)/2)*AB41+(1-EXP(-LN(2)/2))/(LN(2)/2)*V42*Y42*VLOOKUP('Données projet'!$B$9,Paramètres!$A$1:$I$89,3,0)*0.475*44/12</f>
        <v>2.79060183147267E-3</v>
      </c>
      <c r="AC42" s="24">
        <f t="shared" si="3"/>
        <v>39.45984687026408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30</v>
      </c>
      <c r="AJ42" s="14">
        <f>AI42*VLOOKUP('Données projet'!$B$10,Paramètres!$A$1:$I$89,3,0)*VLOOKUP('Données projet'!$B$10,Paramètres!$A$1:$I$89,5,0)</f>
        <v>16.473599999999998</v>
      </c>
      <c r="AK42" s="14">
        <f t="shared" si="35"/>
        <v>5.479064311766531</v>
      </c>
      <c r="AL42" s="22">
        <f t="shared" si="4"/>
        <v>38.2342236763267</v>
      </c>
      <c r="AM42" s="62">
        <f t="shared" si="5"/>
        <v>331.56755700965999</v>
      </c>
      <c r="AN42" s="62">
        <f ca="1">AVERAGE(OFFSET($AM$3,0,0,'Données projet'!$E$10+1,1))-AVERAGE(OFFSET($H$3,0,0,'Données projet'!$E$10+1,1))</f>
        <v>72.817281731857122</v>
      </c>
      <c r="AO42" s="62">
        <f t="shared" si="36"/>
        <v>327.78949950303326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39.5787101364918</v>
      </c>
      <c r="AV42" s="23">
        <f>EXP(-LN(2)/25)*AV41+(1-EXP(-LN(2)/25))/(LN(2)/25)*Calculateur!AQ42*Calculateur!AS42*VLOOKUP('Données projet'!$B$10,Paramètres!$A$1:$I$89,3,0)*0.475*44/12</f>
        <v>5.0800802380685832</v>
      </c>
      <c r="AW42" s="23">
        <f>EXP(-LN(2)/2)*AW41+(1-EXP(-LN(2)/2))/(LN(2)/2)*AQ42*AT42*VLOOKUP('Données projet'!$B$10,Paramètres!$A$1:$I$89,3,0)*0.475*44/12</f>
        <v>3.1584946774224454E-3</v>
      </c>
      <c r="AX42" s="23">
        <f t="shared" si="6"/>
        <v>44.661948869237804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30</v>
      </c>
      <c r="O43" s="14">
        <f>N43*VLOOKUP('Données projet'!$B$9,Paramètres!$A$1:$I$89,3,0)*VLOOKUP('Données projet'!$B$9,Paramètres!$A$1:$I$89,5,0)</f>
        <v>14.5548</v>
      </c>
      <c r="P43" s="14">
        <f t="shared" si="33"/>
        <v>4.9111633609399075</v>
      </c>
      <c r="Q43" s="22">
        <f t="shared" si="53"/>
        <v>33.903219520303679</v>
      </c>
      <c r="R43" s="62">
        <f t="shared" si="0"/>
        <v>327.23655285363702</v>
      </c>
      <c r="S43" s="62">
        <f ca="1">AVERAGE(OFFSET($R$3,0,0,'Données projet'!$E$9+1,1))-AVERAGE(OFFSET($H$3,0,0,'Données projet'!$E$9+1,1))</f>
        <v>65.585138535467195</v>
      </c>
      <c r="T43" s="62">
        <f t="shared" si="34"/>
        <v>292.56159092613944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34.282975241159654</v>
      </c>
      <c r="AA43" s="23">
        <f>EXP(-LN(2)/25)*AA42+(1-EXP(-LN(2)/25))/(LN(2)/25)*Calculateur!V43*Calculateur!X43*VLOOKUP('Données projet'!$B$9,Paramètres!$A$1:$I$89,3,0)*0.475*44/12</f>
        <v>4.3656317329191285</v>
      </c>
      <c r="AB43" s="23">
        <f>EXP(-LN(2)/2)*AB42+(1-EXP(-LN(2)/2))/(LN(2)/2)*V43*Y43*VLOOKUP('Données projet'!$B$9,Paramètres!$A$1:$I$89,3,0)*0.475*44/12</f>
        <v>1.9732534786259239E-3</v>
      </c>
      <c r="AC43" s="24">
        <f t="shared" si="3"/>
        <v>38.650580227557406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30</v>
      </c>
      <c r="AJ43" s="14">
        <f>AI43*VLOOKUP('Données projet'!$B$10,Paramètres!$A$1:$I$89,3,0)*VLOOKUP('Données projet'!$B$10,Paramètres!$A$1:$I$89,5,0)</f>
        <v>16.473599999999998</v>
      </c>
      <c r="AK43" s="14">
        <f t="shared" si="35"/>
        <v>5.479064311766531</v>
      </c>
      <c r="AL43" s="22">
        <f t="shared" si="4"/>
        <v>38.2342236763267</v>
      </c>
      <c r="AM43" s="62">
        <f t="shared" si="5"/>
        <v>331.56755700965999</v>
      </c>
      <c r="AN43" s="62">
        <f ca="1">AVERAGE(OFFSET($AM$3,0,0,'Données projet'!$E$10+1,1))-AVERAGE(OFFSET($H$3,0,0,'Données projet'!$E$10+1,1))</f>
        <v>72.817281731857122</v>
      </c>
      <c r="AO43" s="62">
        <f t="shared" si="36"/>
        <v>327.78949950303326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38.802595771344691</v>
      </c>
      <c r="AV43" s="23">
        <f>EXP(-LN(2)/25)*AV42+(1-EXP(-LN(2)/25))/(LN(2)/25)*Calculateur!AQ43*Calculateur!AS43*VLOOKUP('Données projet'!$B$10,Paramètres!$A$1:$I$89,3,0)*0.475*44/12</f>
        <v>4.9411651768087888</v>
      </c>
      <c r="AW43" s="23">
        <f>EXP(-LN(2)/2)*AW42+(1-EXP(-LN(2)/2))/(LN(2)/2)*AQ43*AT43*VLOOKUP('Données projet'!$B$10,Paramètres!$A$1:$I$89,3,0)*0.475*44/12</f>
        <v>2.233393004747028E-3</v>
      </c>
      <c r="AX43" s="23">
        <f t="shared" si="6"/>
        <v>43.745994341158223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30</v>
      </c>
      <c r="O44" s="14">
        <f>N44*VLOOKUP('Données projet'!$B$9,Paramètres!$A$1:$I$89,3,0)*VLOOKUP('Données projet'!$B$9,Paramètres!$A$1:$I$89,5,0)</f>
        <v>14.5548</v>
      </c>
      <c r="P44" s="14">
        <f t="shared" si="33"/>
        <v>4.9111633609399075</v>
      </c>
      <c r="Q44" s="22">
        <f t="shared" si="53"/>
        <v>33.903219520303679</v>
      </c>
      <c r="R44" s="62">
        <f t="shared" si="0"/>
        <v>327.23655285363702</v>
      </c>
      <c r="S44" s="62">
        <f ca="1">AVERAGE(OFFSET($R$3,0,0,'Données projet'!$E$9+1,1))-AVERAGE(OFFSET($H$3,0,0,'Données projet'!$E$9+1,1))</f>
        <v>65.585138535467195</v>
      </c>
      <c r="T44" s="62">
        <f t="shared" si="34"/>
        <v>292.56159092613944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33.610707007230666</v>
      </c>
      <c r="AA44" s="23">
        <f>EXP(-LN(2)/25)*AA43+(1-EXP(-LN(2)/25))/(LN(2)/25)*Calculateur!V44*Calculateur!X44*VLOOKUP('Données projet'!$B$9,Paramètres!$A$1:$I$89,3,0)*0.475*44/12</f>
        <v>4.2462533036038597</v>
      </c>
      <c r="AB44" s="23">
        <f>EXP(-LN(2)/2)*AB43+(1-EXP(-LN(2)/2))/(LN(2)/2)*V44*Y44*VLOOKUP('Données projet'!$B$9,Paramètres!$A$1:$I$89,3,0)*0.475*44/12</f>
        <v>1.395300915736335E-3</v>
      </c>
      <c r="AC44" s="24">
        <f t="shared" si="3"/>
        <v>37.858355611750262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30</v>
      </c>
      <c r="AJ44" s="14">
        <f>AI44*VLOOKUP('Données projet'!$B$10,Paramètres!$A$1:$I$89,3,0)*VLOOKUP('Données projet'!$B$10,Paramètres!$A$1:$I$89,5,0)</f>
        <v>16.473599999999998</v>
      </c>
      <c r="AK44" s="14">
        <f t="shared" si="35"/>
        <v>5.479064311766531</v>
      </c>
      <c r="AL44" s="22">
        <f t="shared" si="4"/>
        <v>38.2342236763267</v>
      </c>
      <c r="AM44" s="62">
        <f t="shared" si="5"/>
        <v>331.56755700965999</v>
      </c>
      <c r="AN44" s="62">
        <f ca="1">AVERAGE(OFFSET($AM$3,0,0,'Données projet'!$E$10+1,1))-AVERAGE(OFFSET($H$3,0,0,'Données projet'!$E$10+1,1))</f>
        <v>72.817281731857122</v>
      </c>
      <c r="AO44" s="62">
        <f t="shared" si="36"/>
        <v>327.78949950303326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38.041700535515098</v>
      </c>
      <c r="AV44" s="23">
        <f>EXP(-LN(2)/25)*AV43+(1-EXP(-LN(2)/25))/(LN(2)/25)*Calculateur!AQ44*Calculateur!AS44*VLOOKUP('Données projet'!$B$10,Paramètres!$A$1:$I$89,3,0)*0.475*44/12</f>
        <v>4.8060487552043689</v>
      </c>
      <c r="AW44" s="23">
        <f>EXP(-LN(2)/2)*AW43+(1-EXP(-LN(2)/2))/(LN(2)/2)*AQ44*AT44*VLOOKUP('Données projet'!$B$10,Paramètres!$A$1:$I$89,3,0)*0.475*44/12</f>
        <v>1.5792473387112227E-3</v>
      </c>
      <c r="AX44" s="23">
        <f t="shared" si="6"/>
        <v>42.849328538058174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30</v>
      </c>
      <c r="O45" s="14">
        <f>N45*VLOOKUP('Données projet'!$B$9,Paramètres!$A$1:$I$89,3,0)*VLOOKUP('Données projet'!$B$9,Paramètres!$A$1:$I$89,5,0)</f>
        <v>14.5548</v>
      </c>
      <c r="P45" s="14">
        <f t="shared" si="33"/>
        <v>4.9111633609399075</v>
      </c>
      <c r="Q45" s="22">
        <f t="shared" si="53"/>
        <v>33.903219520303679</v>
      </c>
      <c r="R45" s="62">
        <f t="shared" si="0"/>
        <v>327.23655285363702</v>
      </c>
      <c r="S45" s="62">
        <f ca="1">AVERAGE(OFFSET($R$3,0,0,'Données projet'!$E$9+1,1))-AVERAGE(OFFSET($H$3,0,0,'Données projet'!$E$9+1,1))</f>
        <v>65.585138535467195</v>
      </c>
      <c r="T45" s="62">
        <f t="shared" si="34"/>
        <v>292.56159092613944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32.951621543325892</v>
      </c>
      <c r="AA45" s="23">
        <f>EXP(-LN(2)/25)*AA44+(1-EXP(-LN(2)/25))/(LN(2)/25)*Calculateur!V45*Calculateur!X45*VLOOKUP('Données projet'!$B$9,Paramètres!$A$1:$I$89,3,0)*0.475*44/12</f>
        <v>4.1301392837160558</v>
      </c>
      <c r="AB45" s="23">
        <f>EXP(-LN(2)/2)*AB44+(1-EXP(-LN(2)/2))/(LN(2)/2)*V45*Y45*VLOOKUP('Données projet'!$B$9,Paramètres!$A$1:$I$89,3,0)*0.475*44/12</f>
        <v>9.8662673931296197E-4</v>
      </c>
      <c r="AC45" s="24">
        <f t="shared" si="3"/>
        <v>37.082747453781259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30</v>
      </c>
      <c r="AJ45" s="14">
        <f>AI45*VLOOKUP('Données projet'!$B$10,Paramètres!$A$1:$I$89,3,0)*VLOOKUP('Données projet'!$B$10,Paramètres!$A$1:$I$89,5,0)</f>
        <v>16.473599999999998</v>
      </c>
      <c r="AK45" s="14">
        <f t="shared" si="35"/>
        <v>5.479064311766531</v>
      </c>
      <c r="AL45" s="22">
        <f t="shared" si="4"/>
        <v>38.2342236763267</v>
      </c>
      <c r="AM45" s="62">
        <f t="shared" si="5"/>
        <v>331.56755700965999</v>
      </c>
      <c r="AN45" s="62">
        <f ca="1">AVERAGE(OFFSET($AM$3,0,0,'Données projet'!$E$10+1,1))-AVERAGE(OFFSET($H$3,0,0,'Données projet'!$E$10+1,1))</f>
        <v>72.817281731857122</v>
      </c>
      <c r="AO45" s="62">
        <f t="shared" si="36"/>
        <v>327.78949950303326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37.295725991159856</v>
      </c>
      <c r="AV45" s="23">
        <f>EXP(-LN(2)/25)*AV44+(1-EXP(-LN(2)/25))/(LN(2)/25)*Calculateur!AQ45*Calculateur!AS45*VLOOKUP('Données projet'!$B$10,Paramètres!$A$1:$I$89,3,0)*0.475*44/12</f>
        <v>4.6746270992541854</v>
      </c>
      <c r="AW45" s="23">
        <f>EXP(-LN(2)/2)*AW44+(1-EXP(-LN(2)/2))/(LN(2)/2)*AQ45*AT45*VLOOKUP('Données projet'!$B$10,Paramètres!$A$1:$I$89,3,0)*0.475*44/12</f>
        <v>1.116696502373514E-3</v>
      </c>
      <c r="AX45" s="23">
        <f t="shared" si="6"/>
        <v>41.971469786916416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30</v>
      </c>
      <c r="O46" s="14">
        <f>N46*VLOOKUP('Données projet'!$B$9,Paramètres!$A$1:$I$89,3,0)*VLOOKUP('Données projet'!$B$9,Paramètres!$A$1:$I$89,5,0)</f>
        <v>14.5548</v>
      </c>
      <c r="P46" s="14">
        <f t="shared" si="33"/>
        <v>4.9111633609399075</v>
      </c>
      <c r="Q46" s="22">
        <f t="shared" si="53"/>
        <v>33.903219520303679</v>
      </c>
      <c r="R46" s="62">
        <f t="shared" si="0"/>
        <v>327.23655285363702</v>
      </c>
      <c r="S46" s="62">
        <f ca="1">AVERAGE(OFFSET($R$3,0,0,'Données projet'!$E$9+1,1))-AVERAGE(OFFSET($H$3,0,0,'Données projet'!$E$9+1,1))</f>
        <v>65.585138535467195</v>
      </c>
      <c r="T46" s="62">
        <f t="shared" si="34"/>
        <v>292.56159092613944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32.305460343365851</v>
      </c>
      <c r="AA46" s="23">
        <f>EXP(-LN(2)/25)*AA45+(1-EXP(-LN(2)/25))/(LN(2)/25)*Calculateur!V46*Calculateur!X46*VLOOKUP('Données projet'!$B$9,Paramètres!$A$1:$I$89,3,0)*0.475*44/12</f>
        <v>4.0172004078082546</v>
      </c>
      <c r="AB46" s="23">
        <f>EXP(-LN(2)/2)*AB45+(1-EXP(-LN(2)/2))/(LN(2)/2)*V46*Y46*VLOOKUP('Données projet'!$B$9,Paramètres!$A$1:$I$89,3,0)*0.475*44/12</f>
        <v>6.976504578681675E-4</v>
      </c>
      <c r="AC46" s="24">
        <f t="shared" si="3"/>
        <v>36.323358401631971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30</v>
      </c>
      <c r="AJ46" s="14">
        <f>AI46*VLOOKUP('Données projet'!$B$10,Paramètres!$A$1:$I$89,3,0)*VLOOKUP('Données projet'!$B$10,Paramètres!$A$1:$I$89,5,0)</f>
        <v>16.473599999999998</v>
      </c>
      <c r="AK46" s="14">
        <f t="shared" si="35"/>
        <v>5.479064311766531</v>
      </c>
      <c r="AL46" s="22">
        <f t="shared" si="4"/>
        <v>38.2342236763267</v>
      </c>
      <c r="AM46" s="62">
        <f t="shared" si="5"/>
        <v>331.56755700965999</v>
      </c>
      <c r="AN46" s="62">
        <f ca="1">AVERAGE(OFFSET($AM$3,0,0,'Données projet'!$E$10+1,1))-AVERAGE(OFFSET($H$3,0,0,'Données projet'!$E$10+1,1))</f>
        <v>72.817281731857122</v>
      </c>
      <c r="AO46" s="62">
        <f t="shared" si="36"/>
        <v>327.78949950303326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36.564379552619876</v>
      </c>
      <c r="AV46" s="23">
        <f>EXP(-LN(2)/25)*AV45+(1-EXP(-LN(2)/25))/(LN(2)/25)*Calculateur!AQ46*Calculateur!AS46*VLOOKUP('Données projet'!$B$10,Paramètres!$A$1:$I$89,3,0)*0.475*44/12</f>
        <v>4.5467991753971244</v>
      </c>
      <c r="AW46" s="23">
        <f>EXP(-LN(2)/2)*AW45+(1-EXP(-LN(2)/2))/(LN(2)/2)*AQ46*AT46*VLOOKUP('Données projet'!$B$10,Paramètres!$A$1:$I$89,3,0)*0.475*44/12</f>
        <v>7.8962366935561134E-4</v>
      </c>
      <c r="AX46" s="23">
        <f t="shared" si="6"/>
        <v>41.111968351686357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30</v>
      </c>
      <c r="O47" s="14">
        <f>N47*VLOOKUP('Données projet'!$B$9,Paramètres!$A$1:$I$89,3,0)*VLOOKUP('Données projet'!$B$9,Paramètres!$A$1:$I$89,5,0)</f>
        <v>14.5548</v>
      </c>
      <c r="P47" s="14">
        <f t="shared" si="33"/>
        <v>4.9111633609399075</v>
      </c>
      <c r="Q47" s="22">
        <f t="shared" si="53"/>
        <v>33.903219520303679</v>
      </c>
      <c r="R47" s="62">
        <f t="shared" si="0"/>
        <v>327.23655285363702</v>
      </c>
      <c r="S47" s="62">
        <f ca="1">AVERAGE(OFFSET($R$3,0,0,'Données projet'!$E$9+1,1))-AVERAGE(OFFSET($H$3,0,0,'Données projet'!$E$9+1,1))</f>
        <v>65.585138535467195</v>
      </c>
      <c r="T47" s="62">
        <f t="shared" si="34"/>
        <v>292.56159092613944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31.67196997041761</v>
      </c>
      <c r="AA47" s="23">
        <f>EXP(-LN(2)/25)*AA46+(1-EXP(-LN(2)/25))/(LN(2)/25)*Calculateur!V47*Calculateur!X47*VLOOKUP('Données projet'!$B$9,Paramètres!$A$1:$I$89,3,0)*0.475*44/12</f>
        <v>3.9073498514013498</v>
      </c>
      <c r="AB47" s="23">
        <f>EXP(-LN(2)/2)*AB46+(1-EXP(-LN(2)/2))/(LN(2)/2)*V47*Y47*VLOOKUP('Données projet'!$B$9,Paramètres!$A$1:$I$89,3,0)*0.475*44/12</f>
        <v>4.9331336965648099E-4</v>
      </c>
      <c r="AC47" s="24">
        <f t="shared" si="3"/>
        <v>35.579813135188623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30</v>
      </c>
      <c r="AJ47" s="14">
        <f>AI47*VLOOKUP('Données projet'!$B$10,Paramètres!$A$1:$I$89,3,0)*VLOOKUP('Données projet'!$B$10,Paramètres!$A$1:$I$89,5,0)</f>
        <v>16.473599999999998</v>
      </c>
      <c r="AK47" s="14">
        <f t="shared" si="35"/>
        <v>5.479064311766531</v>
      </c>
      <c r="AL47" s="22">
        <f t="shared" si="4"/>
        <v>38.2342236763267</v>
      </c>
      <c r="AM47" s="62">
        <f t="shared" si="5"/>
        <v>331.56755700965999</v>
      </c>
      <c r="AN47" s="62">
        <f ca="1">AVERAGE(OFFSET($AM$3,0,0,'Données projet'!$E$10+1,1))-AVERAGE(OFFSET($H$3,0,0,'Données projet'!$E$10+1,1))</f>
        <v>72.817281731857122</v>
      </c>
      <c r="AO47" s="62">
        <f t="shared" si="36"/>
        <v>327.78949950303326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35.847374371662383</v>
      </c>
      <c r="AV47" s="23">
        <f>EXP(-LN(2)/25)*AV46+(1-EXP(-LN(2)/25))/(LN(2)/25)*Calculateur!AQ47*Calculateur!AS47*VLOOKUP('Données projet'!$B$10,Paramètres!$A$1:$I$89,3,0)*0.475*44/12</f>
        <v>4.4224667128401132</v>
      </c>
      <c r="AW47" s="23">
        <f>EXP(-LN(2)/2)*AW46+(1-EXP(-LN(2)/2))/(LN(2)/2)*AQ47*AT47*VLOOKUP('Données projet'!$B$10,Paramètres!$A$1:$I$89,3,0)*0.475*44/12</f>
        <v>5.5834825118675701E-4</v>
      </c>
      <c r="AX47" s="23">
        <f t="shared" si="6"/>
        <v>40.270399432753685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30</v>
      </c>
      <c r="O48" s="14">
        <f>N48*VLOOKUP('Données projet'!$B$9,Paramètres!$A$1:$I$89,3,0)*VLOOKUP('Données projet'!$B$9,Paramètres!$A$1:$I$89,5,0)</f>
        <v>14.5548</v>
      </c>
      <c r="P48" s="14">
        <f t="shared" si="33"/>
        <v>4.9111633609399075</v>
      </c>
      <c r="Q48" s="22">
        <f t="shared" si="53"/>
        <v>33.903219520303679</v>
      </c>
      <c r="R48" s="62">
        <f t="shared" si="0"/>
        <v>327.23655285363702</v>
      </c>
      <c r="S48" s="62">
        <f ca="1">AVERAGE(OFFSET($R$3,0,0,'Données projet'!$E$9+1,1))-AVERAGE(OFFSET($H$3,0,0,'Données projet'!$E$9+1,1))</f>
        <v>65.585138535467195</v>
      </c>
      <c r="T48" s="62">
        <f t="shared" si="34"/>
        <v>292.56159092613944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31.050901957291909</v>
      </c>
      <c r="AA48" s="23">
        <f>EXP(-LN(2)/25)*AA47+(1-EXP(-LN(2)/25))/(LN(2)/25)*Calculateur!V48*Calculateur!X48*VLOOKUP('Données projet'!$B$9,Paramètres!$A$1:$I$89,3,0)*0.475*44/12</f>
        <v>3.8005031642361815</v>
      </c>
      <c r="AB48" s="23">
        <f>EXP(-LN(2)/2)*AB47+(1-EXP(-LN(2)/2))/(LN(2)/2)*V48*Y48*VLOOKUP('Données projet'!$B$9,Paramètres!$A$1:$I$89,3,0)*0.475*44/12</f>
        <v>3.4882522893408375E-4</v>
      </c>
      <c r="AC48" s="24">
        <f t="shared" si="3"/>
        <v>34.851753946757022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30</v>
      </c>
      <c r="AJ48" s="14">
        <f>AI48*VLOOKUP('Données projet'!$B$10,Paramètres!$A$1:$I$89,3,0)*VLOOKUP('Données projet'!$B$10,Paramètres!$A$1:$I$89,5,0)</f>
        <v>16.473599999999998</v>
      </c>
      <c r="AK48" s="14">
        <f t="shared" si="35"/>
        <v>5.479064311766531</v>
      </c>
      <c r="AL48" s="22">
        <f t="shared" si="4"/>
        <v>38.2342236763267</v>
      </c>
      <c r="AM48" s="62">
        <f t="shared" si="5"/>
        <v>331.56755700965999</v>
      </c>
      <c r="AN48" s="62">
        <f ca="1">AVERAGE(OFFSET($AM$3,0,0,'Données projet'!$E$10+1,1))-AVERAGE(OFFSET($H$3,0,0,'Données projet'!$E$10+1,1))</f>
        <v>72.817281731857122</v>
      </c>
      <c r="AO48" s="62">
        <f t="shared" si="36"/>
        <v>327.78949950303326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35.144429224973486</v>
      </c>
      <c r="AV48" s="23">
        <f>EXP(-LN(2)/25)*AV47+(1-EXP(-LN(2)/25))/(LN(2)/25)*Calculateur!AQ48*Calculateur!AS48*VLOOKUP('Données projet'!$B$10,Paramètres!$A$1:$I$89,3,0)*0.475*44/12</f>
        <v>4.3015341280100836</v>
      </c>
      <c r="AW48" s="23">
        <f>EXP(-LN(2)/2)*AW47+(1-EXP(-LN(2)/2))/(LN(2)/2)*AQ48*AT48*VLOOKUP('Données projet'!$B$10,Paramètres!$A$1:$I$89,3,0)*0.475*44/12</f>
        <v>3.9481183467780567E-4</v>
      </c>
      <c r="AX48" s="23">
        <f t="shared" si="6"/>
        <v>39.44635816481825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30</v>
      </c>
      <c r="O49" s="14">
        <f>N49*VLOOKUP('Données projet'!$B$9,Paramètres!$A$1:$I$89,3,0)*VLOOKUP('Données projet'!$B$9,Paramètres!$A$1:$I$89,5,0)</f>
        <v>14.5548</v>
      </c>
      <c r="P49" s="14">
        <f t="shared" si="33"/>
        <v>4.9111633609399075</v>
      </c>
      <c r="Q49" s="22">
        <f t="shared" si="53"/>
        <v>33.903219520303679</v>
      </c>
      <c r="R49" s="62">
        <f t="shared" si="0"/>
        <v>327.23655285363702</v>
      </c>
      <c r="S49" s="62">
        <f ca="1">AVERAGE(OFFSET($R$3,0,0,'Données projet'!$E$9+1,1))-AVERAGE(OFFSET($H$3,0,0,'Données projet'!$E$9+1,1))</f>
        <v>65.585138535467195</v>
      </c>
      <c r="T49" s="62">
        <f t="shared" si="34"/>
        <v>292.56159092613944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30.442012709089521</v>
      </c>
      <c r="AA49" s="23">
        <f>EXP(-LN(2)/25)*AA48+(1-EXP(-LN(2)/25))/(LN(2)/25)*Calculateur!V49*Calculateur!X49*VLOOKUP('Données projet'!$B$9,Paramètres!$A$1:$I$89,3,0)*0.475*44/12</f>
        <v>3.696578205350368</v>
      </c>
      <c r="AB49" s="23">
        <f>EXP(-LN(2)/2)*AB48+(1-EXP(-LN(2)/2))/(LN(2)/2)*V49*Y49*VLOOKUP('Données projet'!$B$9,Paramètres!$A$1:$I$89,3,0)*0.475*44/12</f>
        <v>2.4665668482824049E-4</v>
      </c>
      <c r="AC49" s="24">
        <f t="shared" si="3"/>
        <v>34.138837571124718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30</v>
      </c>
      <c r="AJ49" s="14">
        <f>AI49*VLOOKUP('Données projet'!$B$10,Paramètres!$A$1:$I$89,3,0)*VLOOKUP('Données projet'!$B$10,Paramètres!$A$1:$I$89,5,0)</f>
        <v>16.473599999999998</v>
      </c>
      <c r="AK49" s="14">
        <f t="shared" si="35"/>
        <v>5.479064311766531</v>
      </c>
      <c r="AL49" s="22">
        <f t="shared" si="4"/>
        <v>38.2342236763267</v>
      </c>
      <c r="AM49" s="62">
        <f t="shared" si="5"/>
        <v>331.56755700965999</v>
      </c>
      <c r="AN49" s="62">
        <f ca="1">AVERAGE(OFFSET($AM$3,0,0,'Données projet'!$E$10+1,1))-AVERAGE(OFFSET($H$3,0,0,'Données projet'!$E$10+1,1))</f>
        <v>72.817281731857122</v>
      </c>
      <c r="AO49" s="62">
        <f t="shared" si="36"/>
        <v>327.78949950303326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34.455268403856955</v>
      </c>
      <c r="AV49" s="23">
        <f>EXP(-LN(2)/25)*AV48+(1-EXP(-LN(2)/25))/(LN(2)/25)*Calculateur!AQ49*Calculateur!AS49*VLOOKUP('Données projet'!$B$10,Paramètres!$A$1:$I$89,3,0)*0.475*44/12</f>
        <v>4.1839084510717992</v>
      </c>
      <c r="AW49" s="23">
        <f>EXP(-LN(2)/2)*AW48+(1-EXP(-LN(2)/2))/(LN(2)/2)*AQ49*AT49*VLOOKUP('Données projet'!$B$10,Paramètres!$A$1:$I$89,3,0)*0.475*44/12</f>
        <v>2.7917412559337851E-4</v>
      </c>
      <c r="AX49" s="23">
        <f t="shared" si="6"/>
        <v>38.639456029054351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30</v>
      </c>
      <c r="O50" s="14">
        <f>N50*VLOOKUP('Données projet'!$B$9,Paramètres!$A$1:$I$89,3,0)*VLOOKUP('Données projet'!$B$9,Paramètres!$A$1:$I$89,5,0)</f>
        <v>14.5548</v>
      </c>
      <c r="P50" s="14">
        <f t="shared" si="33"/>
        <v>4.9111633609399075</v>
      </c>
      <c r="Q50" s="22">
        <f t="shared" si="53"/>
        <v>33.903219520303679</v>
      </c>
      <c r="R50" s="62">
        <f t="shared" si="0"/>
        <v>327.23655285363702</v>
      </c>
      <c r="S50" s="62">
        <f ca="1">AVERAGE(OFFSET($R$3,0,0,'Données projet'!$E$9+1,1))-AVERAGE(OFFSET($H$3,0,0,'Données projet'!$E$9+1,1))</f>
        <v>65.585138535467195</v>
      </c>
      <c r="T50" s="62">
        <f t="shared" si="34"/>
        <v>292.56159092613944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29.845063407658611</v>
      </c>
      <c r="AA50" s="23">
        <f>EXP(-LN(2)/25)*AA49+(1-EXP(-LN(2)/25))/(LN(2)/25)*Calculateur!V50*Calculateur!X50*VLOOKUP('Données projet'!$B$9,Paramètres!$A$1:$I$89,3,0)*0.475*44/12</f>
        <v>3.5954950799304628</v>
      </c>
      <c r="AB50" s="23">
        <f>EXP(-LN(2)/2)*AB49+(1-EXP(-LN(2)/2))/(LN(2)/2)*V50*Y50*VLOOKUP('Données projet'!$B$9,Paramètres!$A$1:$I$89,3,0)*0.475*44/12</f>
        <v>1.7441261446704187E-4</v>
      </c>
      <c r="AC50" s="24">
        <f t="shared" si="3"/>
        <v>33.440732900203542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30</v>
      </c>
      <c r="AJ50" s="14">
        <f>AI50*VLOOKUP('Données projet'!$B$10,Paramètres!$A$1:$I$89,3,0)*VLOOKUP('Données projet'!$B$10,Paramètres!$A$1:$I$89,5,0)</f>
        <v>16.473599999999998</v>
      </c>
      <c r="AK50" s="14">
        <f t="shared" si="35"/>
        <v>5.479064311766531</v>
      </c>
      <c r="AL50" s="22">
        <f t="shared" si="4"/>
        <v>38.2342236763267</v>
      </c>
      <c r="AM50" s="62">
        <f t="shared" si="5"/>
        <v>331.56755700965999</v>
      </c>
      <c r="AN50" s="62">
        <f ca="1">AVERAGE(OFFSET($AM$3,0,0,'Données projet'!$E$10+1,1))-AVERAGE(OFFSET($H$3,0,0,'Données projet'!$E$10+1,1))</f>
        <v>72.817281731857122</v>
      </c>
      <c r="AO50" s="62">
        <f t="shared" si="36"/>
        <v>327.78949950303326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33.779621606095922</v>
      </c>
      <c r="AV50" s="23">
        <f>EXP(-LN(2)/25)*AV49+(1-EXP(-LN(2)/25))/(LN(2)/25)*Calculateur!AQ50*Calculateur!AS50*VLOOKUP('Données projet'!$B$10,Paramètres!$A$1:$I$89,3,0)*0.475*44/12</f>
        <v>4.0694992544550574</v>
      </c>
      <c r="AW50" s="23">
        <f>EXP(-LN(2)/2)*AW49+(1-EXP(-LN(2)/2))/(LN(2)/2)*AQ50*AT50*VLOOKUP('Données projet'!$B$10,Paramètres!$A$1:$I$89,3,0)*0.475*44/12</f>
        <v>1.9740591733890284E-4</v>
      </c>
      <c r="AX50" s="23">
        <f t="shared" si="6"/>
        <v>37.849318266468323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30</v>
      </c>
      <c r="O51" s="14">
        <f>N51*VLOOKUP('Données projet'!$B$9,Paramètres!$A$1:$I$89,3,0)*VLOOKUP('Données projet'!$B$9,Paramètres!$A$1:$I$89,5,0)</f>
        <v>14.5548</v>
      </c>
      <c r="P51" s="14">
        <f t="shared" si="33"/>
        <v>4.9111633609399075</v>
      </c>
      <c r="Q51" s="22">
        <f t="shared" si="53"/>
        <v>33.903219520303679</v>
      </c>
      <c r="R51" s="62">
        <f t="shared" si="0"/>
        <v>327.23655285363702</v>
      </c>
      <c r="S51" s="62">
        <f ca="1">AVERAGE(OFFSET($R$3,0,0,'Données projet'!$E$9+1,1))-AVERAGE(OFFSET($H$3,0,0,'Données projet'!$E$9+1,1))</f>
        <v>65.585138535467195</v>
      </c>
      <c r="T51" s="62">
        <f t="shared" si="34"/>
        <v>292.56159092613944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29.25981991792564</v>
      </c>
      <c r="AA51" s="23">
        <f>EXP(-LN(2)/25)*AA50+(1-EXP(-LN(2)/25))/(LN(2)/25)*Calculateur!V51*Calculateur!X51*VLOOKUP('Données projet'!$B$9,Paramètres!$A$1:$I$89,3,0)*0.475*44/12</f>
        <v>3.4971760778908956</v>
      </c>
      <c r="AB51" s="23">
        <f>EXP(-LN(2)/2)*AB50+(1-EXP(-LN(2)/2))/(LN(2)/2)*V51*Y51*VLOOKUP('Données projet'!$B$9,Paramètres!$A$1:$I$89,3,0)*0.475*44/12</f>
        <v>1.2332834241412025E-4</v>
      </c>
      <c r="AC51" s="24">
        <f t="shared" si="3"/>
        <v>32.75711932415895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30</v>
      </c>
      <c r="AJ51" s="14">
        <f>AI51*VLOOKUP('Données projet'!$B$10,Paramètres!$A$1:$I$89,3,0)*VLOOKUP('Données projet'!$B$10,Paramètres!$A$1:$I$89,5,0)</f>
        <v>16.473599999999998</v>
      </c>
      <c r="AK51" s="14">
        <f t="shared" si="35"/>
        <v>5.479064311766531</v>
      </c>
      <c r="AL51" s="22">
        <f t="shared" si="4"/>
        <v>38.2342236763267</v>
      </c>
      <c r="AM51" s="62">
        <f t="shared" si="5"/>
        <v>331.56755700965999</v>
      </c>
      <c r="AN51" s="62">
        <f ca="1">AVERAGE(OFFSET($AM$3,0,0,'Données projet'!$E$10+1,1))-AVERAGE(OFFSET($H$3,0,0,'Données projet'!$E$10+1,1))</f>
        <v>72.817281731857122</v>
      </c>
      <c r="AO51" s="62">
        <f t="shared" si="36"/>
        <v>327.78949950303326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33.117223829935128</v>
      </c>
      <c r="AV51" s="23">
        <f>EXP(-LN(2)/25)*AV50+(1-EXP(-LN(2)/25))/(LN(2)/25)*Calculateur!AQ51*Calculateur!AS51*VLOOKUP('Données projet'!$B$10,Paramètres!$A$1:$I$89,3,0)*0.475*44/12</f>
        <v>3.9582185833363193</v>
      </c>
      <c r="AW51" s="23">
        <f>EXP(-LN(2)/2)*AW50+(1-EXP(-LN(2)/2))/(LN(2)/2)*AQ51*AT51*VLOOKUP('Données projet'!$B$10,Paramètres!$A$1:$I$89,3,0)*0.475*44/12</f>
        <v>1.3958706279668925E-4</v>
      </c>
      <c r="AX51" s="23">
        <f t="shared" si="6"/>
        <v>37.075582000334244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30</v>
      </c>
      <c r="O52" s="14">
        <f>N52*VLOOKUP('Données projet'!$B$9,Paramètres!$A$1:$I$89,3,0)*VLOOKUP('Données projet'!$B$9,Paramètres!$A$1:$I$89,5,0)</f>
        <v>14.5548</v>
      </c>
      <c r="P52" s="14">
        <f t="shared" si="33"/>
        <v>4.9111633609399075</v>
      </c>
      <c r="Q52" s="22">
        <f t="shared" si="53"/>
        <v>33.903219520303679</v>
      </c>
      <c r="R52" s="62">
        <f t="shared" si="0"/>
        <v>327.23655285363702</v>
      </c>
      <c r="S52" s="62">
        <f ca="1">AVERAGE(OFFSET($R$3,0,0,'Données projet'!$E$9+1,1))-AVERAGE(OFFSET($H$3,0,0,'Données projet'!$E$9+1,1))</f>
        <v>65.585138535467195</v>
      </c>
      <c r="T52" s="62">
        <f t="shared" si="34"/>
        <v>292.56159092613944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28.686052696063051</v>
      </c>
      <c r="AA52" s="23">
        <f>EXP(-LN(2)/25)*AA51+(1-EXP(-LN(2)/25))/(LN(2)/25)*Calculateur!V52*Calculateur!X52*VLOOKUP('Données projet'!$B$9,Paramètres!$A$1:$I$89,3,0)*0.475*44/12</f>
        <v>3.401545614132472</v>
      </c>
      <c r="AB52" s="23">
        <f>EXP(-LN(2)/2)*AB51+(1-EXP(-LN(2)/2))/(LN(2)/2)*V52*Y52*VLOOKUP('Données projet'!$B$9,Paramètres!$A$1:$I$89,3,0)*0.475*44/12</f>
        <v>8.7206307233520937E-5</v>
      </c>
      <c r="AC52" s="24">
        <f t="shared" si="3"/>
        <v>32.087685516502759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30</v>
      </c>
      <c r="AJ52" s="14">
        <f>AI52*VLOOKUP('Données projet'!$B$10,Paramètres!$A$1:$I$89,3,0)*VLOOKUP('Données projet'!$B$10,Paramètres!$A$1:$I$89,5,0)</f>
        <v>16.473599999999998</v>
      </c>
      <c r="AK52" s="14">
        <f t="shared" si="35"/>
        <v>5.479064311766531</v>
      </c>
      <c r="AL52" s="22">
        <f t="shared" si="4"/>
        <v>38.2342236763267</v>
      </c>
      <c r="AM52" s="62">
        <f t="shared" si="5"/>
        <v>331.56755700965999</v>
      </c>
      <c r="AN52" s="62">
        <f ca="1">AVERAGE(OFFSET($AM$3,0,0,'Données projet'!$E$10+1,1))-AVERAGE(OFFSET($H$3,0,0,'Données projet'!$E$10+1,1))</f>
        <v>72.817281731857122</v>
      </c>
      <c r="AO52" s="62">
        <f t="shared" si="36"/>
        <v>327.78949950303326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32.467815270142097</v>
      </c>
      <c r="AV52" s="23">
        <f>EXP(-LN(2)/25)*AV51+(1-EXP(-LN(2)/25))/(LN(2)/25)*Calculateur!AQ52*Calculateur!AS52*VLOOKUP('Données projet'!$B$10,Paramètres!$A$1:$I$89,3,0)*0.475*44/12</f>
        <v>3.8499808880213191</v>
      </c>
      <c r="AW52" s="23">
        <f>EXP(-LN(2)/2)*AW51+(1-EXP(-LN(2)/2))/(LN(2)/2)*AQ52*AT52*VLOOKUP('Données projet'!$B$10,Paramètres!$A$1:$I$89,3,0)*0.475*44/12</f>
        <v>9.8702958669451418E-5</v>
      </c>
      <c r="AX52" s="23">
        <f t="shared" si="6"/>
        <v>36.317894861122085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30</v>
      </c>
      <c r="O53" s="14">
        <f>N53*VLOOKUP('Données projet'!$B$9,Paramètres!$A$1:$I$89,3,0)*VLOOKUP('Données projet'!$B$9,Paramètres!$A$1:$I$89,5,0)</f>
        <v>14.5548</v>
      </c>
      <c r="P53" s="14">
        <f t="shared" si="33"/>
        <v>4.9111633609399075</v>
      </c>
      <c r="Q53" s="22">
        <f t="shared" si="53"/>
        <v>33.903219520303679</v>
      </c>
      <c r="R53" s="62">
        <f t="shared" si="0"/>
        <v>327.23655285363702</v>
      </c>
      <c r="S53" s="62">
        <f ca="1">AVERAGE(OFFSET($R$3,0,0,'Données projet'!$E$9+1,1))-AVERAGE(OFFSET($H$3,0,0,'Données projet'!$E$9+1,1))</f>
        <v>65.585138535467195</v>
      </c>
      <c r="T53" s="62">
        <f t="shared" si="34"/>
        <v>292.56159092613944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28.123536699457738</v>
      </c>
      <c r="AA53" s="23">
        <f>EXP(-LN(2)/25)*AA52+(1-EXP(-LN(2)/25))/(LN(2)/25)*Calculateur!V53*Calculateur!X53*VLOOKUP('Données projet'!$B$9,Paramètres!$A$1:$I$89,3,0)*0.475*44/12</f>
        <v>3.3085301704345103</v>
      </c>
      <c r="AB53" s="23">
        <f>EXP(-LN(2)/2)*AB52+(1-EXP(-LN(2)/2))/(LN(2)/2)*V53*Y53*VLOOKUP('Données projet'!$B$9,Paramètres!$A$1:$I$89,3,0)*0.475*44/12</f>
        <v>6.1664171207060123E-5</v>
      </c>
      <c r="AC53" s="24">
        <f t="shared" si="3"/>
        <v>31.432128534063452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30</v>
      </c>
      <c r="AJ53" s="14">
        <f>AI53*VLOOKUP('Données projet'!$B$10,Paramètres!$A$1:$I$89,3,0)*VLOOKUP('Données projet'!$B$10,Paramètres!$A$1:$I$89,5,0)</f>
        <v>16.473599999999998</v>
      </c>
      <c r="AK53" s="14">
        <f t="shared" si="35"/>
        <v>5.479064311766531</v>
      </c>
      <c r="AL53" s="22">
        <f t="shared" si="4"/>
        <v>38.2342236763267</v>
      </c>
      <c r="AM53" s="62">
        <f t="shared" si="5"/>
        <v>331.56755700965999</v>
      </c>
      <c r="AN53" s="62">
        <f ca="1">AVERAGE(OFFSET($AM$3,0,0,'Données projet'!$E$10+1,1))-AVERAGE(OFFSET($H$3,0,0,'Données projet'!$E$10+1,1))</f>
        <v>72.817281731857122</v>
      </c>
      <c r="AO53" s="62">
        <f t="shared" si="36"/>
        <v>327.78949950303326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31.831141216106502</v>
      </c>
      <c r="AV53" s="23">
        <f>EXP(-LN(2)/25)*AV52+(1-EXP(-LN(2)/25))/(LN(2)/25)*Calculateur!AQ53*Calculateur!AS53*VLOOKUP('Données projet'!$B$10,Paramètres!$A$1:$I$89,3,0)*0.475*44/12</f>
        <v>3.7447029581766804</v>
      </c>
      <c r="AW53" s="23">
        <f>EXP(-LN(2)/2)*AW52+(1-EXP(-LN(2)/2))/(LN(2)/2)*AQ53*AT53*VLOOKUP('Données projet'!$B$10,Paramètres!$A$1:$I$89,3,0)*0.475*44/12</f>
        <v>6.9793531398344626E-5</v>
      </c>
      <c r="AX53" s="23">
        <f t="shared" si="6"/>
        <v>35.575913967814579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30</v>
      </c>
      <c r="O54" s="14">
        <f>N54*VLOOKUP('Données projet'!$B$9,Paramètres!$A$1:$I$89,3,0)*VLOOKUP('Données projet'!$B$9,Paramètres!$A$1:$I$89,5,0)</f>
        <v>14.5548</v>
      </c>
      <c r="P54" s="14">
        <f t="shared" si="33"/>
        <v>4.9111633609399075</v>
      </c>
      <c r="Q54" s="22">
        <f t="shared" si="53"/>
        <v>33.903219520303679</v>
      </c>
      <c r="R54" s="62">
        <f t="shared" si="0"/>
        <v>327.23655285363702</v>
      </c>
      <c r="S54" s="62">
        <f ca="1">AVERAGE(OFFSET($R$3,0,0,'Données projet'!$E$9+1,1))-AVERAGE(OFFSET($H$3,0,0,'Données projet'!$E$9+1,1))</f>
        <v>65.585138535467195</v>
      </c>
      <c r="T54" s="62">
        <f t="shared" si="34"/>
        <v>292.56159092613944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27.572051298444975</v>
      </c>
      <c r="AA54" s="23">
        <f>EXP(-LN(2)/25)*AA53+(1-EXP(-LN(2)/25))/(LN(2)/25)*Calculateur!V54*Calculateur!X54*VLOOKUP('Données projet'!$B$9,Paramètres!$A$1:$I$89,3,0)*0.475*44/12</f>
        <v>3.2180582389359387</v>
      </c>
      <c r="AB54" s="23">
        <f>EXP(-LN(2)/2)*AB53+(1-EXP(-LN(2)/2))/(LN(2)/2)*V54*Y54*VLOOKUP('Données projet'!$B$9,Paramètres!$A$1:$I$89,3,0)*0.475*44/12</f>
        <v>4.3603153616760469E-5</v>
      </c>
      <c r="AC54" s="24">
        <f t="shared" si="3"/>
        <v>30.790153140534532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30</v>
      </c>
      <c r="AJ54" s="14">
        <f>AI54*VLOOKUP('Données projet'!$B$10,Paramètres!$A$1:$I$89,3,0)*VLOOKUP('Données projet'!$B$10,Paramètres!$A$1:$I$89,5,0)</f>
        <v>16.473599999999998</v>
      </c>
      <c r="AK54" s="14">
        <f t="shared" si="35"/>
        <v>5.479064311766531</v>
      </c>
      <c r="AL54" s="22">
        <f t="shared" si="4"/>
        <v>38.2342236763267</v>
      </c>
      <c r="AM54" s="62">
        <f t="shared" si="5"/>
        <v>331.56755700965999</v>
      </c>
      <c r="AN54" s="62">
        <f ca="1">AVERAGE(OFFSET($AM$3,0,0,'Données projet'!$E$10+1,1))-AVERAGE(OFFSET($H$3,0,0,'Données projet'!$E$10+1,1))</f>
        <v>72.817281731857122</v>
      </c>
      <c r="AO54" s="62">
        <f t="shared" si="36"/>
        <v>327.78949950303326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31.206951951937715</v>
      </c>
      <c r="AV54" s="23">
        <f>EXP(-LN(2)/25)*AV53+(1-EXP(-LN(2)/25))/(LN(2)/25)*Calculateur!AQ54*Calculateur!AS54*VLOOKUP('Données projet'!$B$10,Paramètres!$A$1:$I$89,3,0)*0.475*44/12</f>
        <v>3.642303858859969</v>
      </c>
      <c r="AW54" s="23">
        <f>EXP(-LN(2)/2)*AW53+(1-EXP(-LN(2)/2))/(LN(2)/2)*AQ54*AT54*VLOOKUP('Données projet'!$B$10,Paramètres!$A$1:$I$89,3,0)*0.475*44/12</f>
        <v>4.9351479334725709E-5</v>
      </c>
      <c r="AX54" s="23">
        <f t="shared" si="6"/>
        <v>34.84930516227702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30</v>
      </c>
      <c r="O55" s="14">
        <f>N55*VLOOKUP('Données projet'!$B$9,Paramètres!$A$1:$I$89,3,0)*VLOOKUP('Données projet'!$B$9,Paramètres!$A$1:$I$89,5,0)</f>
        <v>14.5548</v>
      </c>
      <c r="P55" s="14">
        <f t="shared" si="33"/>
        <v>4.9111633609399075</v>
      </c>
      <c r="Q55" s="22">
        <f t="shared" si="53"/>
        <v>33.903219520303679</v>
      </c>
      <c r="R55" s="62">
        <f t="shared" si="0"/>
        <v>327.23655285363702</v>
      </c>
      <c r="S55" s="62">
        <f ca="1">AVERAGE(OFFSET($R$3,0,0,'Données projet'!$E$9+1,1))-AVERAGE(OFFSET($H$3,0,0,'Données projet'!$E$9+1,1))</f>
        <v>65.585138535467195</v>
      </c>
      <c r="T55" s="62">
        <f t="shared" si="34"/>
        <v>292.56159092613944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27.031380189773191</v>
      </c>
      <c r="AA55" s="23">
        <f>EXP(-LN(2)/25)*AA54+(1-EXP(-LN(2)/25))/(LN(2)/25)*Calculateur!V55*Calculateur!X55*VLOOKUP('Données projet'!$B$9,Paramètres!$A$1:$I$89,3,0)*0.475*44/12</f>
        <v>3.1300602671619076</v>
      </c>
      <c r="AB55" s="23">
        <f>EXP(-LN(2)/2)*AB54+(1-EXP(-LN(2)/2))/(LN(2)/2)*V55*Y55*VLOOKUP('Données projet'!$B$9,Paramètres!$A$1:$I$89,3,0)*0.475*44/12</f>
        <v>3.0832085603530062E-5</v>
      </c>
      <c r="AC55" s="24">
        <f t="shared" si="3"/>
        <v>30.161471289020703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30</v>
      </c>
      <c r="AJ55" s="14">
        <f>AI55*VLOOKUP('Données projet'!$B$10,Paramètres!$A$1:$I$89,3,0)*VLOOKUP('Données projet'!$B$10,Paramètres!$A$1:$I$89,5,0)</f>
        <v>16.473599999999998</v>
      </c>
      <c r="AK55" s="14">
        <f t="shared" si="35"/>
        <v>5.479064311766531</v>
      </c>
      <c r="AL55" s="22">
        <f t="shared" si="4"/>
        <v>38.2342236763267</v>
      </c>
      <c r="AM55" s="62">
        <f t="shared" si="5"/>
        <v>331.56755700965999</v>
      </c>
      <c r="AN55" s="62">
        <f ca="1">AVERAGE(OFFSET($AM$3,0,0,'Données projet'!$E$10+1,1))-AVERAGE(OFFSET($H$3,0,0,'Données projet'!$E$10+1,1))</f>
        <v>72.817281731857122</v>
      </c>
      <c r="AO55" s="62">
        <f t="shared" si="36"/>
        <v>327.78949950303326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30.59500265852142</v>
      </c>
      <c r="AV55" s="23">
        <f>EXP(-LN(2)/25)*AV54+(1-EXP(-LN(2)/25))/(LN(2)/25)*Calculateur!AQ55*Calculateur!AS55*VLOOKUP('Données projet'!$B$10,Paramètres!$A$1:$I$89,3,0)*0.475*44/12</f>
        <v>3.5427048682990079</v>
      </c>
      <c r="AW55" s="23">
        <f>EXP(-LN(2)/2)*AW54+(1-EXP(-LN(2)/2))/(LN(2)/2)*AQ55*AT55*VLOOKUP('Données projet'!$B$10,Paramètres!$A$1:$I$89,3,0)*0.475*44/12</f>
        <v>3.4896765699172313E-5</v>
      </c>
      <c r="AX55" s="23">
        <f t="shared" si="6"/>
        <v>34.137742423586126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30</v>
      </c>
      <c r="O56" s="14">
        <f>N56*VLOOKUP('Données projet'!$B$9,Paramètres!$A$1:$I$89,3,0)*VLOOKUP('Données projet'!$B$9,Paramètres!$A$1:$I$89,5,0)</f>
        <v>14.5548</v>
      </c>
      <c r="P56" s="14">
        <f t="shared" si="33"/>
        <v>4.9111633609399075</v>
      </c>
      <c r="Q56" s="22">
        <f t="shared" si="53"/>
        <v>33.903219520303679</v>
      </c>
      <c r="R56" s="62">
        <f t="shared" si="0"/>
        <v>327.23655285363702</v>
      </c>
      <c r="S56" s="62">
        <f ca="1">AVERAGE(OFFSET($R$3,0,0,'Données projet'!$E$9+1,1))-AVERAGE(OFFSET($H$3,0,0,'Données projet'!$E$9+1,1))</f>
        <v>65.585138535467195</v>
      </c>
      <c r="T56" s="62">
        <f t="shared" si="34"/>
        <v>292.56159092613944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26.501311311765647</v>
      </c>
      <c r="AA56" s="23">
        <f>EXP(-LN(2)/25)*AA55+(1-EXP(-LN(2)/25))/(LN(2)/25)*Calculateur!V56*Calculateur!X56*VLOOKUP('Données projet'!$B$9,Paramètres!$A$1:$I$89,3,0)*0.475*44/12</f>
        <v>3.0444686045536495</v>
      </c>
      <c r="AB56" s="23">
        <f>EXP(-LN(2)/2)*AB55+(1-EXP(-LN(2)/2))/(LN(2)/2)*V56*Y56*VLOOKUP('Données projet'!$B$9,Paramètres!$A$1:$I$89,3,0)*0.475*44/12</f>
        <v>2.1801576808380234E-5</v>
      </c>
      <c r="AC56" s="24">
        <f t="shared" si="3"/>
        <v>29.545801717896104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30</v>
      </c>
      <c r="AJ56" s="14">
        <f>AI56*VLOOKUP('Données projet'!$B$10,Paramètres!$A$1:$I$89,3,0)*VLOOKUP('Données projet'!$B$10,Paramètres!$A$1:$I$89,5,0)</f>
        <v>16.473599999999998</v>
      </c>
      <c r="AK56" s="14">
        <f t="shared" si="35"/>
        <v>5.479064311766531</v>
      </c>
      <c r="AL56" s="22">
        <f t="shared" si="4"/>
        <v>38.2342236763267</v>
      </c>
      <c r="AM56" s="62">
        <f t="shared" si="5"/>
        <v>331.56755700965999</v>
      </c>
      <c r="AN56" s="62">
        <f ca="1">AVERAGE(OFFSET($AM$3,0,0,'Données projet'!$E$10+1,1))-AVERAGE(OFFSET($H$3,0,0,'Données projet'!$E$10+1,1))</f>
        <v>72.817281731857122</v>
      </c>
      <c r="AO56" s="62">
        <f t="shared" si="36"/>
        <v>327.78949950303326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29.995053317496804</v>
      </c>
      <c r="AV56" s="23">
        <f>EXP(-LN(2)/25)*AV55+(1-EXP(-LN(2)/25))/(LN(2)/25)*Calculateur!AQ56*Calculateur!AS56*VLOOKUP('Données projet'!$B$10,Paramètres!$A$1:$I$89,3,0)*0.475*44/12</f>
        <v>3.4458294173726194</v>
      </c>
      <c r="AW56" s="23">
        <f>EXP(-LN(2)/2)*AW55+(1-EXP(-LN(2)/2))/(LN(2)/2)*AQ56*AT56*VLOOKUP('Données projet'!$B$10,Paramètres!$A$1:$I$89,3,0)*0.475*44/12</f>
        <v>2.4675739667362854E-5</v>
      </c>
      <c r="AX56" s="23">
        <f t="shared" si="6"/>
        <v>33.440907410609093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30</v>
      </c>
      <c r="O57" s="14">
        <f>N57*VLOOKUP('Données projet'!$B$9,Paramètres!$A$1:$I$89,3,0)*VLOOKUP('Données projet'!$B$9,Paramètres!$A$1:$I$89,5,0)</f>
        <v>14.5548</v>
      </c>
      <c r="P57" s="14">
        <f t="shared" si="33"/>
        <v>4.9111633609399075</v>
      </c>
      <c r="Q57" s="22">
        <f t="shared" si="53"/>
        <v>33.903219520303679</v>
      </c>
      <c r="R57" s="62">
        <f t="shared" si="0"/>
        <v>327.23655285363702</v>
      </c>
      <c r="S57" s="62">
        <f ca="1">AVERAGE(OFFSET($R$3,0,0,'Données projet'!$E$9+1,1))-AVERAGE(OFFSET($H$3,0,0,'Données projet'!$E$9+1,1))</f>
        <v>65.585138535467195</v>
      </c>
      <c r="T57" s="62">
        <f t="shared" si="34"/>
        <v>292.56159092613944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25.98163676114574</v>
      </c>
      <c r="AA57" s="23">
        <f>EXP(-LN(2)/25)*AA56+(1-EXP(-LN(2)/25))/(LN(2)/25)*Calculateur!V57*Calculateur!X57*VLOOKUP('Données projet'!$B$9,Paramètres!$A$1:$I$89,3,0)*0.475*44/12</f>
        <v>2.9612174504604845</v>
      </c>
      <c r="AB57" s="23">
        <f>EXP(-LN(2)/2)*AB56+(1-EXP(-LN(2)/2))/(LN(2)/2)*V57*Y57*VLOOKUP('Données projet'!$B$9,Paramètres!$A$1:$I$89,3,0)*0.475*44/12</f>
        <v>1.5416042801765031E-5</v>
      </c>
      <c r="AC57" s="24">
        <f t="shared" si="3"/>
        <v>28.942869627649028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30</v>
      </c>
      <c r="AJ57" s="14">
        <f>AI57*VLOOKUP('Données projet'!$B$10,Paramètres!$A$1:$I$89,3,0)*VLOOKUP('Données projet'!$B$10,Paramètres!$A$1:$I$89,5,0)</f>
        <v>16.473599999999998</v>
      </c>
      <c r="AK57" s="14">
        <f t="shared" si="35"/>
        <v>5.479064311766531</v>
      </c>
      <c r="AL57" s="22">
        <f t="shared" si="4"/>
        <v>38.2342236763267</v>
      </c>
      <c r="AM57" s="62">
        <f t="shared" si="5"/>
        <v>331.56755700965999</v>
      </c>
      <c r="AN57" s="62">
        <f ca="1">AVERAGE(OFFSET($AM$3,0,0,'Données projet'!$E$10+1,1))-AVERAGE(OFFSET($H$3,0,0,'Données projet'!$E$10+1,1))</f>
        <v>72.817281731857122</v>
      </c>
      <c r="AO57" s="62">
        <f t="shared" si="36"/>
        <v>327.78949950303326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29.406868617116718</v>
      </c>
      <c r="AV57" s="23">
        <f>EXP(-LN(2)/25)*AV56+(1-EXP(-LN(2)/25))/(LN(2)/25)*Calculateur!AQ57*Calculateur!AS57*VLOOKUP('Données projet'!$B$10,Paramètres!$A$1:$I$89,3,0)*0.475*44/12</f>
        <v>3.3516030307462716</v>
      </c>
      <c r="AW57" s="23">
        <f>EXP(-LN(2)/2)*AW56+(1-EXP(-LN(2)/2))/(LN(2)/2)*AQ57*AT57*VLOOKUP('Données projet'!$B$10,Paramètres!$A$1:$I$89,3,0)*0.475*44/12</f>
        <v>1.7448382849586157E-5</v>
      </c>
      <c r="AX57" s="23">
        <f t="shared" si="6"/>
        <v>32.758489096245839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30</v>
      </c>
      <c r="O58" s="14">
        <f>N58*VLOOKUP('Données projet'!$B$9,Paramètres!$A$1:$I$89,3,0)*VLOOKUP('Données projet'!$B$9,Paramètres!$A$1:$I$89,5,0)</f>
        <v>14.5548</v>
      </c>
      <c r="P58" s="14">
        <f t="shared" si="33"/>
        <v>4.9111633609399075</v>
      </c>
      <c r="Q58" s="22">
        <f t="shared" si="53"/>
        <v>33.903219520303679</v>
      </c>
      <c r="R58" s="62">
        <f t="shared" si="0"/>
        <v>327.23655285363702</v>
      </c>
      <c r="S58" s="62">
        <f ca="1">AVERAGE(OFFSET($R$3,0,0,'Données projet'!$E$9+1,1))-AVERAGE(OFFSET($H$3,0,0,'Données projet'!$E$9+1,1))</f>
        <v>65.585138535467195</v>
      </c>
      <c r="T58" s="62">
        <f t="shared" si="34"/>
        <v>292.56159092613944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25.472152711493312</v>
      </c>
      <c r="AA58" s="23">
        <f>EXP(-LN(2)/25)*AA57+(1-EXP(-LN(2)/25))/(LN(2)/25)*Calculateur!V58*Calculateur!X58*VLOOKUP('Données projet'!$B$9,Paramètres!$A$1:$I$89,3,0)*0.475*44/12</f>
        <v>2.8802428035539847</v>
      </c>
      <c r="AB58" s="23">
        <f>EXP(-LN(2)/2)*AB57+(1-EXP(-LN(2)/2))/(LN(2)/2)*V58*Y58*VLOOKUP('Données projet'!$B$9,Paramètres!$A$1:$I$89,3,0)*0.475*44/12</f>
        <v>1.0900788404190117E-5</v>
      </c>
      <c r="AC58" s="24">
        <f t="shared" si="3"/>
        <v>28.352406415835699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30</v>
      </c>
      <c r="AJ58" s="14">
        <f>AI58*VLOOKUP('Données projet'!$B$10,Paramètres!$A$1:$I$89,3,0)*VLOOKUP('Données projet'!$B$10,Paramètres!$A$1:$I$89,5,0)</f>
        <v>16.473599999999998</v>
      </c>
      <c r="AK58" s="14">
        <f t="shared" si="35"/>
        <v>5.479064311766531</v>
      </c>
      <c r="AL58" s="22">
        <f t="shared" si="4"/>
        <v>38.2342236763267</v>
      </c>
      <c r="AM58" s="62">
        <f t="shared" si="5"/>
        <v>331.56755700965999</v>
      </c>
      <c r="AN58" s="62">
        <f ca="1">AVERAGE(OFFSET($AM$3,0,0,'Données projet'!$E$10+1,1))-AVERAGE(OFFSET($H$3,0,0,'Données projet'!$E$10+1,1))</f>
        <v>72.817281731857122</v>
      </c>
      <c r="AO58" s="62">
        <f t="shared" si="36"/>
        <v>327.78949950303326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28.830217859953841</v>
      </c>
      <c r="AV58" s="23">
        <f>EXP(-LN(2)/25)*AV57+(1-EXP(-LN(2)/25))/(LN(2)/25)*Calculateur!AQ58*Calculateur!AS58*VLOOKUP('Données projet'!$B$10,Paramètres!$A$1:$I$89,3,0)*0.475*44/12</f>
        <v>3.2599532696173719</v>
      </c>
      <c r="AW58" s="23">
        <f>EXP(-LN(2)/2)*AW57+(1-EXP(-LN(2)/2))/(LN(2)/2)*AQ58*AT58*VLOOKUP('Données projet'!$B$10,Paramètres!$A$1:$I$89,3,0)*0.475*44/12</f>
        <v>1.2337869833681427E-5</v>
      </c>
      <c r="AX58" s="23">
        <f t="shared" si="6"/>
        <v>32.090183467441044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30</v>
      </c>
      <c r="O59" s="14">
        <f>N59*VLOOKUP('Données projet'!$B$9,Paramètres!$A$1:$I$89,3,0)*VLOOKUP('Données projet'!$B$9,Paramètres!$A$1:$I$89,5,0)</f>
        <v>14.5548</v>
      </c>
      <c r="P59" s="14">
        <f t="shared" si="33"/>
        <v>4.9111633609399075</v>
      </c>
      <c r="Q59" s="22">
        <f t="shared" si="53"/>
        <v>33.903219520303679</v>
      </c>
      <c r="R59" s="62">
        <f t="shared" si="0"/>
        <v>327.23655285363702</v>
      </c>
      <c r="S59" s="62">
        <f ca="1">AVERAGE(OFFSET($R$3,0,0,'Données projet'!$E$9+1,1))-AVERAGE(OFFSET($H$3,0,0,'Données projet'!$E$9+1,1))</f>
        <v>65.585138535467195</v>
      </c>
      <c r="T59" s="62">
        <f t="shared" si="34"/>
        <v>292.56159092613944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24.972659333299983</v>
      </c>
      <c r="AA59" s="23">
        <f>EXP(-LN(2)/25)*AA58+(1-EXP(-LN(2)/25))/(LN(2)/25)*Calculateur!V59*Calculateur!X59*VLOOKUP('Données projet'!$B$9,Paramètres!$A$1:$I$89,3,0)*0.475*44/12</f>
        <v>2.8014824126254148</v>
      </c>
      <c r="AB59" s="23">
        <f>EXP(-LN(2)/2)*AB58+(1-EXP(-LN(2)/2))/(LN(2)/2)*V59*Y59*VLOOKUP('Données projet'!$B$9,Paramètres!$A$1:$I$89,3,0)*0.475*44/12</f>
        <v>7.7080214008825154E-6</v>
      </c>
      <c r="AC59" s="24">
        <f t="shared" si="3"/>
        <v>27.774149453946798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30</v>
      </c>
      <c r="AJ59" s="14">
        <f>AI59*VLOOKUP('Données projet'!$B$10,Paramètres!$A$1:$I$89,3,0)*VLOOKUP('Données projet'!$B$10,Paramètres!$A$1:$I$89,5,0)</f>
        <v>16.473599999999998</v>
      </c>
      <c r="AK59" s="14">
        <f t="shared" si="35"/>
        <v>5.479064311766531</v>
      </c>
      <c r="AL59" s="22">
        <f t="shared" si="4"/>
        <v>38.2342236763267</v>
      </c>
      <c r="AM59" s="62">
        <f t="shared" si="5"/>
        <v>331.56755700965999</v>
      </c>
      <c r="AN59" s="62">
        <f ca="1">AVERAGE(OFFSET($AM$3,0,0,'Données projet'!$E$10+1,1))-AVERAGE(OFFSET($H$3,0,0,'Données projet'!$E$10+1,1))</f>
        <v>72.817281731857122</v>
      </c>
      <c r="AO59" s="62">
        <f t="shared" si="36"/>
        <v>327.78949950303326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28.264874872416694</v>
      </c>
      <c r="AV59" s="23">
        <f>EXP(-LN(2)/25)*AV58+(1-EXP(-LN(2)/25))/(LN(2)/25)*Calculateur!AQ59*Calculateur!AS59*VLOOKUP('Données projet'!$B$10,Paramètres!$A$1:$I$89,3,0)*0.475*44/12</f>
        <v>3.170809676026193</v>
      </c>
      <c r="AW59" s="23">
        <f>EXP(-LN(2)/2)*AW58+(1-EXP(-LN(2)/2))/(LN(2)/2)*AQ59*AT59*VLOOKUP('Données projet'!$B$10,Paramètres!$A$1:$I$89,3,0)*0.475*44/12</f>
        <v>8.7241914247930783E-6</v>
      </c>
      <c r="AX59" s="23">
        <f t="shared" si="6"/>
        <v>31.43569327263431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30</v>
      </c>
      <c r="O60" s="14">
        <f>N60*VLOOKUP('Données projet'!$B$9,Paramètres!$A$1:$I$89,3,0)*VLOOKUP('Données projet'!$B$9,Paramètres!$A$1:$I$89,5,0)</f>
        <v>14.5548</v>
      </c>
      <c r="P60" s="14">
        <f t="shared" si="33"/>
        <v>4.9111633609399075</v>
      </c>
      <c r="Q60" s="22">
        <f t="shared" si="53"/>
        <v>33.903219520303679</v>
      </c>
      <c r="R60" s="62">
        <f t="shared" si="0"/>
        <v>327.23655285363702</v>
      </c>
      <c r="S60" s="62">
        <f ca="1">AVERAGE(OFFSET($R$3,0,0,'Données projet'!$E$9+1,1))-AVERAGE(OFFSET($H$3,0,0,'Données projet'!$E$9+1,1))</f>
        <v>65.585138535467195</v>
      </c>
      <c r="T60" s="62">
        <f t="shared" si="34"/>
        <v>292.56159092613944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24.482960715592146</v>
      </c>
      <c r="AA60" s="23">
        <f>EXP(-LN(2)/25)*AA59+(1-EXP(-LN(2)/25))/(LN(2)/25)*Calculateur!V60*Calculateur!X60*VLOOKUP('Données projet'!$B$9,Paramètres!$A$1:$I$89,3,0)*0.475*44/12</f>
        <v>2.7248757287286156</v>
      </c>
      <c r="AB60" s="23">
        <f>EXP(-LN(2)/2)*AB59+(1-EXP(-LN(2)/2))/(LN(2)/2)*V60*Y60*VLOOKUP('Données projet'!$B$9,Paramètres!$A$1:$I$89,3,0)*0.475*44/12</f>
        <v>5.4503942020950586E-6</v>
      </c>
      <c r="AC60" s="24">
        <f t="shared" si="3"/>
        <v>27.207841894714964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30</v>
      </c>
      <c r="AJ60" s="14">
        <f>AI60*VLOOKUP('Données projet'!$B$10,Paramètres!$A$1:$I$89,3,0)*VLOOKUP('Données projet'!$B$10,Paramètres!$A$1:$I$89,5,0)</f>
        <v>16.473599999999998</v>
      </c>
      <c r="AK60" s="14">
        <f t="shared" si="35"/>
        <v>5.479064311766531</v>
      </c>
      <c r="AL60" s="22">
        <f t="shared" si="4"/>
        <v>38.2342236763267</v>
      </c>
      <c r="AM60" s="62">
        <f t="shared" si="5"/>
        <v>331.56755700965999</v>
      </c>
      <c r="AN60" s="62">
        <f ca="1">AVERAGE(OFFSET($AM$3,0,0,'Données projet'!$E$10+1,1))-AVERAGE(OFFSET($H$3,0,0,'Données projet'!$E$10+1,1))</f>
        <v>72.817281731857122</v>
      </c>
      <c r="AO60" s="62">
        <f t="shared" si="36"/>
        <v>327.78949950303326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27.710617916039979</v>
      </c>
      <c r="AV60" s="23">
        <f>EXP(-LN(2)/25)*AV59+(1-EXP(-LN(2)/25))/(LN(2)/25)*Calculateur!AQ60*Calculateur!AS60*VLOOKUP('Données projet'!$B$10,Paramètres!$A$1:$I$89,3,0)*0.475*44/12</f>
        <v>3.0841037186896227</v>
      </c>
      <c r="AW60" s="23">
        <f>EXP(-LN(2)/2)*AW59+(1-EXP(-LN(2)/2))/(LN(2)/2)*AQ60*AT60*VLOOKUP('Données projet'!$B$10,Paramètres!$A$1:$I$89,3,0)*0.475*44/12</f>
        <v>6.1689349168407136E-6</v>
      </c>
      <c r="AX60" s="23">
        <f t="shared" si="6"/>
        <v>30.794727803664518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30</v>
      </c>
      <c r="O61" s="14">
        <f>N61*VLOOKUP('Données projet'!$B$9,Paramètres!$A$1:$I$89,3,0)*VLOOKUP('Données projet'!$B$9,Paramètres!$A$1:$I$89,5,0)</f>
        <v>14.5548</v>
      </c>
      <c r="P61" s="14">
        <f t="shared" si="33"/>
        <v>4.9111633609399075</v>
      </c>
      <c r="Q61" s="22">
        <f t="shared" si="53"/>
        <v>33.903219520303679</v>
      </c>
      <c r="R61" s="62">
        <f t="shared" si="0"/>
        <v>327.23655285363702</v>
      </c>
      <c r="S61" s="62">
        <f ca="1">AVERAGE(OFFSET($R$3,0,0,'Données projet'!$E$9+1,1))-AVERAGE(OFFSET($H$3,0,0,'Données projet'!$E$9+1,1))</f>
        <v>65.585138535467195</v>
      </c>
      <c r="T61" s="62">
        <f t="shared" si="34"/>
        <v>292.56159092613944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24.002864789090896</v>
      </c>
      <c r="AA61" s="23">
        <f>EXP(-LN(2)/25)*AA60+(1-EXP(-LN(2)/25))/(LN(2)/25)*Calculateur!V61*Calculateur!X61*VLOOKUP('Données projet'!$B$9,Paramètres!$A$1:$I$89,3,0)*0.475*44/12</f>
        <v>2.650363858631545</v>
      </c>
      <c r="AB61" s="23">
        <f>EXP(-LN(2)/2)*AB60+(1-EXP(-LN(2)/2))/(LN(2)/2)*V61*Y61*VLOOKUP('Données projet'!$B$9,Paramètres!$A$1:$I$89,3,0)*0.475*44/12</f>
        <v>3.8540107004412577E-6</v>
      </c>
      <c r="AC61" s="24">
        <f t="shared" si="3"/>
        <v>26.653232501733143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30</v>
      </c>
      <c r="AJ61" s="14">
        <f>AI61*VLOOKUP('Données projet'!$B$10,Paramètres!$A$1:$I$89,3,0)*VLOOKUP('Données projet'!$B$10,Paramètres!$A$1:$I$89,5,0)</f>
        <v>16.473599999999998</v>
      </c>
      <c r="AK61" s="14">
        <f t="shared" si="35"/>
        <v>5.479064311766531</v>
      </c>
      <c r="AL61" s="22">
        <f t="shared" si="4"/>
        <v>38.2342236763267</v>
      </c>
      <c r="AM61" s="62">
        <f t="shared" si="5"/>
        <v>331.56755700965999</v>
      </c>
      <c r="AN61" s="62">
        <f ca="1">AVERAGE(OFFSET($AM$3,0,0,'Données projet'!$E$10+1,1))-AVERAGE(OFFSET($H$3,0,0,'Données projet'!$E$10+1,1))</f>
        <v>72.817281731857122</v>
      </c>
      <c r="AO61" s="62">
        <f t="shared" si="36"/>
        <v>327.78949950303326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27.16722960051445</v>
      </c>
      <c r="AV61" s="23">
        <f>EXP(-LN(2)/25)*AV60+(1-EXP(-LN(2)/25))/(LN(2)/25)*Calculateur!AQ61*Calculateur!AS61*VLOOKUP('Données projet'!$B$10,Paramètres!$A$1:$I$89,3,0)*0.475*44/12</f>
        <v>2.9997687403160893</v>
      </c>
      <c r="AW61" s="23">
        <f>EXP(-LN(2)/2)*AW60+(1-EXP(-LN(2)/2))/(LN(2)/2)*AQ61*AT61*VLOOKUP('Données projet'!$B$10,Paramètres!$A$1:$I$89,3,0)*0.475*44/12</f>
        <v>4.3620957123965391E-6</v>
      </c>
      <c r="AX61" s="23">
        <f t="shared" si="6"/>
        <v>30.167002702926251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30</v>
      </c>
      <c r="O62" s="14">
        <f>N62*VLOOKUP('Données projet'!$B$9,Paramètres!$A$1:$I$89,3,0)*VLOOKUP('Données projet'!$B$9,Paramètres!$A$1:$I$89,5,0)</f>
        <v>14.5548</v>
      </c>
      <c r="P62" s="14">
        <f t="shared" si="33"/>
        <v>4.9111633609399075</v>
      </c>
      <c r="Q62" s="22">
        <f t="shared" si="53"/>
        <v>33.903219520303679</v>
      </c>
      <c r="R62" s="62">
        <f t="shared" si="0"/>
        <v>327.23655285363702</v>
      </c>
      <c r="S62" s="62">
        <f ca="1">AVERAGE(OFFSET($R$3,0,0,'Données projet'!$E$9+1,1))-AVERAGE(OFFSET($H$3,0,0,'Données projet'!$E$9+1,1))</f>
        <v>65.585138535467195</v>
      </c>
      <c r="T62" s="62">
        <f t="shared" si="34"/>
        <v>292.56159092613944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23.532183250878735</v>
      </c>
      <c r="AA62" s="23">
        <f>EXP(-LN(2)/25)*AA61+(1-EXP(-LN(2)/25))/(LN(2)/25)*Calculateur!V62*Calculateur!X62*VLOOKUP('Données projet'!$B$9,Paramètres!$A$1:$I$89,3,0)*0.475*44/12</f>
        <v>2.5778895195406877</v>
      </c>
      <c r="AB62" s="23">
        <f>EXP(-LN(2)/2)*AB61+(1-EXP(-LN(2)/2))/(LN(2)/2)*V62*Y62*VLOOKUP('Données projet'!$B$9,Paramètres!$A$1:$I$89,3,0)*0.475*44/12</f>
        <v>2.7251971010475293E-6</v>
      </c>
      <c r="AC62" s="24">
        <f t="shared" si="3"/>
        <v>26.110075495616524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30</v>
      </c>
      <c r="AJ62" s="14">
        <f>AI62*VLOOKUP('Données projet'!$B$10,Paramètres!$A$1:$I$89,3,0)*VLOOKUP('Données projet'!$B$10,Paramètres!$A$1:$I$89,5,0)</f>
        <v>16.473599999999998</v>
      </c>
      <c r="AK62" s="14">
        <f t="shared" si="35"/>
        <v>5.479064311766531</v>
      </c>
      <c r="AL62" s="22">
        <f t="shared" si="4"/>
        <v>38.2342236763267</v>
      </c>
      <c r="AM62" s="62">
        <f t="shared" si="5"/>
        <v>331.56755700965999</v>
      </c>
      <c r="AN62" s="62">
        <f ca="1">AVERAGE(OFFSET($AM$3,0,0,'Données projet'!$E$10+1,1))-AVERAGE(OFFSET($H$3,0,0,'Données projet'!$E$10+1,1))</f>
        <v>72.817281731857122</v>
      </c>
      <c r="AO62" s="62">
        <f t="shared" si="36"/>
        <v>327.78949950303326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26.63449679842223</v>
      </c>
      <c r="AV62" s="23">
        <f>EXP(-LN(2)/25)*AV61+(1-EXP(-LN(2)/25))/(LN(2)/25)*Calculateur!AQ62*Calculateur!AS62*VLOOKUP('Données projet'!$B$10,Paramètres!$A$1:$I$89,3,0)*0.475*44/12</f>
        <v>2.917739906361164</v>
      </c>
      <c r="AW62" s="23">
        <f>EXP(-LN(2)/2)*AW61+(1-EXP(-LN(2)/2))/(LN(2)/2)*AQ62*AT62*VLOOKUP('Données projet'!$B$10,Paramètres!$A$1:$I$89,3,0)*0.475*44/12</f>
        <v>3.0844674584203568E-6</v>
      </c>
      <c r="AX62" s="23">
        <f t="shared" si="6"/>
        <v>29.552239789250851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30</v>
      </c>
      <c r="O63" s="14">
        <f>N63*VLOOKUP('Données projet'!$B$9,Paramètres!$A$1:$I$89,3,0)*VLOOKUP('Données projet'!$B$9,Paramètres!$A$1:$I$89,5,0)</f>
        <v>14.5548</v>
      </c>
      <c r="P63" s="14">
        <f t="shared" si="33"/>
        <v>4.9111633609399075</v>
      </c>
      <c r="Q63" s="22">
        <f t="shared" si="53"/>
        <v>33.903219520303679</v>
      </c>
      <c r="R63" s="62">
        <f t="shared" si="0"/>
        <v>327.23655285363702</v>
      </c>
      <c r="S63" s="62">
        <f ca="1">AVERAGE(OFFSET($R$3,0,0,'Données projet'!$E$9+1,1))-AVERAGE(OFFSET($H$3,0,0,'Données projet'!$E$9+1,1))</f>
        <v>65.585138535467195</v>
      </c>
      <c r="T63" s="62">
        <f t="shared" si="34"/>
        <v>292.56159092613944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23.070731490543523</v>
      </c>
      <c r="AA63" s="23">
        <f>EXP(-LN(2)/25)*AA62+(1-EXP(-LN(2)/25))/(LN(2)/25)*Calculateur!V63*Calculateur!X63*VLOOKUP('Données projet'!$B$9,Paramètres!$A$1:$I$89,3,0)*0.475*44/12</f>
        <v>2.5073969950635298</v>
      </c>
      <c r="AB63" s="23">
        <f>EXP(-LN(2)/2)*AB62+(1-EXP(-LN(2)/2))/(LN(2)/2)*V63*Y63*VLOOKUP('Données projet'!$B$9,Paramètres!$A$1:$I$89,3,0)*0.475*44/12</f>
        <v>1.9270053502206289E-6</v>
      </c>
      <c r="AC63" s="24">
        <f t="shared" si="3"/>
        <v>25.578130412612403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30</v>
      </c>
      <c r="AJ63" s="14">
        <f>AI63*VLOOKUP('Données projet'!$B$10,Paramètres!$A$1:$I$89,3,0)*VLOOKUP('Données projet'!$B$10,Paramètres!$A$1:$I$89,5,0)</f>
        <v>16.473599999999998</v>
      </c>
      <c r="AK63" s="14">
        <f t="shared" si="35"/>
        <v>5.479064311766531</v>
      </c>
      <c r="AL63" s="22">
        <f t="shared" si="4"/>
        <v>38.2342236763267</v>
      </c>
      <c r="AM63" s="62">
        <f t="shared" si="5"/>
        <v>331.56755700965999</v>
      </c>
      <c r="AN63" s="62">
        <f ca="1">AVERAGE(OFFSET($AM$3,0,0,'Données projet'!$E$10+1,1))-AVERAGE(OFFSET($H$3,0,0,'Données projet'!$E$10+1,1))</f>
        <v>72.817281731857122</v>
      </c>
      <c r="AO63" s="62">
        <f t="shared" si="36"/>
        <v>327.78949950303326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26.112210561644112</v>
      </c>
      <c r="AV63" s="23">
        <f>EXP(-LN(2)/25)*AV62+(1-EXP(-LN(2)/25))/(LN(2)/25)*Calculateur!AQ63*Calculateur!AS63*VLOOKUP('Données projet'!$B$10,Paramètres!$A$1:$I$89,3,0)*0.475*44/12</f>
        <v>2.8379541551844447</v>
      </c>
      <c r="AW63" s="23">
        <f>EXP(-LN(2)/2)*AW62+(1-EXP(-LN(2)/2))/(LN(2)/2)*AQ63*AT63*VLOOKUP('Données projet'!$B$10,Paramètres!$A$1:$I$89,3,0)*0.475*44/12</f>
        <v>2.1810478561982696E-6</v>
      </c>
      <c r="AX63" s="23">
        <f t="shared" si="6"/>
        <v>28.950166897876414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30</v>
      </c>
      <c r="O64" s="14">
        <f>N64*VLOOKUP('Données projet'!$B$9,Paramètres!$A$1:$I$89,3,0)*VLOOKUP('Données projet'!$B$9,Paramètres!$A$1:$I$89,5,0)</f>
        <v>14.5548</v>
      </c>
      <c r="P64" s="14">
        <f t="shared" si="33"/>
        <v>4.9111633609399075</v>
      </c>
      <c r="Q64" s="22">
        <f t="shared" si="53"/>
        <v>33.903219520303679</v>
      </c>
      <c r="R64" s="62">
        <f t="shared" si="0"/>
        <v>327.23655285363702</v>
      </c>
      <c r="S64" s="62">
        <f ca="1">AVERAGE(OFFSET($R$3,0,0,'Données projet'!$E$9+1,1))-AVERAGE(OFFSET($H$3,0,0,'Données projet'!$E$9+1,1))</f>
        <v>65.585138535467195</v>
      </c>
      <c r="T64" s="62">
        <f t="shared" si="34"/>
        <v>292.56159092613944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22.618328517770703</v>
      </c>
      <c r="AA64" s="23">
        <f>EXP(-LN(2)/25)*AA63+(1-EXP(-LN(2)/25))/(LN(2)/25)*Calculateur!V64*Calculateur!X64*VLOOKUP('Données projet'!$B$9,Paramètres!$A$1:$I$89,3,0)*0.475*44/12</f>
        <v>2.4388320923752405</v>
      </c>
      <c r="AB64" s="23">
        <f>EXP(-LN(2)/2)*AB63+(1-EXP(-LN(2)/2))/(LN(2)/2)*V64*Y64*VLOOKUP('Données projet'!$B$9,Paramètres!$A$1:$I$89,3,0)*0.475*44/12</f>
        <v>1.3625985505237646E-6</v>
      </c>
      <c r="AC64" s="24">
        <f t="shared" si="3"/>
        <v>25.057161972744492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30</v>
      </c>
      <c r="AJ64" s="14">
        <f>AI64*VLOOKUP('Données projet'!$B$10,Paramètres!$A$1:$I$89,3,0)*VLOOKUP('Données projet'!$B$10,Paramètres!$A$1:$I$89,5,0)</f>
        <v>16.473599999999998</v>
      </c>
      <c r="AK64" s="14">
        <f t="shared" si="35"/>
        <v>5.479064311766531</v>
      </c>
      <c r="AL64" s="22">
        <f t="shared" si="4"/>
        <v>38.2342236763267</v>
      </c>
      <c r="AM64" s="62">
        <f t="shared" si="5"/>
        <v>331.56755700965999</v>
      </c>
      <c r="AN64" s="62">
        <f ca="1">AVERAGE(OFFSET($AM$3,0,0,'Données projet'!$E$10+1,1))-AVERAGE(OFFSET($H$3,0,0,'Données projet'!$E$10+1,1))</f>
        <v>72.817281731857122</v>
      </c>
      <c r="AO64" s="62">
        <f t="shared" si="36"/>
        <v>327.78949950303326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25.600166039406066</v>
      </c>
      <c r="AV64" s="23">
        <f>EXP(-LN(2)/25)*AV63+(1-EXP(-LN(2)/25))/(LN(2)/25)*Calculateur!AQ64*Calculateur!AS64*VLOOKUP('Données projet'!$B$10,Paramètres!$A$1:$I$89,3,0)*0.475*44/12</f>
        <v>2.7603501495694034</v>
      </c>
      <c r="AW64" s="23">
        <f>EXP(-LN(2)/2)*AW63+(1-EXP(-LN(2)/2))/(LN(2)/2)*AQ64*AT64*VLOOKUP('Données projet'!$B$10,Paramètres!$A$1:$I$89,3,0)*0.475*44/12</f>
        <v>1.5422337292101784E-6</v>
      </c>
      <c r="AX64" s="23">
        <f t="shared" si="6"/>
        <v>28.3605177312092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30</v>
      </c>
      <c r="O65" s="14">
        <f>N65*VLOOKUP('Données projet'!$B$9,Paramètres!$A$1:$I$89,3,0)*VLOOKUP('Données projet'!$B$9,Paramètres!$A$1:$I$89,5,0)</f>
        <v>14.5548</v>
      </c>
      <c r="P65" s="14">
        <f t="shared" si="33"/>
        <v>4.9111633609399075</v>
      </c>
      <c r="Q65" s="22">
        <f t="shared" si="53"/>
        <v>33.903219520303679</v>
      </c>
      <c r="R65" s="62">
        <f t="shared" si="0"/>
        <v>327.23655285363702</v>
      </c>
      <c r="S65" s="62">
        <f ca="1">AVERAGE(OFFSET($R$3,0,0,'Données projet'!$E$9+1,1))-AVERAGE(OFFSET($H$3,0,0,'Données projet'!$E$9+1,1))</f>
        <v>65.585138535467195</v>
      </c>
      <c r="T65" s="62">
        <f t="shared" si="34"/>
        <v>292.56159092613944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22.174796891355392</v>
      </c>
      <c r="AA65" s="23">
        <f>EXP(-LN(2)/25)*AA64+(1-EXP(-LN(2)/25))/(LN(2)/25)*Calculateur!V65*Calculateur!X65*VLOOKUP('Données projet'!$B$9,Paramètres!$A$1:$I$89,3,0)*0.475*44/12</f>
        <v>2.3721421005566339</v>
      </c>
      <c r="AB65" s="23">
        <f>EXP(-LN(2)/2)*AB64+(1-EXP(-LN(2)/2))/(LN(2)/2)*V65*Y65*VLOOKUP('Données projet'!$B$9,Paramètres!$A$1:$I$89,3,0)*0.475*44/12</f>
        <v>9.6350267511031443E-7</v>
      </c>
      <c r="AC65" s="24">
        <f t="shared" si="3"/>
        <v>24.5469399554147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30</v>
      </c>
      <c r="AJ65" s="14">
        <f>AI65*VLOOKUP('Données projet'!$B$10,Paramètres!$A$1:$I$89,3,0)*VLOOKUP('Données projet'!$B$10,Paramètres!$A$1:$I$89,5,0)</f>
        <v>16.473599999999998</v>
      </c>
      <c r="AK65" s="14">
        <f t="shared" si="35"/>
        <v>5.479064311766531</v>
      </c>
      <c r="AL65" s="22">
        <f t="shared" si="4"/>
        <v>38.2342236763267</v>
      </c>
      <c r="AM65" s="62">
        <f t="shared" si="5"/>
        <v>331.56755700965999</v>
      </c>
      <c r="AN65" s="62">
        <f ca="1">AVERAGE(OFFSET($AM$3,0,0,'Données projet'!$E$10+1,1))-AVERAGE(OFFSET($H$3,0,0,'Données projet'!$E$10+1,1))</f>
        <v>72.817281731857122</v>
      </c>
      <c r="AO65" s="62">
        <f t="shared" si="36"/>
        <v>327.78949950303326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25.098162397932786</v>
      </c>
      <c r="AV65" s="23">
        <f>EXP(-LN(2)/25)*AV64+(1-EXP(-LN(2)/25))/(LN(2)/25)*Calculateur!AQ65*Calculateur!AS65*VLOOKUP('Données projet'!$B$10,Paramètres!$A$1:$I$89,3,0)*0.475*44/12</f>
        <v>2.6848682295689223</v>
      </c>
      <c r="AW65" s="23">
        <f>EXP(-LN(2)/2)*AW64+(1-EXP(-LN(2)/2))/(LN(2)/2)*AQ65*AT65*VLOOKUP('Données projet'!$B$10,Paramètres!$A$1:$I$89,3,0)*0.475*44/12</f>
        <v>1.0905239280991348E-6</v>
      </c>
      <c r="AX65" s="23">
        <f t="shared" si="6"/>
        <v>27.783031718025637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30</v>
      </c>
      <c r="O66" s="14">
        <f>N66*VLOOKUP('Données projet'!$B$9,Paramètres!$A$1:$I$89,3,0)*VLOOKUP('Données projet'!$B$9,Paramètres!$A$1:$I$89,5,0)</f>
        <v>14.5548</v>
      </c>
      <c r="P66" s="14">
        <f t="shared" si="33"/>
        <v>4.9111633609399075</v>
      </c>
      <c r="Q66" s="22">
        <f t="shared" si="53"/>
        <v>33.903219520303679</v>
      </c>
      <c r="R66" s="62">
        <f t="shared" si="0"/>
        <v>327.23655285363702</v>
      </c>
      <c r="S66" s="62">
        <f ca="1">AVERAGE(OFFSET($R$3,0,0,'Données projet'!$E$9+1,1))-AVERAGE(OFFSET($H$3,0,0,'Données projet'!$E$9+1,1))</f>
        <v>65.585138535467195</v>
      </c>
      <c r="T66" s="62">
        <f t="shared" si="34"/>
        <v>292.56159092613944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21.739962649606504</v>
      </c>
      <c r="AA66" s="23">
        <f>EXP(-LN(2)/25)*AA65+(1-EXP(-LN(2)/25))/(LN(2)/25)*Calculateur!V66*Calculateur!X66*VLOOKUP('Données projet'!$B$9,Paramètres!$A$1:$I$89,3,0)*0.475*44/12</f>
        <v>2.3072757500713812</v>
      </c>
      <c r="AB66" s="23">
        <f>EXP(-LN(2)/2)*AB65+(1-EXP(-LN(2)/2))/(LN(2)/2)*V66*Y66*VLOOKUP('Données projet'!$B$9,Paramètres!$A$1:$I$89,3,0)*0.475*44/12</f>
        <v>6.8129927526188232E-7</v>
      </c>
      <c r="AC66" s="24">
        <f t="shared" si="3"/>
        <v>24.04723908097716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30</v>
      </c>
      <c r="AJ66" s="14">
        <f>AI66*VLOOKUP('Données projet'!$B$10,Paramètres!$A$1:$I$89,3,0)*VLOOKUP('Données projet'!$B$10,Paramètres!$A$1:$I$89,5,0)</f>
        <v>16.473599999999998</v>
      </c>
      <c r="AK66" s="14">
        <f t="shared" si="35"/>
        <v>5.479064311766531</v>
      </c>
      <c r="AL66" s="22">
        <f t="shared" si="4"/>
        <v>38.2342236763267</v>
      </c>
      <c r="AM66" s="62">
        <f t="shared" si="5"/>
        <v>331.56755700965999</v>
      </c>
      <c r="AN66" s="62">
        <f ca="1">AVERAGE(OFFSET($AM$3,0,0,'Données projet'!$E$10+1,1))-AVERAGE(OFFSET($H$3,0,0,'Données projet'!$E$10+1,1))</f>
        <v>72.817281731857122</v>
      </c>
      <c r="AO66" s="62">
        <f t="shared" si="36"/>
        <v>327.78949950303326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24.606002741676811</v>
      </c>
      <c r="AV66" s="23">
        <f>EXP(-LN(2)/25)*AV65+(1-EXP(-LN(2)/25))/(LN(2)/25)*Calculateur!AQ66*Calculateur!AS66*VLOOKUP('Données projet'!$B$10,Paramètres!$A$1:$I$89,3,0)*0.475*44/12</f>
        <v>2.6114503666402764</v>
      </c>
      <c r="AW66" s="23">
        <f>EXP(-LN(2)/2)*AW65+(1-EXP(-LN(2)/2))/(LN(2)/2)*AQ66*AT66*VLOOKUP('Données projet'!$B$10,Paramètres!$A$1:$I$89,3,0)*0.475*44/12</f>
        <v>7.711168646050892E-7</v>
      </c>
      <c r="AX66" s="23">
        <f t="shared" si="6"/>
        <v>27.217453879433954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30</v>
      </c>
      <c r="O67" s="14">
        <f>N67*VLOOKUP('Données projet'!$B$9,Paramètres!$A$1:$I$89,3,0)*VLOOKUP('Données projet'!$B$9,Paramètres!$A$1:$I$89,5,0)</f>
        <v>14.5548</v>
      </c>
      <c r="P67" s="14">
        <f t="shared" si="33"/>
        <v>4.9111633609399075</v>
      </c>
      <c r="Q67" s="22">
        <f t="shared" ref="Q67:Q98" si="54">(O67+P67)*0.475*44/12</f>
        <v>33.903219520303679</v>
      </c>
      <c r="R67" s="62">
        <f t="shared" ref="R67:R130" si="55">Q67+(I67+J67)*44/12</f>
        <v>327.23655285363702</v>
      </c>
      <c r="S67" s="62">
        <f ca="1">AVERAGE(OFFSET($R$3,0,0,'Données projet'!$E$9+1,1))-AVERAGE(OFFSET($H$3,0,0,'Données projet'!$E$9+1,1))</f>
        <v>65.585138535467195</v>
      </c>
      <c r="T67" s="62">
        <f t="shared" si="34"/>
        <v>292.56159092613944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21.313655242115615</v>
      </c>
      <c r="AA67" s="23">
        <f>EXP(-LN(2)/25)*AA66+(1-EXP(-LN(2)/25))/(LN(2)/25)*Calculateur!V67*Calculateur!X67*VLOOKUP('Données projet'!$B$9,Paramètres!$A$1:$I$89,3,0)*0.475*44/12</f>
        <v>2.2441831733513209</v>
      </c>
      <c r="AB67" s="23">
        <f>EXP(-LN(2)/2)*AB66+(1-EXP(-LN(2)/2))/(LN(2)/2)*V67*Y67*VLOOKUP('Données projet'!$B$9,Paramètres!$A$1:$I$89,3,0)*0.475*44/12</f>
        <v>4.8175133755515721E-7</v>
      </c>
      <c r="AC67" s="24">
        <f t="shared" si="3"/>
        <v>23.557838897218275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30</v>
      </c>
      <c r="AJ67" s="14">
        <f>AI67*VLOOKUP('Données projet'!$B$10,Paramètres!$A$1:$I$89,3,0)*VLOOKUP('Données projet'!$B$10,Paramètres!$A$1:$I$89,5,0)</f>
        <v>16.473599999999998</v>
      </c>
      <c r="AK67" s="14">
        <f t="shared" si="35"/>
        <v>5.479064311766531</v>
      </c>
      <c r="AL67" s="22">
        <f t="shared" si="4"/>
        <v>38.2342236763267</v>
      </c>
      <c r="AM67" s="62">
        <f t="shared" si="5"/>
        <v>331.56755700965999</v>
      </c>
      <c r="AN67" s="62">
        <f ca="1">AVERAGE(OFFSET($AM$3,0,0,'Données projet'!$E$10+1,1))-AVERAGE(OFFSET($H$3,0,0,'Données projet'!$E$10+1,1))</f>
        <v>72.817281731857122</v>
      </c>
      <c r="AO67" s="62">
        <f t="shared" si="36"/>
        <v>327.78949950303326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24.123494036092268</v>
      </c>
      <c r="AV67" s="23">
        <f>EXP(-LN(2)/25)*AV66+(1-EXP(-LN(2)/25))/(LN(2)/25)*Calculateur!AQ67*Calculateur!AS67*VLOOKUP('Données projet'!$B$10,Paramètres!$A$1:$I$89,3,0)*0.475*44/12</f>
        <v>2.5400401190342916</v>
      </c>
      <c r="AW67" s="23">
        <f>EXP(-LN(2)/2)*AW66+(1-EXP(-LN(2)/2))/(LN(2)/2)*AQ67*AT67*VLOOKUP('Données projet'!$B$10,Paramètres!$A$1:$I$89,3,0)*0.475*44/12</f>
        <v>5.4526196404956739E-7</v>
      </c>
      <c r="AX67" s="23">
        <f t="shared" si="6"/>
        <v>26.663534700388524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30</v>
      </c>
      <c r="O68" s="14">
        <f>N68*VLOOKUP('Données projet'!$B$9,Paramètres!$A$1:$I$89,3,0)*VLOOKUP('Données projet'!$B$9,Paramètres!$A$1:$I$89,5,0)</f>
        <v>14.5548</v>
      </c>
      <c r="P68" s="14">
        <f t="shared" si="33"/>
        <v>4.9111633609399075</v>
      </c>
      <c r="Q68" s="22">
        <f t="shared" si="54"/>
        <v>33.903219520303679</v>
      </c>
      <c r="R68" s="62">
        <f t="shared" si="55"/>
        <v>327.23655285363702</v>
      </c>
      <c r="S68" s="62">
        <f ca="1">AVERAGE(OFFSET($R$3,0,0,'Données projet'!$E$9+1,1))-AVERAGE(OFFSET($H$3,0,0,'Données projet'!$E$9+1,1))</f>
        <v>65.585138535467195</v>
      </c>
      <c r="T68" s="62">
        <f t="shared" si="34"/>
        <v>292.56159092613944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20.895707462863779</v>
      </c>
      <c r="AA68" s="23">
        <f>EXP(-LN(2)/25)*AA67+(1-EXP(-LN(2)/25))/(LN(2)/25)*Calculateur!V68*Calculateur!X68*VLOOKUP('Données projet'!$B$9,Paramètres!$A$1:$I$89,3,0)*0.475*44/12</f>
        <v>2.1828158664595652</v>
      </c>
      <c r="AB68" s="23">
        <f>EXP(-LN(2)/2)*AB67+(1-EXP(-LN(2)/2))/(LN(2)/2)*V68*Y68*VLOOKUP('Données projet'!$B$9,Paramètres!$A$1:$I$89,3,0)*0.475*44/12</f>
        <v>3.4064963763094116E-7</v>
      </c>
      <c r="AC68" s="24">
        <f t="shared" ref="AC68:AC131" si="57">SUM(Z68:AB68)</f>
        <v>23.078523669972984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30</v>
      </c>
      <c r="AJ68" s="14">
        <f>AI68*VLOOKUP('Données projet'!$B$10,Paramètres!$A$1:$I$89,3,0)*VLOOKUP('Données projet'!$B$10,Paramètres!$A$1:$I$89,5,0)</f>
        <v>16.473599999999998</v>
      </c>
      <c r="AK68" s="14">
        <f t="shared" si="35"/>
        <v>5.479064311766531</v>
      </c>
      <c r="AL68" s="22">
        <f t="shared" ref="AL68:AL131" si="58">(AJ68+AK68)*0.475*44/12</f>
        <v>38.2342236763267</v>
      </c>
      <c r="AM68" s="62">
        <f t="shared" ref="AM68:AM131" si="59">AL68+(AD68+AE68)*44/12</f>
        <v>331.56755700965999</v>
      </c>
      <c r="AN68" s="62">
        <f ca="1">AVERAGE(OFFSET($AM$3,0,0,'Données projet'!$E$10+1,1))-AVERAGE(OFFSET($H$3,0,0,'Données projet'!$E$10+1,1))</f>
        <v>72.817281731857122</v>
      </c>
      <c r="AO68" s="62">
        <f t="shared" si="36"/>
        <v>327.78949950303326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23.650447031922987</v>
      </c>
      <c r="AV68" s="23">
        <f>EXP(-LN(2)/25)*AV67+(1-EXP(-LN(2)/25))/(LN(2)/25)*Calculateur!AQ68*Calculateur!AS68*VLOOKUP('Données projet'!$B$10,Paramètres!$A$1:$I$89,3,0)*0.475*44/12</f>
        <v>2.4705825884043944</v>
      </c>
      <c r="AW68" s="23">
        <f>EXP(-LN(2)/2)*AW67+(1-EXP(-LN(2)/2))/(LN(2)/2)*AQ68*AT68*VLOOKUP('Données projet'!$B$10,Paramètres!$A$1:$I$89,3,0)*0.475*44/12</f>
        <v>3.855584323025446E-7</v>
      </c>
      <c r="AX68" s="23">
        <f t="shared" ref="AX68:AX131" si="60">SUM(AU68:AW68)</f>
        <v>26.121030005885814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30</v>
      </c>
      <c r="O69" s="14">
        <f>N69*VLOOKUP('Données projet'!$B$9,Paramètres!$A$1:$I$89,3,0)*VLOOKUP('Données projet'!$B$9,Paramètres!$A$1:$I$89,5,0)</f>
        <v>14.5548</v>
      </c>
      <c r="P69" s="14">
        <f t="shared" ref="P69:P132" si="87">EXP(-1.0587+0.8836*LN(O69)+0.284)</f>
        <v>4.9111633609399075</v>
      </c>
      <c r="Q69" s="22">
        <f t="shared" si="54"/>
        <v>33.903219520303679</v>
      </c>
      <c r="R69" s="62">
        <f t="shared" si="55"/>
        <v>327.23655285363702</v>
      </c>
      <c r="S69" s="62">
        <f ca="1">AVERAGE(OFFSET($R$3,0,0,'Données projet'!$E$9+1,1))-AVERAGE(OFFSET($H$3,0,0,'Données projet'!$E$9+1,1))</f>
        <v>65.585138535467195</v>
      </c>
      <c r="T69" s="62">
        <f t="shared" ref="T69:T132" si="88">$T$3</f>
        <v>292.56159092613944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20.485955384640096</v>
      </c>
      <c r="AA69" s="23">
        <f>EXP(-LN(2)/25)*AA68+(1-EXP(-LN(2)/25))/(LN(2)/25)*Calculateur!V69*Calculateur!X69*VLOOKUP('Données projet'!$B$9,Paramètres!$A$1:$I$89,3,0)*0.475*44/12</f>
        <v>2.1231266518019307</v>
      </c>
      <c r="AB69" s="23">
        <f>EXP(-LN(2)/2)*AB68+(1-EXP(-LN(2)/2))/(LN(2)/2)*V69*Y69*VLOOKUP('Données projet'!$B$9,Paramètres!$A$1:$I$89,3,0)*0.475*44/12</f>
        <v>2.4087566877757861E-7</v>
      </c>
      <c r="AC69" s="24">
        <f t="shared" si="57"/>
        <v>22.609082277317693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30</v>
      </c>
      <c r="AJ69" s="14">
        <f>AI69*VLOOKUP('Données projet'!$B$10,Paramètres!$A$1:$I$89,3,0)*VLOOKUP('Données projet'!$B$10,Paramètres!$A$1:$I$89,5,0)</f>
        <v>16.473599999999998</v>
      </c>
      <c r="AK69" s="14">
        <f t="shared" ref="AK69:AK132" si="89">EXP(-1.0587+0.8836*LN(AJ69)+0.284)</f>
        <v>5.479064311766531</v>
      </c>
      <c r="AL69" s="22">
        <f t="shared" si="58"/>
        <v>38.2342236763267</v>
      </c>
      <c r="AM69" s="62">
        <f t="shared" si="59"/>
        <v>331.56755700965999</v>
      </c>
      <c r="AN69" s="62">
        <f ca="1">AVERAGE(OFFSET($AM$3,0,0,'Données projet'!$E$10+1,1))-AVERAGE(OFFSET($H$3,0,0,'Données projet'!$E$10+1,1))</f>
        <v>72.817281731857122</v>
      </c>
      <c r="AO69" s="62">
        <f t="shared" ref="AO69:AO132" si="90">$AO$3</f>
        <v>327.78949950303326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23.18667619097528</v>
      </c>
      <c r="AV69" s="23">
        <f>EXP(-LN(2)/25)*AV68+(1-EXP(-LN(2)/25))/(LN(2)/25)*Calculateur!AQ69*Calculateur!AS69*VLOOKUP('Données projet'!$B$10,Paramètres!$A$1:$I$89,3,0)*0.475*44/12</f>
        <v>2.4030243776021845</v>
      </c>
      <c r="AW69" s="23">
        <f>EXP(-LN(2)/2)*AW68+(1-EXP(-LN(2)/2))/(LN(2)/2)*AQ69*AT69*VLOOKUP('Données projet'!$B$10,Paramètres!$A$1:$I$89,3,0)*0.475*44/12</f>
        <v>2.726309820247837E-7</v>
      </c>
      <c r="AX69" s="23">
        <f t="shared" si="60"/>
        <v>25.589700841208444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30</v>
      </c>
      <c r="O70" s="14">
        <f>N70*VLOOKUP('Données projet'!$B$9,Paramètres!$A$1:$I$89,3,0)*VLOOKUP('Données projet'!$B$9,Paramètres!$A$1:$I$89,5,0)</f>
        <v>14.5548</v>
      </c>
      <c r="P70" s="14">
        <f t="shared" si="87"/>
        <v>4.9111633609399075</v>
      </c>
      <c r="Q70" s="22">
        <f t="shared" si="54"/>
        <v>33.903219520303679</v>
      </c>
      <c r="R70" s="62">
        <f t="shared" si="55"/>
        <v>327.23655285363702</v>
      </c>
      <c r="S70" s="62">
        <f ca="1">AVERAGE(OFFSET($R$3,0,0,'Données projet'!$E$9+1,1))-AVERAGE(OFFSET($H$3,0,0,'Données projet'!$E$9+1,1))</f>
        <v>65.585138535467195</v>
      </c>
      <c r="T70" s="62">
        <f t="shared" si="88"/>
        <v>292.56159092613944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20.084238294746289</v>
      </c>
      <c r="AA70" s="23">
        <f>EXP(-LN(2)/25)*AA69+(1-EXP(-LN(2)/25))/(LN(2)/25)*Calculateur!V70*Calculateur!X70*VLOOKUP('Données projet'!$B$9,Paramètres!$A$1:$I$89,3,0)*0.475*44/12</f>
        <v>2.0650696418580288</v>
      </c>
      <c r="AB70" s="23">
        <f>EXP(-LN(2)/2)*AB69+(1-EXP(-LN(2)/2))/(LN(2)/2)*V70*Y70*VLOOKUP('Données projet'!$B$9,Paramètres!$A$1:$I$89,3,0)*0.475*44/12</f>
        <v>1.7032481881547058E-7</v>
      </c>
      <c r="AC70" s="24">
        <f t="shared" si="57"/>
        <v>22.149308106929134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30</v>
      </c>
      <c r="AJ70" s="14">
        <f>AI70*VLOOKUP('Données projet'!$B$10,Paramètres!$A$1:$I$89,3,0)*VLOOKUP('Données projet'!$B$10,Paramètres!$A$1:$I$89,5,0)</f>
        <v>16.473599999999998</v>
      </c>
      <c r="AK70" s="14">
        <f t="shared" si="89"/>
        <v>5.479064311766531</v>
      </c>
      <c r="AL70" s="22">
        <f t="shared" si="58"/>
        <v>38.2342236763267</v>
      </c>
      <c r="AM70" s="62">
        <f t="shared" si="59"/>
        <v>331.56755700965999</v>
      </c>
      <c r="AN70" s="62">
        <f ca="1">AVERAGE(OFFSET($AM$3,0,0,'Données projet'!$E$10+1,1))-AVERAGE(OFFSET($H$3,0,0,'Données projet'!$E$10+1,1))</f>
        <v>72.817281731857122</v>
      </c>
      <c r="AO70" s="62">
        <f t="shared" si="90"/>
        <v>327.78949950303326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22.731999613346279</v>
      </c>
      <c r="AV70" s="23">
        <f>EXP(-LN(2)/25)*AV69+(1-EXP(-LN(2)/25))/(LN(2)/25)*Calculateur!AQ70*Calculateur!AS70*VLOOKUP('Données projet'!$B$10,Paramètres!$A$1:$I$89,3,0)*0.475*44/12</f>
        <v>2.3373135496270927</v>
      </c>
      <c r="AW70" s="23">
        <f>EXP(-LN(2)/2)*AW69+(1-EXP(-LN(2)/2))/(LN(2)/2)*AQ70*AT70*VLOOKUP('Données projet'!$B$10,Paramètres!$A$1:$I$89,3,0)*0.475*44/12</f>
        <v>1.927792161512723E-7</v>
      </c>
      <c r="AX70" s="23">
        <f t="shared" si="60"/>
        <v>25.069313355752588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30</v>
      </c>
      <c r="O71" s="14">
        <f>N71*VLOOKUP('Données projet'!$B$9,Paramètres!$A$1:$I$89,3,0)*VLOOKUP('Données projet'!$B$9,Paramètres!$A$1:$I$89,5,0)</f>
        <v>14.5548</v>
      </c>
      <c r="P71" s="14">
        <f t="shared" si="87"/>
        <v>4.9111633609399075</v>
      </c>
      <c r="Q71" s="22">
        <f t="shared" si="54"/>
        <v>33.903219520303679</v>
      </c>
      <c r="R71" s="62">
        <f t="shared" si="55"/>
        <v>327.23655285363702</v>
      </c>
      <c r="S71" s="62">
        <f ca="1">AVERAGE(OFFSET($R$3,0,0,'Données projet'!$E$9+1,1))-AVERAGE(OFFSET($H$3,0,0,'Données projet'!$E$9+1,1))</f>
        <v>65.585138535467195</v>
      </c>
      <c r="T71" s="62">
        <f t="shared" si="88"/>
        <v>292.56159092613944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19.690398631962069</v>
      </c>
      <c r="AA71" s="23">
        <f>EXP(-LN(2)/25)*AA70+(1-EXP(-LN(2)/25))/(LN(2)/25)*Calculateur!V71*Calculateur!X71*VLOOKUP('Données projet'!$B$9,Paramètres!$A$1:$I$89,3,0)*0.475*44/12</f>
        <v>2.0086002039041282</v>
      </c>
      <c r="AB71" s="23">
        <f>EXP(-LN(2)/2)*AB70+(1-EXP(-LN(2)/2))/(LN(2)/2)*V71*Y71*VLOOKUP('Données projet'!$B$9,Paramètres!$A$1:$I$89,3,0)*0.475*44/12</f>
        <v>1.204378343887893E-7</v>
      </c>
      <c r="AC71" s="24">
        <f t="shared" si="57"/>
        <v>21.698998956304031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30</v>
      </c>
      <c r="AJ71" s="14">
        <f>AI71*VLOOKUP('Données projet'!$B$10,Paramètres!$A$1:$I$89,3,0)*VLOOKUP('Données projet'!$B$10,Paramètres!$A$1:$I$89,5,0)</f>
        <v>16.473599999999998</v>
      </c>
      <c r="AK71" s="14">
        <f t="shared" si="89"/>
        <v>5.479064311766531</v>
      </c>
      <c r="AL71" s="22">
        <f t="shared" si="58"/>
        <v>38.2342236763267</v>
      </c>
      <c r="AM71" s="62">
        <f t="shared" si="59"/>
        <v>331.56755700965999</v>
      </c>
      <c r="AN71" s="62">
        <f ca="1">AVERAGE(OFFSET($AM$3,0,0,'Données projet'!$E$10+1,1))-AVERAGE(OFFSET($H$3,0,0,'Données projet'!$E$10+1,1))</f>
        <v>72.817281731857122</v>
      </c>
      <c r="AO71" s="62">
        <f t="shared" si="90"/>
        <v>327.78949950303326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22.286238966079253</v>
      </c>
      <c r="AV71" s="23">
        <f>EXP(-LN(2)/25)*AV70+(1-EXP(-LN(2)/25))/(LN(2)/25)*Calculateur!AQ71*Calculateur!AS71*VLOOKUP('Données projet'!$B$10,Paramètres!$A$1:$I$89,3,0)*0.475*44/12</f>
        <v>2.2733995876985622</v>
      </c>
      <c r="AW71" s="23">
        <f>EXP(-LN(2)/2)*AW70+(1-EXP(-LN(2)/2))/(LN(2)/2)*AQ71*AT71*VLOOKUP('Données projet'!$B$10,Paramètres!$A$1:$I$89,3,0)*0.475*44/12</f>
        <v>1.3631549101239185E-7</v>
      </c>
      <c r="AX71" s="23">
        <f t="shared" si="60"/>
        <v>24.559638690093308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30</v>
      </c>
      <c r="O72" s="14">
        <f>N72*VLOOKUP('Données projet'!$B$9,Paramètres!$A$1:$I$89,3,0)*VLOOKUP('Données projet'!$B$9,Paramètres!$A$1:$I$89,5,0)</f>
        <v>14.5548</v>
      </c>
      <c r="P72" s="14">
        <f t="shared" si="87"/>
        <v>4.9111633609399075</v>
      </c>
      <c r="Q72" s="22">
        <f t="shared" si="54"/>
        <v>33.903219520303679</v>
      </c>
      <c r="R72" s="62">
        <f t="shared" si="55"/>
        <v>327.23655285363702</v>
      </c>
      <c r="S72" s="62">
        <f ca="1">AVERAGE(OFFSET($R$3,0,0,'Données projet'!$E$9+1,1))-AVERAGE(OFFSET($H$3,0,0,'Données projet'!$E$9+1,1))</f>
        <v>65.585138535467195</v>
      </c>
      <c r="T72" s="62">
        <f t="shared" si="88"/>
        <v>292.56159092613944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19.304281924746572</v>
      </c>
      <c r="AA72" s="23">
        <f>EXP(-LN(2)/25)*AA71+(1-EXP(-LN(2)/25))/(LN(2)/25)*Calculateur!V72*Calculateur!X72*VLOOKUP('Données projet'!$B$9,Paramètres!$A$1:$I$89,3,0)*0.475*44/12</f>
        <v>1.9536749257006758</v>
      </c>
      <c r="AB72" s="23">
        <f>EXP(-LN(2)/2)*AB71+(1-EXP(-LN(2)/2))/(LN(2)/2)*V72*Y72*VLOOKUP('Données projet'!$B$9,Paramètres!$A$1:$I$89,3,0)*0.475*44/12</f>
        <v>8.516240940773529E-8</v>
      </c>
      <c r="AC72" s="24">
        <f t="shared" si="57"/>
        <v>21.257956935609656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30</v>
      </c>
      <c r="AJ72" s="14">
        <f>AI72*VLOOKUP('Données projet'!$B$10,Paramètres!$A$1:$I$89,3,0)*VLOOKUP('Données projet'!$B$10,Paramètres!$A$1:$I$89,5,0)</f>
        <v>16.473599999999998</v>
      </c>
      <c r="AK72" s="14">
        <f t="shared" si="89"/>
        <v>5.479064311766531</v>
      </c>
      <c r="AL72" s="22">
        <f t="shared" si="58"/>
        <v>38.2342236763267</v>
      </c>
      <c r="AM72" s="62">
        <f t="shared" si="59"/>
        <v>331.56755700965999</v>
      </c>
      <c r="AN72" s="62">
        <f ca="1">AVERAGE(OFFSET($AM$3,0,0,'Données projet'!$E$10+1,1))-AVERAGE(OFFSET($H$3,0,0,'Données projet'!$E$10+1,1))</f>
        <v>72.817281731857122</v>
      </c>
      <c r="AO72" s="62">
        <f t="shared" si="90"/>
        <v>327.78949950303326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21.849219413217984</v>
      </c>
      <c r="AV72" s="23">
        <f>EXP(-LN(2)/25)*AV71+(1-EXP(-LN(2)/25))/(LN(2)/25)*Calculateur!AQ72*Calculateur!AS72*VLOOKUP('Données projet'!$B$10,Paramètres!$A$1:$I$89,3,0)*0.475*44/12</f>
        <v>2.2112333564200566</v>
      </c>
      <c r="AW72" s="23">
        <f>EXP(-LN(2)/2)*AW71+(1-EXP(-LN(2)/2))/(LN(2)/2)*AQ72*AT72*VLOOKUP('Données projet'!$B$10,Paramètres!$A$1:$I$89,3,0)*0.475*44/12</f>
        <v>9.638960807563615E-8</v>
      </c>
      <c r="AX72" s="23">
        <f t="shared" si="60"/>
        <v>24.060452866027649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30</v>
      </c>
      <c r="O73" s="14">
        <f>N73*VLOOKUP('Données projet'!$B$9,Paramètres!$A$1:$I$89,3,0)*VLOOKUP('Données projet'!$B$9,Paramètres!$A$1:$I$89,5,0)</f>
        <v>14.5548</v>
      </c>
      <c r="P73" s="14">
        <f t="shared" si="87"/>
        <v>4.9111633609399075</v>
      </c>
      <c r="Q73" s="22">
        <f t="shared" si="54"/>
        <v>33.903219520303679</v>
      </c>
      <c r="R73" s="62">
        <f t="shared" si="55"/>
        <v>327.23655285363702</v>
      </c>
      <c r="S73" s="62">
        <f ca="1">AVERAGE(OFFSET($R$3,0,0,'Données projet'!$E$9+1,1))-AVERAGE(OFFSET($H$3,0,0,'Données projet'!$E$9+1,1))</f>
        <v>65.585138535467195</v>
      </c>
      <c r="T73" s="62">
        <f t="shared" si="88"/>
        <v>292.56159092613944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18.925736730651636</v>
      </c>
      <c r="AA73" s="23">
        <f>EXP(-LN(2)/25)*AA72+(1-EXP(-LN(2)/25))/(LN(2)/25)*Calculateur!V73*Calculateur!X73*VLOOKUP('Données projet'!$B$9,Paramètres!$A$1:$I$89,3,0)*0.475*44/12</f>
        <v>1.9002515821180916</v>
      </c>
      <c r="AB73" s="23">
        <f>EXP(-LN(2)/2)*AB72+(1-EXP(-LN(2)/2))/(LN(2)/2)*V73*Y73*VLOOKUP('Données projet'!$B$9,Paramètres!$A$1:$I$89,3,0)*0.475*44/12</f>
        <v>6.0218917194394652E-8</v>
      </c>
      <c r="AC73" s="24">
        <f t="shared" si="57"/>
        <v>20.825988372988643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30</v>
      </c>
      <c r="AJ73" s="14">
        <f>AI73*VLOOKUP('Données projet'!$B$10,Paramètres!$A$1:$I$89,3,0)*VLOOKUP('Données projet'!$B$10,Paramètres!$A$1:$I$89,5,0)</f>
        <v>16.473599999999998</v>
      </c>
      <c r="AK73" s="14">
        <f t="shared" si="89"/>
        <v>5.479064311766531</v>
      </c>
      <c r="AL73" s="22">
        <f t="shared" si="58"/>
        <v>38.2342236763267</v>
      </c>
      <c r="AM73" s="62">
        <f t="shared" si="59"/>
        <v>331.56755700965999</v>
      </c>
      <c r="AN73" s="62">
        <f ca="1">AVERAGE(OFFSET($AM$3,0,0,'Données projet'!$E$10+1,1))-AVERAGE(OFFSET($H$3,0,0,'Données projet'!$E$10+1,1))</f>
        <v>72.817281731857122</v>
      </c>
      <c r="AO73" s="62">
        <f t="shared" si="90"/>
        <v>327.78949950303326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21.42076954723272</v>
      </c>
      <c r="AV73" s="23">
        <f>EXP(-LN(2)/25)*AV72+(1-EXP(-LN(2)/25))/(LN(2)/25)*Calculateur!AQ73*Calculateur!AS73*VLOOKUP('Données projet'!$B$10,Paramètres!$A$1:$I$89,3,0)*0.475*44/12</f>
        <v>2.1507670640050418</v>
      </c>
      <c r="AW73" s="23">
        <f>EXP(-LN(2)/2)*AW72+(1-EXP(-LN(2)/2))/(LN(2)/2)*AQ73*AT73*VLOOKUP('Données projet'!$B$10,Paramètres!$A$1:$I$89,3,0)*0.475*44/12</f>
        <v>6.8157745506195924E-8</v>
      </c>
      <c r="AX73" s="23">
        <f t="shared" si="60"/>
        <v>23.571536679395507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30</v>
      </c>
      <c r="O74" s="14">
        <f>N74*VLOOKUP('Données projet'!$B$9,Paramètres!$A$1:$I$89,3,0)*VLOOKUP('Données projet'!$B$9,Paramètres!$A$1:$I$89,5,0)</f>
        <v>14.5548</v>
      </c>
      <c r="P74" s="14">
        <f t="shared" si="87"/>
        <v>4.9111633609399075</v>
      </c>
      <c r="Q74" s="22">
        <f t="shared" si="54"/>
        <v>33.903219520303679</v>
      </c>
      <c r="R74" s="62">
        <f t="shared" si="55"/>
        <v>327.23655285363702</v>
      </c>
      <c r="S74" s="62">
        <f ca="1">AVERAGE(OFFSET($R$3,0,0,'Données projet'!$E$9+1,1))-AVERAGE(OFFSET($H$3,0,0,'Données projet'!$E$9+1,1))</f>
        <v>65.585138535467195</v>
      </c>
      <c r="T74" s="62">
        <f t="shared" si="88"/>
        <v>292.56159092613944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18.554614576923132</v>
      </c>
      <c r="AA74" s="23">
        <f>EXP(-LN(2)/25)*AA73+(1-EXP(-LN(2)/25))/(LN(2)/25)*Calculateur!V74*Calculateur!X74*VLOOKUP('Données projet'!$B$9,Paramètres!$A$1:$I$89,3,0)*0.475*44/12</f>
        <v>1.8482891026751849</v>
      </c>
      <c r="AB74" s="23">
        <f>EXP(-LN(2)/2)*AB73+(1-EXP(-LN(2)/2))/(LN(2)/2)*V74*Y74*VLOOKUP('Données projet'!$B$9,Paramètres!$A$1:$I$89,3,0)*0.475*44/12</f>
        <v>4.2581204703867645E-8</v>
      </c>
      <c r="AC74" s="24">
        <f t="shared" si="57"/>
        <v>20.402903722179524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30</v>
      </c>
      <c r="AJ74" s="14">
        <f>AI74*VLOOKUP('Données projet'!$B$10,Paramètres!$A$1:$I$89,3,0)*VLOOKUP('Données projet'!$B$10,Paramètres!$A$1:$I$89,5,0)</f>
        <v>16.473599999999998</v>
      </c>
      <c r="AK74" s="14">
        <f t="shared" si="89"/>
        <v>5.479064311766531</v>
      </c>
      <c r="AL74" s="22">
        <f t="shared" si="58"/>
        <v>38.2342236763267</v>
      </c>
      <c r="AM74" s="62">
        <f t="shared" si="59"/>
        <v>331.56755700965999</v>
      </c>
      <c r="AN74" s="62">
        <f ca="1">AVERAGE(OFFSET($AM$3,0,0,'Données projet'!$E$10+1,1))-AVERAGE(OFFSET($H$3,0,0,'Données projet'!$E$10+1,1))</f>
        <v>72.817281731857122</v>
      </c>
      <c r="AO74" s="62">
        <f t="shared" si="90"/>
        <v>327.78949950303326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21.00072132179081</v>
      </c>
      <c r="AV74" s="23">
        <f>EXP(-LN(2)/25)*AV73+(1-EXP(-LN(2)/25))/(LN(2)/25)*Calculateur!AQ74*Calculateur!AS74*VLOOKUP('Données projet'!$B$10,Paramètres!$A$1:$I$89,3,0)*0.475*44/12</f>
        <v>2.0919542255358996</v>
      </c>
      <c r="AW74" s="23">
        <f>EXP(-LN(2)/2)*AW73+(1-EXP(-LN(2)/2))/(LN(2)/2)*AQ74*AT74*VLOOKUP('Données projet'!$B$10,Paramètres!$A$1:$I$89,3,0)*0.475*44/12</f>
        <v>4.8194804037818075E-8</v>
      </c>
      <c r="AX74" s="23">
        <f t="shared" si="60"/>
        <v>23.092675595521513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30</v>
      </c>
      <c r="O75" s="14">
        <f>N75*VLOOKUP('Données projet'!$B$9,Paramètres!$A$1:$I$89,3,0)*VLOOKUP('Données projet'!$B$9,Paramètres!$A$1:$I$89,5,0)</f>
        <v>14.5548</v>
      </c>
      <c r="P75" s="14">
        <f t="shared" si="87"/>
        <v>4.9111633609399075</v>
      </c>
      <c r="Q75" s="22">
        <f t="shared" si="54"/>
        <v>33.903219520303679</v>
      </c>
      <c r="R75" s="62">
        <f t="shared" si="55"/>
        <v>327.23655285363702</v>
      </c>
      <c r="S75" s="62">
        <f ca="1">AVERAGE(OFFSET($R$3,0,0,'Données projet'!$E$9+1,1))-AVERAGE(OFFSET($H$3,0,0,'Données projet'!$E$9+1,1))</f>
        <v>65.585138535467195</v>
      </c>
      <c r="T75" s="62">
        <f t="shared" si="88"/>
        <v>292.56159092613944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18.190769902267082</v>
      </c>
      <c r="AA75" s="23">
        <f>EXP(-LN(2)/25)*AA74+(1-EXP(-LN(2)/25))/(LN(2)/25)*Calculateur!V75*Calculateur!X75*VLOOKUP('Données projet'!$B$9,Paramètres!$A$1:$I$89,3,0)*0.475*44/12</f>
        <v>1.7977475399652323</v>
      </c>
      <c r="AB75" s="23">
        <f>EXP(-LN(2)/2)*AB74+(1-EXP(-LN(2)/2))/(LN(2)/2)*V75*Y75*VLOOKUP('Données projet'!$B$9,Paramètres!$A$1:$I$89,3,0)*0.475*44/12</f>
        <v>3.0109458597197326E-8</v>
      </c>
      <c r="AC75" s="24">
        <f t="shared" si="57"/>
        <v>19.988517472341773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30</v>
      </c>
      <c r="AJ75" s="14">
        <f>AI75*VLOOKUP('Données projet'!$B$10,Paramètres!$A$1:$I$89,3,0)*VLOOKUP('Données projet'!$B$10,Paramètres!$A$1:$I$89,5,0)</f>
        <v>16.473599999999998</v>
      </c>
      <c r="AK75" s="14">
        <f t="shared" si="89"/>
        <v>5.479064311766531</v>
      </c>
      <c r="AL75" s="22">
        <f t="shared" si="58"/>
        <v>38.2342236763267</v>
      </c>
      <c r="AM75" s="62">
        <f t="shared" si="59"/>
        <v>331.56755700965999</v>
      </c>
      <c r="AN75" s="62">
        <f ca="1">AVERAGE(OFFSET($AM$3,0,0,'Données projet'!$E$10+1,1))-AVERAGE(OFFSET($H$3,0,0,'Données projet'!$E$10+1,1))</f>
        <v>72.817281731857122</v>
      </c>
      <c r="AO75" s="62">
        <f t="shared" si="90"/>
        <v>327.78949950303326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20.588909985845696</v>
      </c>
      <c r="AV75" s="23">
        <f>EXP(-LN(2)/25)*AV74+(1-EXP(-LN(2)/25))/(LN(2)/25)*Calculateur!AQ75*Calculateur!AS75*VLOOKUP('Données projet'!$B$10,Paramètres!$A$1:$I$89,3,0)*0.475*44/12</f>
        <v>2.0347496272275287</v>
      </c>
      <c r="AW75" s="23">
        <f>EXP(-LN(2)/2)*AW74+(1-EXP(-LN(2)/2))/(LN(2)/2)*AQ75*AT75*VLOOKUP('Données projet'!$B$10,Paramètres!$A$1:$I$89,3,0)*0.475*44/12</f>
        <v>3.4078872753097962E-8</v>
      </c>
      <c r="AX75" s="23">
        <f t="shared" si="60"/>
        <v>22.623659647152099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30</v>
      </c>
      <c r="O76" s="14">
        <f>N76*VLOOKUP('Données projet'!$B$9,Paramètres!$A$1:$I$89,3,0)*VLOOKUP('Données projet'!$B$9,Paramètres!$A$1:$I$89,5,0)</f>
        <v>14.5548</v>
      </c>
      <c r="P76" s="14">
        <f t="shared" si="87"/>
        <v>4.9111633609399075</v>
      </c>
      <c r="Q76" s="22">
        <f t="shared" si="54"/>
        <v>33.903219520303679</v>
      </c>
      <c r="R76" s="62">
        <f t="shared" si="55"/>
        <v>327.23655285363702</v>
      </c>
      <c r="S76" s="62">
        <f ca="1">AVERAGE(OFFSET($R$3,0,0,'Données projet'!$E$9+1,1))-AVERAGE(OFFSET($H$3,0,0,'Données projet'!$E$9+1,1))</f>
        <v>65.585138535467195</v>
      </c>
      <c r="T76" s="62">
        <f t="shared" si="88"/>
        <v>292.56159092613944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17.834059999757699</v>
      </c>
      <c r="AA76" s="23">
        <f>EXP(-LN(2)/25)*AA75+(1-EXP(-LN(2)/25))/(LN(2)/25)*Calculateur!V76*Calculateur!X76*VLOOKUP('Données projet'!$B$9,Paramètres!$A$1:$I$89,3,0)*0.475*44/12</f>
        <v>1.7485880389454487</v>
      </c>
      <c r="AB76" s="23">
        <f>EXP(-LN(2)/2)*AB75+(1-EXP(-LN(2)/2))/(LN(2)/2)*V76*Y76*VLOOKUP('Données projet'!$B$9,Paramètres!$A$1:$I$89,3,0)*0.475*44/12</f>
        <v>2.1290602351933823E-8</v>
      </c>
      <c r="AC76" s="24">
        <f t="shared" si="57"/>
        <v>19.582648059993751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30</v>
      </c>
      <c r="AJ76" s="14">
        <f>AI76*VLOOKUP('Données projet'!$B$10,Paramètres!$A$1:$I$89,3,0)*VLOOKUP('Données projet'!$B$10,Paramètres!$A$1:$I$89,5,0)</f>
        <v>16.473599999999998</v>
      </c>
      <c r="AK76" s="14">
        <f t="shared" si="89"/>
        <v>5.479064311766531</v>
      </c>
      <c r="AL76" s="22">
        <f t="shared" si="58"/>
        <v>38.2342236763267</v>
      </c>
      <c r="AM76" s="62">
        <f t="shared" si="59"/>
        <v>331.56755700965999</v>
      </c>
      <c r="AN76" s="62">
        <f ca="1">AVERAGE(OFFSET($AM$3,0,0,'Données projet'!$E$10+1,1))-AVERAGE(OFFSET($H$3,0,0,'Données projet'!$E$10+1,1))</f>
        <v>72.817281731857122</v>
      </c>
      <c r="AO76" s="62">
        <f t="shared" si="90"/>
        <v>327.78949950303326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20.185174019018355</v>
      </c>
      <c r="AV76" s="23">
        <f>EXP(-LN(2)/25)*AV75+(1-EXP(-LN(2)/25))/(LN(2)/25)*Calculateur!AQ76*Calculateur!AS76*VLOOKUP('Données projet'!$B$10,Paramètres!$A$1:$I$89,3,0)*0.475*44/12</f>
        <v>1.9791092916681596</v>
      </c>
      <c r="AW76" s="23">
        <f>EXP(-LN(2)/2)*AW75+(1-EXP(-LN(2)/2))/(LN(2)/2)*AQ76*AT76*VLOOKUP('Données projet'!$B$10,Paramètres!$A$1:$I$89,3,0)*0.475*44/12</f>
        <v>2.4097402018909038E-8</v>
      </c>
      <c r="AX76" s="23">
        <f t="shared" si="60"/>
        <v>22.164283334783917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30</v>
      </c>
      <c r="O77" s="14">
        <f>N77*VLOOKUP('Données projet'!$B$9,Paramètres!$A$1:$I$89,3,0)*VLOOKUP('Données projet'!$B$9,Paramètres!$A$1:$I$89,5,0)</f>
        <v>14.5548</v>
      </c>
      <c r="P77" s="14">
        <f t="shared" si="87"/>
        <v>4.9111633609399075</v>
      </c>
      <c r="Q77" s="22">
        <f t="shared" si="54"/>
        <v>33.903219520303679</v>
      </c>
      <c r="R77" s="62">
        <f t="shared" si="55"/>
        <v>327.23655285363702</v>
      </c>
      <c r="S77" s="62">
        <f ca="1">AVERAGE(OFFSET($R$3,0,0,'Données projet'!$E$9+1,1))-AVERAGE(OFFSET($H$3,0,0,'Données projet'!$E$9+1,1))</f>
        <v>65.585138535467195</v>
      </c>
      <c r="T77" s="62">
        <f t="shared" si="88"/>
        <v>292.56159092613944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17.484344960864966</v>
      </c>
      <c r="AA77" s="23">
        <f>EXP(-LN(2)/25)*AA76+(1-EXP(-LN(2)/25))/(LN(2)/25)*Calculateur!V77*Calculateur!X77*VLOOKUP('Données projet'!$B$9,Paramètres!$A$1:$I$89,3,0)*0.475*44/12</f>
        <v>1.7007728070662369</v>
      </c>
      <c r="AB77" s="23">
        <f>EXP(-LN(2)/2)*AB76+(1-EXP(-LN(2)/2))/(LN(2)/2)*V77*Y77*VLOOKUP('Données projet'!$B$9,Paramètres!$A$1:$I$89,3,0)*0.475*44/12</f>
        <v>1.5054729298598663E-8</v>
      </c>
      <c r="AC77" s="24">
        <f t="shared" si="57"/>
        <v>19.185117782985934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30</v>
      </c>
      <c r="AJ77" s="14">
        <f>AI77*VLOOKUP('Données projet'!$B$10,Paramètres!$A$1:$I$89,3,0)*VLOOKUP('Données projet'!$B$10,Paramètres!$A$1:$I$89,5,0)</f>
        <v>16.473599999999998</v>
      </c>
      <c r="AK77" s="14">
        <f t="shared" si="89"/>
        <v>5.479064311766531</v>
      </c>
      <c r="AL77" s="22">
        <f t="shared" si="58"/>
        <v>38.2342236763267</v>
      </c>
      <c r="AM77" s="62">
        <f t="shared" si="59"/>
        <v>331.56755700965999</v>
      </c>
      <c r="AN77" s="62">
        <f ca="1">AVERAGE(OFFSET($AM$3,0,0,'Données projet'!$E$10+1,1))-AVERAGE(OFFSET($H$3,0,0,'Données projet'!$E$10+1,1))</f>
        <v>72.817281731857122</v>
      </c>
      <c r="AO77" s="62">
        <f t="shared" si="90"/>
        <v>327.78949950303326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19.789355068245872</v>
      </c>
      <c r="AV77" s="23">
        <f>EXP(-LN(2)/25)*AV76+(1-EXP(-LN(2)/25))/(LN(2)/25)*Calculateur!AQ77*Calculateur!AS77*VLOOKUP('Données projet'!$B$10,Paramètres!$A$1:$I$89,3,0)*0.475*44/12</f>
        <v>1.9249904440106596</v>
      </c>
      <c r="AW77" s="23">
        <f>EXP(-LN(2)/2)*AW76+(1-EXP(-LN(2)/2))/(LN(2)/2)*AQ77*AT77*VLOOKUP('Données projet'!$B$10,Paramètres!$A$1:$I$89,3,0)*0.475*44/12</f>
        <v>1.7039436376548981E-8</v>
      </c>
      <c r="AX77" s="23">
        <f t="shared" si="60"/>
        <v>21.714345529295969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30</v>
      </c>
      <c r="O78" s="14">
        <f>N78*VLOOKUP('Données projet'!$B$9,Paramètres!$A$1:$I$89,3,0)*VLOOKUP('Données projet'!$B$9,Paramètres!$A$1:$I$89,5,0)</f>
        <v>14.5548</v>
      </c>
      <c r="P78" s="14">
        <f t="shared" si="87"/>
        <v>4.9111633609399075</v>
      </c>
      <c r="Q78" s="22">
        <f t="shared" si="54"/>
        <v>33.903219520303679</v>
      </c>
      <c r="R78" s="62">
        <f t="shared" si="55"/>
        <v>327.23655285363702</v>
      </c>
      <c r="S78" s="62">
        <f ca="1">AVERAGE(OFFSET($R$3,0,0,'Données projet'!$E$9+1,1))-AVERAGE(OFFSET($H$3,0,0,'Données projet'!$E$9+1,1))</f>
        <v>65.585138535467195</v>
      </c>
      <c r="T78" s="62">
        <f t="shared" si="88"/>
        <v>292.56159092613944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17.141487620579809</v>
      </c>
      <c r="AA78" s="23">
        <f>EXP(-LN(2)/25)*AA77+(1-EXP(-LN(2)/25))/(LN(2)/25)*Calculateur!V78*Calculateur!X78*VLOOKUP('Données projet'!$B$9,Paramètres!$A$1:$I$89,3,0)*0.475*44/12</f>
        <v>1.6542650852172558</v>
      </c>
      <c r="AB78" s="23">
        <f>EXP(-LN(2)/2)*AB77+(1-EXP(-LN(2)/2))/(LN(2)/2)*V78*Y78*VLOOKUP('Données projet'!$B$9,Paramètres!$A$1:$I$89,3,0)*0.475*44/12</f>
        <v>1.0645301175966911E-8</v>
      </c>
      <c r="AC78" s="24">
        <f t="shared" si="57"/>
        <v>18.795752716442365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30</v>
      </c>
      <c r="AJ78" s="14">
        <f>AI78*VLOOKUP('Données projet'!$B$10,Paramètres!$A$1:$I$89,3,0)*VLOOKUP('Données projet'!$B$10,Paramètres!$A$1:$I$89,5,0)</f>
        <v>16.473599999999998</v>
      </c>
      <c r="AK78" s="14">
        <f t="shared" si="89"/>
        <v>5.479064311766531</v>
      </c>
      <c r="AL78" s="22">
        <f t="shared" si="58"/>
        <v>38.2342236763267</v>
      </c>
      <c r="AM78" s="62">
        <f t="shared" si="59"/>
        <v>331.56755700965999</v>
      </c>
      <c r="AN78" s="62">
        <f ca="1">AVERAGE(OFFSET($AM$3,0,0,'Données projet'!$E$10+1,1))-AVERAGE(OFFSET($H$3,0,0,'Données projet'!$E$10+1,1))</f>
        <v>72.817281731857122</v>
      </c>
      <c r="AO78" s="62">
        <f t="shared" si="90"/>
        <v>327.78949950303326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19.401297885672317</v>
      </c>
      <c r="AV78" s="23">
        <f>EXP(-LN(2)/25)*AV77+(1-EXP(-LN(2)/25))/(LN(2)/25)*Calculateur!AQ78*Calculateur!AS78*VLOOKUP('Données projet'!$B$10,Paramètres!$A$1:$I$89,3,0)*0.475*44/12</f>
        <v>1.8723514790883402</v>
      </c>
      <c r="AW78" s="23">
        <f>EXP(-LN(2)/2)*AW77+(1-EXP(-LN(2)/2))/(LN(2)/2)*AQ78*AT78*VLOOKUP('Données projet'!$B$10,Paramètres!$A$1:$I$89,3,0)*0.475*44/12</f>
        <v>1.2048701009454519E-8</v>
      </c>
      <c r="AX78" s="23">
        <f t="shared" si="60"/>
        <v>21.27364937680936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30</v>
      </c>
      <c r="O79" s="14">
        <f>N79*VLOOKUP('Données projet'!$B$9,Paramètres!$A$1:$I$89,3,0)*VLOOKUP('Données projet'!$B$9,Paramètres!$A$1:$I$89,5,0)</f>
        <v>14.5548</v>
      </c>
      <c r="P79" s="14">
        <f t="shared" si="87"/>
        <v>4.9111633609399075</v>
      </c>
      <c r="Q79" s="22">
        <f t="shared" si="54"/>
        <v>33.903219520303679</v>
      </c>
      <c r="R79" s="62">
        <f t="shared" si="55"/>
        <v>327.23655285363702</v>
      </c>
      <c r="S79" s="62">
        <f ca="1">AVERAGE(OFFSET($R$3,0,0,'Données projet'!$E$9+1,1))-AVERAGE(OFFSET($H$3,0,0,'Données projet'!$E$9+1,1))</f>
        <v>65.585138535467195</v>
      </c>
      <c r="T79" s="62">
        <f t="shared" si="88"/>
        <v>292.56159092613944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16.805353503615315</v>
      </c>
      <c r="AA79" s="23">
        <f>EXP(-LN(2)/25)*AA78+(1-EXP(-LN(2)/25))/(LN(2)/25)*Calculateur!V79*Calculateur!X79*VLOOKUP('Données projet'!$B$9,Paramètres!$A$1:$I$89,3,0)*0.475*44/12</f>
        <v>1.60902911946797</v>
      </c>
      <c r="AB79" s="23">
        <f>EXP(-LN(2)/2)*AB78+(1-EXP(-LN(2)/2))/(LN(2)/2)*V79*Y79*VLOOKUP('Données projet'!$B$9,Paramètres!$A$1:$I$89,3,0)*0.475*44/12</f>
        <v>7.5273646492993315E-9</v>
      </c>
      <c r="AC79" s="24">
        <f t="shared" si="57"/>
        <v>18.41438263061065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30</v>
      </c>
      <c r="AJ79" s="14">
        <f>AI79*VLOOKUP('Données projet'!$B$10,Paramètres!$A$1:$I$89,3,0)*VLOOKUP('Données projet'!$B$10,Paramètres!$A$1:$I$89,5,0)</f>
        <v>16.473599999999998</v>
      </c>
      <c r="AK79" s="14">
        <f t="shared" si="89"/>
        <v>5.479064311766531</v>
      </c>
      <c r="AL79" s="22">
        <f t="shared" si="58"/>
        <v>38.2342236763267</v>
      </c>
      <c r="AM79" s="62">
        <f t="shared" si="59"/>
        <v>331.56755700965999</v>
      </c>
      <c r="AN79" s="62">
        <f ca="1">AVERAGE(OFFSET($AM$3,0,0,'Données projet'!$E$10+1,1))-AVERAGE(OFFSET($H$3,0,0,'Données projet'!$E$10+1,1))</f>
        <v>72.817281731857122</v>
      </c>
      <c r="AO79" s="62">
        <f t="shared" si="90"/>
        <v>327.78949950303326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19.02085026775752</v>
      </c>
      <c r="AV79" s="23">
        <f>EXP(-LN(2)/25)*AV78+(1-EXP(-LN(2)/25))/(LN(2)/25)*Calculateur!AQ79*Calculateur!AS79*VLOOKUP('Données projet'!$B$10,Paramètres!$A$1:$I$89,3,0)*0.475*44/12</f>
        <v>1.8211519294299845</v>
      </c>
      <c r="AW79" s="23">
        <f>EXP(-LN(2)/2)*AW78+(1-EXP(-LN(2)/2))/(LN(2)/2)*AQ79*AT79*VLOOKUP('Données projet'!$B$10,Paramètres!$A$1:$I$89,3,0)*0.475*44/12</f>
        <v>8.5197181882744905E-9</v>
      </c>
      <c r="AX79" s="23">
        <f t="shared" si="60"/>
        <v>20.842002205707221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30</v>
      </c>
      <c r="O80" s="14">
        <f>N80*VLOOKUP('Données projet'!$B$9,Paramètres!$A$1:$I$89,3,0)*VLOOKUP('Données projet'!$B$9,Paramètres!$A$1:$I$89,5,0)</f>
        <v>14.5548</v>
      </c>
      <c r="P80" s="14">
        <f t="shared" si="87"/>
        <v>4.9111633609399075</v>
      </c>
      <c r="Q80" s="22">
        <f t="shared" si="54"/>
        <v>33.903219520303679</v>
      </c>
      <c r="R80" s="62">
        <f t="shared" si="55"/>
        <v>327.23655285363702</v>
      </c>
      <c r="S80" s="62">
        <f ca="1">AVERAGE(OFFSET($R$3,0,0,'Données projet'!$E$9+1,1))-AVERAGE(OFFSET($H$3,0,0,'Données projet'!$E$9+1,1))</f>
        <v>65.585138535467195</v>
      </c>
      <c r="T80" s="62">
        <f t="shared" si="88"/>
        <v>292.56159092613944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16.475810771662928</v>
      </c>
      <c r="AA80" s="23">
        <f>EXP(-LN(2)/25)*AA79+(1-EXP(-LN(2)/25))/(LN(2)/25)*Calculateur!V80*Calculateur!X80*VLOOKUP('Données projet'!$B$9,Paramètres!$A$1:$I$89,3,0)*0.475*44/12</f>
        <v>1.5650301335809544</v>
      </c>
      <c r="AB80" s="23">
        <f>EXP(-LN(2)/2)*AB79+(1-EXP(-LN(2)/2))/(LN(2)/2)*V80*Y80*VLOOKUP('Données projet'!$B$9,Paramètres!$A$1:$I$89,3,0)*0.475*44/12</f>
        <v>5.3226505879834556E-9</v>
      </c>
      <c r="AC80" s="24">
        <f t="shared" si="57"/>
        <v>18.040840910566533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30</v>
      </c>
      <c r="AJ80" s="14">
        <f>AI80*VLOOKUP('Données projet'!$B$10,Paramètres!$A$1:$I$89,3,0)*VLOOKUP('Données projet'!$B$10,Paramètres!$A$1:$I$89,5,0)</f>
        <v>16.473599999999998</v>
      </c>
      <c r="AK80" s="14">
        <f t="shared" si="89"/>
        <v>5.479064311766531</v>
      </c>
      <c r="AL80" s="22">
        <f t="shared" si="58"/>
        <v>38.2342236763267</v>
      </c>
      <c r="AM80" s="62">
        <f t="shared" si="59"/>
        <v>331.56755700965999</v>
      </c>
      <c r="AN80" s="62">
        <f ca="1">AVERAGE(OFFSET($AM$3,0,0,'Données projet'!$E$10+1,1))-AVERAGE(OFFSET($H$3,0,0,'Données projet'!$E$10+1,1))</f>
        <v>72.817281731857122</v>
      </c>
      <c r="AO80" s="62">
        <f t="shared" si="90"/>
        <v>327.78949950303326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18.647862995579899</v>
      </c>
      <c r="AV80" s="23">
        <f>EXP(-LN(2)/25)*AV79+(1-EXP(-LN(2)/25))/(LN(2)/25)*Calculateur!AQ80*Calculateur!AS80*VLOOKUP('Données projet'!$B$10,Paramètres!$A$1:$I$89,3,0)*0.475*44/12</f>
        <v>1.7713524341495039</v>
      </c>
      <c r="AW80" s="23">
        <f>EXP(-LN(2)/2)*AW79+(1-EXP(-LN(2)/2))/(LN(2)/2)*AQ80*AT80*VLOOKUP('Données projet'!$B$10,Paramètres!$A$1:$I$89,3,0)*0.475*44/12</f>
        <v>6.0243505047272594E-9</v>
      </c>
      <c r="AX80" s="23">
        <f t="shared" si="60"/>
        <v>20.419215435753753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30</v>
      </c>
      <c r="O81" s="14">
        <f>N81*VLOOKUP('Données projet'!$B$9,Paramètres!$A$1:$I$89,3,0)*VLOOKUP('Données projet'!$B$9,Paramètres!$A$1:$I$89,5,0)</f>
        <v>14.5548</v>
      </c>
      <c r="P81" s="14">
        <f t="shared" si="87"/>
        <v>4.9111633609399075</v>
      </c>
      <c r="Q81" s="22">
        <f t="shared" si="54"/>
        <v>33.903219520303679</v>
      </c>
      <c r="R81" s="62">
        <f t="shared" si="55"/>
        <v>327.23655285363702</v>
      </c>
      <c r="S81" s="62">
        <f ca="1">AVERAGE(OFFSET($R$3,0,0,'Données projet'!$E$9+1,1))-AVERAGE(OFFSET($H$3,0,0,'Données projet'!$E$9+1,1))</f>
        <v>65.585138535467195</v>
      </c>
      <c r="T81" s="62">
        <f t="shared" si="88"/>
        <v>292.56159092613944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16.152730171682908</v>
      </c>
      <c r="AA81" s="23">
        <f>EXP(-LN(2)/25)*AA80+(1-EXP(-LN(2)/25))/(LN(2)/25)*Calculateur!V81*Calculateur!X81*VLOOKUP('Données projet'!$B$9,Paramètres!$A$1:$I$89,3,0)*0.475*44/12</f>
        <v>1.5222343022768254</v>
      </c>
      <c r="AB81" s="23">
        <f>EXP(-LN(2)/2)*AB80+(1-EXP(-LN(2)/2))/(LN(2)/2)*V81*Y81*VLOOKUP('Données projet'!$B$9,Paramètres!$A$1:$I$89,3,0)*0.475*44/12</f>
        <v>3.7636823246496657E-9</v>
      </c>
      <c r="AC81" s="24">
        <f t="shared" si="57"/>
        <v>17.674964477723414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30</v>
      </c>
      <c r="AJ81" s="14">
        <f>AI81*VLOOKUP('Données projet'!$B$10,Paramètres!$A$1:$I$89,3,0)*VLOOKUP('Données projet'!$B$10,Paramètres!$A$1:$I$89,5,0)</f>
        <v>16.473599999999998</v>
      </c>
      <c r="AK81" s="14">
        <f t="shared" si="89"/>
        <v>5.479064311766531</v>
      </c>
      <c r="AL81" s="22">
        <f t="shared" si="58"/>
        <v>38.2342236763267</v>
      </c>
      <c r="AM81" s="62">
        <f t="shared" si="59"/>
        <v>331.56755700965999</v>
      </c>
      <c r="AN81" s="62">
        <f ca="1">AVERAGE(OFFSET($AM$3,0,0,'Données projet'!$E$10+1,1))-AVERAGE(OFFSET($H$3,0,0,'Données projet'!$E$10+1,1))</f>
        <v>72.817281731857122</v>
      </c>
      <c r="AO81" s="62">
        <f t="shared" si="90"/>
        <v>327.78949950303326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18.282189776309909</v>
      </c>
      <c r="AV81" s="23">
        <f>EXP(-LN(2)/25)*AV80+(1-EXP(-LN(2)/25))/(LN(2)/25)*Calculateur!AQ81*Calculateur!AS81*VLOOKUP('Données projet'!$B$10,Paramètres!$A$1:$I$89,3,0)*0.475*44/12</f>
        <v>1.7229147086863097</v>
      </c>
      <c r="AW81" s="23">
        <f>EXP(-LN(2)/2)*AW80+(1-EXP(-LN(2)/2))/(LN(2)/2)*AQ81*AT81*VLOOKUP('Données projet'!$B$10,Paramètres!$A$1:$I$89,3,0)*0.475*44/12</f>
        <v>4.2598590941372453E-9</v>
      </c>
      <c r="AX81" s="23">
        <f t="shared" si="60"/>
        <v>20.00510448925608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30</v>
      </c>
      <c r="O82" s="14">
        <f>N82*VLOOKUP('Données projet'!$B$9,Paramètres!$A$1:$I$89,3,0)*VLOOKUP('Données projet'!$B$9,Paramètres!$A$1:$I$89,5,0)</f>
        <v>14.5548</v>
      </c>
      <c r="P82" s="14">
        <f t="shared" si="87"/>
        <v>4.9111633609399075</v>
      </c>
      <c r="Q82" s="22">
        <f t="shared" si="54"/>
        <v>33.903219520303679</v>
      </c>
      <c r="R82" s="62">
        <f t="shared" si="55"/>
        <v>327.23655285363702</v>
      </c>
      <c r="S82" s="62">
        <f ca="1">AVERAGE(OFFSET($R$3,0,0,'Données projet'!$E$9+1,1))-AVERAGE(OFFSET($H$3,0,0,'Données projet'!$E$9+1,1))</f>
        <v>65.585138535467195</v>
      </c>
      <c r="T82" s="62">
        <f t="shared" si="88"/>
        <v>292.56159092613944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15.835984985208787</v>
      </c>
      <c r="AA82" s="23">
        <f>EXP(-LN(2)/25)*AA81+(1-EXP(-LN(2)/25))/(LN(2)/25)*Calculateur!V82*Calculateur!X82*VLOOKUP('Données projet'!$B$9,Paramètres!$A$1:$I$89,3,0)*0.475*44/12</f>
        <v>1.4806087252302429</v>
      </c>
      <c r="AB82" s="23">
        <f>EXP(-LN(2)/2)*AB81+(1-EXP(-LN(2)/2))/(LN(2)/2)*V82*Y82*VLOOKUP('Données projet'!$B$9,Paramètres!$A$1:$I$89,3,0)*0.475*44/12</f>
        <v>2.6613252939917278E-9</v>
      </c>
      <c r="AC82" s="24">
        <f t="shared" si="57"/>
        <v>17.316593713100353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30</v>
      </c>
      <c r="AJ82" s="14">
        <f>AI82*VLOOKUP('Données projet'!$B$10,Paramètres!$A$1:$I$89,3,0)*VLOOKUP('Données projet'!$B$10,Paramètres!$A$1:$I$89,5,0)</f>
        <v>16.473599999999998</v>
      </c>
      <c r="AK82" s="14">
        <f t="shared" si="89"/>
        <v>5.479064311766531</v>
      </c>
      <c r="AL82" s="22">
        <f t="shared" si="58"/>
        <v>38.2342236763267</v>
      </c>
      <c r="AM82" s="62">
        <f t="shared" si="59"/>
        <v>331.56755700965999</v>
      </c>
      <c r="AN82" s="62">
        <f ca="1">AVERAGE(OFFSET($AM$3,0,0,'Données projet'!$E$10+1,1))-AVERAGE(OFFSET($H$3,0,0,'Données projet'!$E$10+1,1))</f>
        <v>72.817281731857122</v>
      </c>
      <c r="AO82" s="62">
        <f t="shared" si="90"/>
        <v>327.78949950303326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17.923687185831163</v>
      </c>
      <c r="AV82" s="23">
        <f>EXP(-LN(2)/25)*AV81+(1-EXP(-LN(2)/25))/(LN(2)/25)*Calculateur!AQ82*Calculateur!AS82*VLOOKUP('Données projet'!$B$10,Paramètres!$A$1:$I$89,3,0)*0.475*44/12</f>
        <v>1.6758015153731358</v>
      </c>
      <c r="AW82" s="23">
        <f>EXP(-LN(2)/2)*AW81+(1-EXP(-LN(2)/2))/(LN(2)/2)*AQ82*AT82*VLOOKUP('Données projet'!$B$10,Paramètres!$A$1:$I$89,3,0)*0.475*44/12</f>
        <v>3.0121752523636297E-9</v>
      </c>
      <c r="AX82" s="23">
        <f t="shared" si="60"/>
        <v>19.599488704216473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30</v>
      </c>
      <c r="O83" s="14">
        <f>N83*VLOOKUP('Données projet'!$B$9,Paramètres!$A$1:$I$89,3,0)*VLOOKUP('Données projet'!$B$9,Paramètres!$A$1:$I$89,5,0)</f>
        <v>14.5548</v>
      </c>
      <c r="P83" s="14">
        <f t="shared" si="87"/>
        <v>4.9111633609399075</v>
      </c>
      <c r="Q83" s="22">
        <f t="shared" si="54"/>
        <v>33.903219520303679</v>
      </c>
      <c r="R83" s="62">
        <f t="shared" si="55"/>
        <v>327.23655285363702</v>
      </c>
      <c r="S83" s="62">
        <f ca="1">AVERAGE(OFFSET($R$3,0,0,'Données projet'!$E$9+1,1))-AVERAGE(OFFSET($H$3,0,0,'Données projet'!$E$9+1,1))</f>
        <v>65.585138535467195</v>
      </c>
      <c r="T83" s="62">
        <f t="shared" si="88"/>
        <v>292.56159092613944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15.525450978645937</v>
      </c>
      <c r="AA83" s="23">
        <f>EXP(-LN(2)/25)*AA82+(1-EXP(-LN(2)/25))/(LN(2)/25)*Calculateur!V83*Calculateur!X83*VLOOKUP('Données projet'!$B$9,Paramètres!$A$1:$I$89,3,0)*0.475*44/12</f>
        <v>1.440121401776993</v>
      </c>
      <c r="AB83" s="23">
        <f>EXP(-LN(2)/2)*AB82+(1-EXP(-LN(2)/2))/(LN(2)/2)*V83*Y83*VLOOKUP('Données projet'!$B$9,Paramètres!$A$1:$I$89,3,0)*0.475*44/12</f>
        <v>1.8818411623248329E-9</v>
      </c>
      <c r="AC83" s="24">
        <f t="shared" si="57"/>
        <v>16.965572382304771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30</v>
      </c>
      <c r="AJ83" s="14">
        <f>AI83*VLOOKUP('Données projet'!$B$10,Paramètres!$A$1:$I$89,3,0)*VLOOKUP('Données projet'!$B$10,Paramètres!$A$1:$I$89,5,0)</f>
        <v>16.473599999999998</v>
      </c>
      <c r="AK83" s="14">
        <f t="shared" si="89"/>
        <v>5.479064311766531</v>
      </c>
      <c r="AL83" s="22">
        <f t="shared" si="58"/>
        <v>38.2342236763267</v>
      </c>
      <c r="AM83" s="62">
        <f t="shared" si="59"/>
        <v>331.56755700965999</v>
      </c>
      <c r="AN83" s="62">
        <f ca="1">AVERAGE(OFFSET($AM$3,0,0,'Données projet'!$E$10+1,1))-AVERAGE(OFFSET($H$3,0,0,'Données projet'!$E$10+1,1))</f>
        <v>72.817281731857122</v>
      </c>
      <c r="AO83" s="62">
        <f t="shared" si="90"/>
        <v>327.78949950303326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17.572214612486714</v>
      </c>
      <c r="AV83" s="23">
        <f>EXP(-LN(2)/25)*AV82+(1-EXP(-LN(2)/25))/(LN(2)/25)*Calculateur!AQ83*Calculateur!AS83*VLOOKUP('Données projet'!$B$10,Paramètres!$A$1:$I$89,3,0)*0.475*44/12</f>
        <v>1.6299766348086859</v>
      </c>
      <c r="AW83" s="23">
        <f>EXP(-LN(2)/2)*AW82+(1-EXP(-LN(2)/2))/(LN(2)/2)*AQ83*AT83*VLOOKUP('Données projet'!$B$10,Paramètres!$A$1:$I$89,3,0)*0.475*44/12</f>
        <v>2.1299295470686226E-9</v>
      </c>
      <c r="AX83" s="23">
        <f t="shared" si="60"/>
        <v>19.202191249425329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30</v>
      </c>
      <c r="O84" s="14">
        <f>N84*VLOOKUP('Données projet'!$B$9,Paramètres!$A$1:$I$89,3,0)*VLOOKUP('Données projet'!$B$9,Paramètres!$A$1:$I$89,5,0)</f>
        <v>14.5548</v>
      </c>
      <c r="P84" s="14">
        <f t="shared" si="87"/>
        <v>4.9111633609399075</v>
      </c>
      <c r="Q84" s="22">
        <f t="shared" si="54"/>
        <v>33.903219520303679</v>
      </c>
      <c r="R84" s="62">
        <f t="shared" si="55"/>
        <v>327.23655285363702</v>
      </c>
      <c r="S84" s="62">
        <f ca="1">AVERAGE(OFFSET($R$3,0,0,'Données projet'!$E$9+1,1))-AVERAGE(OFFSET($H$3,0,0,'Données projet'!$E$9+1,1))</f>
        <v>65.585138535467195</v>
      </c>
      <c r="T84" s="62">
        <f t="shared" si="88"/>
        <v>292.56159092613944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15.221006354544743</v>
      </c>
      <c r="AA84" s="23">
        <f>EXP(-LN(2)/25)*AA83+(1-EXP(-LN(2)/25))/(LN(2)/25)*Calculateur!V84*Calculateur!X84*VLOOKUP('Données projet'!$B$9,Paramètres!$A$1:$I$89,3,0)*0.475*44/12</f>
        <v>1.400741206312708</v>
      </c>
      <c r="AB84" s="23">
        <f>EXP(-LN(2)/2)*AB83+(1-EXP(-LN(2)/2))/(LN(2)/2)*V84*Y84*VLOOKUP('Données projet'!$B$9,Paramètres!$A$1:$I$89,3,0)*0.475*44/12</f>
        <v>1.3306626469958639E-9</v>
      </c>
      <c r="AC84" s="24">
        <f t="shared" si="57"/>
        <v>16.621747562188112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30</v>
      </c>
      <c r="AJ84" s="14">
        <f>AI84*VLOOKUP('Données projet'!$B$10,Paramètres!$A$1:$I$89,3,0)*VLOOKUP('Données projet'!$B$10,Paramètres!$A$1:$I$89,5,0)</f>
        <v>16.473599999999998</v>
      </c>
      <c r="AK84" s="14">
        <f t="shared" si="89"/>
        <v>5.479064311766531</v>
      </c>
      <c r="AL84" s="22">
        <f t="shared" si="58"/>
        <v>38.2342236763267</v>
      </c>
      <c r="AM84" s="62">
        <f t="shared" si="59"/>
        <v>331.56755700965999</v>
      </c>
      <c r="AN84" s="62">
        <f ca="1">AVERAGE(OFFSET($AM$3,0,0,'Données projet'!$E$10+1,1))-AVERAGE(OFFSET($H$3,0,0,'Données projet'!$E$10+1,1))</f>
        <v>72.817281731857122</v>
      </c>
      <c r="AO84" s="62">
        <f t="shared" si="90"/>
        <v>327.78949950303326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17.227634201928449</v>
      </c>
      <c r="AV84" s="23">
        <f>EXP(-LN(2)/25)*AV83+(1-EXP(-LN(2)/25))/(LN(2)/25)*Calculateur!AQ84*Calculateur!AS84*VLOOKUP('Données projet'!$B$10,Paramètres!$A$1:$I$89,3,0)*0.475*44/12</f>
        <v>1.5854048380130965</v>
      </c>
      <c r="AW84" s="23">
        <f>EXP(-LN(2)/2)*AW83+(1-EXP(-LN(2)/2))/(LN(2)/2)*AQ84*AT84*VLOOKUP('Données projet'!$B$10,Paramètres!$A$1:$I$89,3,0)*0.475*44/12</f>
        <v>1.5060876261818148E-9</v>
      </c>
      <c r="AX84" s="23">
        <f t="shared" si="60"/>
        <v>18.813039041447635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30</v>
      </c>
      <c r="O85" s="14">
        <f>N85*VLOOKUP('Données projet'!$B$9,Paramètres!$A$1:$I$89,3,0)*VLOOKUP('Données projet'!$B$9,Paramètres!$A$1:$I$89,5,0)</f>
        <v>14.5548</v>
      </c>
      <c r="P85" s="14">
        <f t="shared" si="87"/>
        <v>4.9111633609399075</v>
      </c>
      <c r="Q85" s="22">
        <f t="shared" si="54"/>
        <v>33.903219520303679</v>
      </c>
      <c r="R85" s="62">
        <f t="shared" si="55"/>
        <v>327.23655285363702</v>
      </c>
      <c r="S85" s="62">
        <f ca="1">AVERAGE(OFFSET($R$3,0,0,'Données projet'!$E$9+1,1))-AVERAGE(OFFSET($H$3,0,0,'Données projet'!$E$9+1,1))</f>
        <v>65.585138535467195</v>
      </c>
      <c r="T85" s="62">
        <f t="shared" si="88"/>
        <v>292.56159092613944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14.922531703829288</v>
      </c>
      <c r="AA85" s="23">
        <f>EXP(-LN(2)/25)*AA84+(1-EXP(-LN(2)/25))/(LN(2)/25)*Calculateur!V85*Calculateur!X85*VLOOKUP('Données projet'!$B$9,Paramètres!$A$1:$I$89,3,0)*0.475*44/12</f>
        <v>1.3624378643643085</v>
      </c>
      <c r="AB85" s="23">
        <f>EXP(-LN(2)/2)*AB84+(1-EXP(-LN(2)/2))/(LN(2)/2)*V85*Y85*VLOOKUP('Données projet'!$B$9,Paramètres!$A$1:$I$89,3,0)*0.475*44/12</f>
        <v>9.4092058116241643E-10</v>
      </c>
      <c r="AC85" s="24">
        <f t="shared" si="57"/>
        <v>16.284969569134518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30</v>
      </c>
      <c r="AJ85" s="14">
        <f>AI85*VLOOKUP('Données projet'!$B$10,Paramètres!$A$1:$I$89,3,0)*VLOOKUP('Données projet'!$B$10,Paramètres!$A$1:$I$89,5,0)</f>
        <v>16.473599999999998</v>
      </c>
      <c r="AK85" s="14">
        <f t="shared" si="89"/>
        <v>5.479064311766531</v>
      </c>
      <c r="AL85" s="22">
        <f t="shared" si="58"/>
        <v>38.2342236763267</v>
      </c>
      <c r="AM85" s="62">
        <f t="shared" si="59"/>
        <v>331.56755700965999</v>
      </c>
      <c r="AN85" s="62">
        <f ca="1">AVERAGE(OFFSET($AM$3,0,0,'Données projet'!$E$10+1,1))-AVERAGE(OFFSET($H$3,0,0,'Données projet'!$E$10+1,1))</f>
        <v>72.817281731857122</v>
      </c>
      <c r="AO85" s="62">
        <f t="shared" si="90"/>
        <v>327.78949950303326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16.889810803047933</v>
      </c>
      <c r="AV85" s="23">
        <f>EXP(-LN(2)/25)*AV84+(1-EXP(-LN(2)/25))/(LN(2)/25)*Calculateur!AQ85*Calculateur!AS85*VLOOKUP('Données projet'!$B$10,Paramètres!$A$1:$I$89,3,0)*0.475*44/12</f>
        <v>1.5420518593448114</v>
      </c>
      <c r="AW85" s="23">
        <f>EXP(-LN(2)/2)*AW84+(1-EXP(-LN(2)/2))/(LN(2)/2)*AQ85*AT85*VLOOKUP('Données projet'!$B$10,Paramètres!$A$1:$I$89,3,0)*0.475*44/12</f>
        <v>1.0649647735343113E-9</v>
      </c>
      <c r="AX85" s="23">
        <f t="shared" si="60"/>
        <v>18.431862663457711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30</v>
      </c>
      <c r="O86" s="14">
        <f>N86*VLOOKUP('Données projet'!$B$9,Paramètres!$A$1:$I$89,3,0)*VLOOKUP('Données projet'!$B$9,Paramètres!$A$1:$I$89,5,0)</f>
        <v>14.5548</v>
      </c>
      <c r="P86" s="14">
        <f t="shared" si="87"/>
        <v>4.9111633609399075</v>
      </c>
      <c r="Q86" s="22">
        <f t="shared" si="54"/>
        <v>33.903219520303679</v>
      </c>
      <c r="R86" s="62">
        <f t="shared" si="55"/>
        <v>327.23655285363702</v>
      </c>
      <c r="S86" s="62">
        <f ca="1">AVERAGE(OFFSET($R$3,0,0,'Données projet'!$E$9+1,1))-AVERAGE(OFFSET($H$3,0,0,'Données projet'!$E$9+1,1))</f>
        <v>65.585138535467195</v>
      </c>
      <c r="T86" s="62">
        <f t="shared" si="88"/>
        <v>292.56159092613944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14.629909958962802</v>
      </c>
      <c r="AA86" s="23">
        <f>EXP(-LN(2)/25)*AA85+(1-EXP(-LN(2)/25))/(LN(2)/25)*Calculateur!V86*Calculateur!X86*VLOOKUP('Données projet'!$B$9,Paramètres!$A$1:$I$89,3,0)*0.475*44/12</f>
        <v>1.3251819293157732</v>
      </c>
      <c r="AB86" s="23">
        <f>EXP(-LN(2)/2)*AB85+(1-EXP(-LN(2)/2))/(LN(2)/2)*V86*Y86*VLOOKUP('Données projet'!$B$9,Paramètres!$A$1:$I$89,3,0)*0.475*44/12</f>
        <v>6.6533132349793195E-10</v>
      </c>
      <c r="AC86" s="24">
        <f t="shared" si="57"/>
        <v>15.955091888943906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30</v>
      </c>
      <c r="AJ86" s="14">
        <f>AI86*VLOOKUP('Données projet'!$B$10,Paramètres!$A$1:$I$89,3,0)*VLOOKUP('Données projet'!$B$10,Paramètres!$A$1:$I$89,5,0)</f>
        <v>16.473599999999998</v>
      </c>
      <c r="AK86" s="14">
        <f t="shared" si="89"/>
        <v>5.479064311766531</v>
      </c>
      <c r="AL86" s="22">
        <f t="shared" si="58"/>
        <v>38.2342236763267</v>
      </c>
      <c r="AM86" s="62">
        <f t="shared" si="59"/>
        <v>331.56755700965999</v>
      </c>
      <c r="AN86" s="62">
        <f ca="1">AVERAGE(OFFSET($AM$3,0,0,'Données projet'!$E$10+1,1))-AVERAGE(OFFSET($H$3,0,0,'Données projet'!$E$10+1,1))</f>
        <v>72.817281731857122</v>
      </c>
      <c r="AO86" s="62">
        <f t="shared" si="90"/>
        <v>327.78949950303326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16.558611914967539</v>
      </c>
      <c r="AV86" s="23">
        <f>EXP(-LN(2)/25)*AV85+(1-EXP(-LN(2)/25))/(LN(2)/25)*Calculateur!AQ86*Calculateur!AS86*VLOOKUP('Données projet'!$B$10,Paramètres!$A$1:$I$89,3,0)*0.475*44/12</f>
        <v>1.4998843701580447</v>
      </c>
      <c r="AW86" s="23">
        <f>EXP(-LN(2)/2)*AW85+(1-EXP(-LN(2)/2))/(LN(2)/2)*AQ86*AT86*VLOOKUP('Données projet'!$B$10,Paramètres!$A$1:$I$89,3,0)*0.475*44/12</f>
        <v>7.5304381309090742E-10</v>
      </c>
      <c r="AX86" s="23">
        <f t="shared" si="60"/>
        <v>18.058496285878629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30</v>
      </c>
      <c r="O87" s="14">
        <f>N87*VLOOKUP('Données projet'!$B$9,Paramètres!$A$1:$I$89,3,0)*VLOOKUP('Données projet'!$B$9,Paramètres!$A$1:$I$89,5,0)</f>
        <v>14.5548</v>
      </c>
      <c r="P87" s="14">
        <f t="shared" si="87"/>
        <v>4.9111633609399075</v>
      </c>
      <c r="Q87" s="22">
        <f t="shared" si="54"/>
        <v>33.903219520303679</v>
      </c>
      <c r="R87" s="62">
        <f t="shared" si="55"/>
        <v>327.23655285363702</v>
      </c>
      <c r="S87" s="62">
        <f ca="1">AVERAGE(OFFSET($R$3,0,0,'Données projet'!$E$9+1,1))-AVERAGE(OFFSET($H$3,0,0,'Données projet'!$E$9+1,1))</f>
        <v>65.585138535467195</v>
      </c>
      <c r="T87" s="62">
        <f t="shared" si="88"/>
        <v>292.56159092613944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14.343026348031508</v>
      </c>
      <c r="AA87" s="23">
        <f>EXP(-LN(2)/25)*AA86+(1-EXP(-LN(2)/25))/(LN(2)/25)*Calculateur!V87*Calculateur!X87*VLOOKUP('Données projet'!$B$9,Paramètres!$A$1:$I$89,3,0)*0.475*44/12</f>
        <v>1.2889447597703445</v>
      </c>
      <c r="AB87" s="23">
        <f>EXP(-LN(2)/2)*AB86+(1-EXP(-LN(2)/2))/(LN(2)/2)*V87*Y87*VLOOKUP('Données projet'!$B$9,Paramètres!$A$1:$I$89,3,0)*0.475*44/12</f>
        <v>4.7046029058120822E-10</v>
      </c>
      <c r="AC87" s="24">
        <f t="shared" si="57"/>
        <v>15.631971108272314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30</v>
      </c>
      <c r="AJ87" s="14">
        <f>AI87*VLOOKUP('Données projet'!$B$10,Paramètres!$A$1:$I$89,3,0)*VLOOKUP('Données projet'!$B$10,Paramètres!$A$1:$I$89,5,0)</f>
        <v>16.473599999999998</v>
      </c>
      <c r="AK87" s="14">
        <f t="shared" si="89"/>
        <v>5.479064311766531</v>
      </c>
      <c r="AL87" s="22">
        <f t="shared" si="58"/>
        <v>38.2342236763267</v>
      </c>
      <c r="AM87" s="62">
        <f t="shared" si="59"/>
        <v>331.56755700965999</v>
      </c>
      <c r="AN87" s="62">
        <f ca="1">AVERAGE(OFFSET($AM$3,0,0,'Données projet'!$E$10+1,1))-AVERAGE(OFFSET($H$3,0,0,'Données projet'!$E$10+1,1))</f>
        <v>72.817281731857122</v>
      </c>
      <c r="AO87" s="62">
        <f t="shared" si="90"/>
        <v>327.78949950303326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16.233907635071027</v>
      </c>
      <c r="AV87" s="23">
        <f>EXP(-LN(2)/25)*AV86+(1-EXP(-LN(2)/25))/(LN(2)/25)*Calculateur!AQ87*Calculateur!AS87*VLOOKUP('Données projet'!$B$10,Paramètres!$A$1:$I$89,3,0)*0.475*44/12</f>
        <v>1.458869953180582</v>
      </c>
      <c r="AW87" s="23">
        <f>EXP(-LN(2)/2)*AW86+(1-EXP(-LN(2)/2))/(LN(2)/2)*AQ87*AT87*VLOOKUP('Données projet'!$B$10,Paramètres!$A$1:$I$89,3,0)*0.475*44/12</f>
        <v>5.3248238676715566E-10</v>
      </c>
      <c r="AX87" s="23">
        <f t="shared" si="60"/>
        <v>17.692777588784089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30</v>
      </c>
      <c r="O88" s="14">
        <f>N88*VLOOKUP('Données projet'!$B$9,Paramètres!$A$1:$I$89,3,0)*VLOOKUP('Données projet'!$B$9,Paramètres!$A$1:$I$89,5,0)</f>
        <v>14.5548</v>
      </c>
      <c r="P88" s="14">
        <f t="shared" si="87"/>
        <v>4.9111633609399075</v>
      </c>
      <c r="Q88" s="22">
        <f t="shared" si="54"/>
        <v>33.903219520303679</v>
      </c>
      <c r="R88" s="62">
        <f t="shared" si="55"/>
        <v>327.23655285363702</v>
      </c>
      <c r="S88" s="62">
        <f ca="1">AVERAGE(OFFSET($R$3,0,0,'Données projet'!$E$9+1,1))-AVERAGE(OFFSET($H$3,0,0,'Données projet'!$E$9+1,1))</f>
        <v>65.585138535467195</v>
      </c>
      <c r="T88" s="62">
        <f t="shared" si="88"/>
        <v>292.56159092613944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14.061768349728851</v>
      </c>
      <c r="AA88" s="23">
        <f>EXP(-LN(2)/25)*AA87+(1-EXP(-LN(2)/25))/(LN(2)/25)*Calculateur!V88*Calculateur!X88*VLOOKUP('Données projet'!$B$9,Paramètres!$A$1:$I$89,3,0)*0.475*44/12</f>
        <v>1.2536984975317655</v>
      </c>
      <c r="AB88" s="23">
        <f>EXP(-LN(2)/2)*AB87+(1-EXP(-LN(2)/2))/(LN(2)/2)*V88*Y88*VLOOKUP('Données projet'!$B$9,Paramètres!$A$1:$I$89,3,0)*0.475*44/12</f>
        <v>3.3266566174896598E-10</v>
      </c>
      <c r="AC88" s="24">
        <f t="shared" si="57"/>
        <v>15.315466847593282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30</v>
      </c>
      <c r="AJ88" s="14">
        <f>AI88*VLOOKUP('Données projet'!$B$10,Paramètres!$A$1:$I$89,3,0)*VLOOKUP('Données projet'!$B$10,Paramètres!$A$1:$I$89,5,0)</f>
        <v>16.473599999999998</v>
      </c>
      <c r="AK88" s="14">
        <f t="shared" si="89"/>
        <v>5.479064311766531</v>
      </c>
      <c r="AL88" s="22">
        <f t="shared" si="58"/>
        <v>38.2342236763267</v>
      </c>
      <c r="AM88" s="62">
        <f t="shared" si="59"/>
        <v>331.56755700965999</v>
      </c>
      <c r="AN88" s="62">
        <f ca="1">AVERAGE(OFFSET($AM$3,0,0,'Données projet'!$E$10+1,1))-AVERAGE(OFFSET($H$3,0,0,'Données projet'!$E$10+1,1))</f>
        <v>72.817281731857122</v>
      </c>
      <c r="AO88" s="62">
        <f t="shared" si="90"/>
        <v>327.78949950303326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15.91557060805323</v>
      </c>
      <c r="AV88" s="23">
        <f>EXP(-LN(2)/25)*AV87+(1-EXP(-LN(2)/25))/(LN(2)/25)*Calculateur!AQ88*Calculateur!AS88*VLOOKUP('Données projet'!$B$10,Paramètres!$A$1:$I$89,3,0)*0.475*44/12</f>
        <v>1.4189770775922224</v>
      </c>
      <c r="AW88" s="23">
        <f>EXP(-LN(2)/2)*AW87+(1-EXP(-LN(2)/2))/(LN(2)/2)*AQ88*AT88*VLOOKUP('Données projet'!$B$10,Paramètres!$A$1:$I$89,3,0)*0.475*44/12</f>
        <v>3.7652190654545371E-10</v>
      </c>
      <c r="AX88" s="23">
        <f t="shared" si="60"/>
        <v>17.334547686021974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30</v>
      </c>
      <c r="O89" s="14">
        <f>N89*VLOOKUP('Données projet'!$B$9,Paramètres!$A$1:$I$89,3,0)*VLOOKUP('Données projet'!$B$9,Paramètres!$A$1:$I$89,5,0)</f>
        <v>14.5548</v>
      </c>
      <c r="P89" s="14">
        <f t="shared" si="87"/>
        <v>4.9111633609399075</v>
      </c>
      <c r="Q89" s="22">
        <f t="shared" si="54"/>
        <v>33.903219520303679</v>
      </c>
      <c r="R89" s="62">
        <f t="shared" si="55"/>
        <v>327.23655285363702</v>
      </c>
      <c r="S89" s="62">
        <f ca="1">AVERAGE(OFFSET($R$3,0,0,'Données projet'!$E$9+1,1))-AVERAGE(OFFSET($H$3,0,0,'Données projet'!$E$9+1,1))</f>
        <v>65.585138535467195</v>
      </c>
      <c r="T89" s="62">
        <f t="shared" si="88"/>
        <v>292.56159092613944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13.78602564922247</v>
      </c>
      <c r="AA89" s="23">
        <f>EXP(-LN(2)/25)*AA88+(1-EXP(-LN(2)/25))/(LN(2)/25)*Calculateur!V89*Calculateur!X89*VLOOKUP('Données projet'!$B$9,Paramètres!$A$1:$I$89,3,0)*0.475*44/12</f>
        <v>1.2194160461876209</v>
      </c>
      <c r="AB89" s="23">
        <f>EXP(-LN(2)/2)*AB88+(1-EXP(-LN(2)/2))/(LN(2)/2)*V89*Y89*VLOOKUP('Données projet'!$B$9,Paramètres!$A$1:$I$89,3,0)*0.475*44/12</f>
        <v>2.3523014529060411E-10</v>
      </c>
      <c r="AC89" s="24">
        <f t="shared" si="57"/>
        <v>15.005441695645322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30</v>
      </c>
      <c r="AJ89" s="14">
        <f>AI89*VLOOKUP('Données projet'!$B$10,Paramètres!$A$1:$I$89,3,0)*VLOOKUP('Données projet'!$B$10,Paramètres!$A$1:$I$89,5,0)</f>
        <v>16.473599999999998</v>
      </c>
      <c r="AK89" s="14">
        <f t="shared" si="89"/>
        <v>5.479064311766531</v>
      </c>
      <c r="AL89" s="22">
        <f t="shared" si="58"/>
        <v>38.2342236763267</v>
      </c>
      <c r="AM89" s="62">
        <f t="shared" si="59"/>
        <v>331.56755700965999</v>
      </c>
      <c r="AN89" s="62">
        <f ca="1">AVERAGE(OFFSET($AM$3,0,0,'Données projet'!$E$10+1,1))-AVERAGE(OFFSET($H$3,0,0,'Données projet'!$E$10+1,1))</f>
        <v>72.817281731857122</v>
      </c>
      <c r="AO89" s="62">
        <f t="shared" si="90"/>
        <v>327.78949950303326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15.603475975968838</v>
      </c>
      <c r="AV89" s="23">
        <f>EXP(-LN(2)/25)*AV88+(1-EXP(-LN(2)/25))/(LN(2)/25)*Calculateur!AQ89*Calculateur!AS89*VLOOKUP('Données projet'!$B$10,Paramètres!$A$1:$I$89,3,0)*0.475*44/12</f>
        <v>1.3801750747847017</v>
      </c>
      <c r="AW89" s="23">
        <f>EXP(-LN(2)/2)*AW88+(1-EXP(-LN(2)/2))/(LN(2)/2)*AQ89*AT89*VLOOKUP('Données projet'!$B$10,Paramètres!$A$1:$I$89,3,0)*0.475*44/12</f>
        <v>2.6624119338357783E-10</v>
      </c>
      <c r="AX89" s="23">
        <f t="shared" si="60"/>
        <v>16.98365105101978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30</v>
      </c>
      <c r="O90" s="14">
        <f>N90*VLOOKUP('Données projet'!$B$9,Paramètres!$A$1:$I$89,3,0)*VLOOKUP('Données projet'!$B$9,Paramètres!$A$1:$I$89,5,0)</f>
        <v>14.5548</v>
      </c>
      <c r="P90" s="14">
        <f t="shared" si="87"/>
        <v>4.9111633609399075</v>
      </c>
      <c r="Q90" s="22">
        <f t="shared" si="54"/>
        <v>33.903219520303679</v>
      </c>
      <c r="R90" s="62">
        <f t="shared" si="55"/>
        <v>327.23655285363702</v>
      </c>
      <c r="S90" s="62">
        <f ca="1">AVERAGE(OFFSET($R$3,0,0,'Données projet'!$E$9+1,1))-AVERAGE(OFFSET($H$3,0,0,'Données projet'!$E$9+1,1))</f>
        <v>65.585138535467195</v>
      </c>
      <c r="T90" s="62">
        <f t="shared" si="88"/>
        <v>292.56159092613944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13.515690094886578</v>
      </c>
      <c r="AA90" s="23">
        <f>EXP(-LN(2)/25)*AA89+(1-EXP(-LN(2)/25))/(LN(2)/25)*Calculateur!V90*Calculateur!X90*VLOOKUP('Données projet'!$B$9,Paramètres!$A$1:$I$89,3,0)*0.475*44/12</f>
        <v>1.1860710502783176</v>
      </c>
      <c r="AB90" s="23">
        <f>EXP(-LN(2)/2)*AB89+(1-EXP(-LN(2)/2))/(LN(2)/2)*V90*Y90*VLOOKUP('Données projet'!$B$9,Paramètres!$A$1:$I$89,3,0)*0.475*44/12</f>
        <v>1.6633283087448299E-10</v>
      </c>
      <c r="AC90" s="24">
        <f t="shared" si="57"/>
        <v>14.701761145331227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30</v>
      </c>
      <c r="AJ90" s="14">
        <f>AI90*VLOOKUP('Données projet'!$B$10,Paramètres!$A$1:$I$89,3,0)*VLOOKUP('Données projet'!$B$10,Paramètres!$A$1:$I$89,5,0)</f>
        <v>16.473599999999998</v>
      </c>
      <c r="AK90" s="14">
        <f t="shared" si="89"/>
        <v>5.479064311766531</v>
      </c>
      <c r="AL90" s="22">
        <f t="shared" si="58"/>
        <v>38.2342236763267</v>
      </c>
      <c r="AM90" s="62">
        <f t="shared" si="59"/>
        <v>331.56755700965999</v>
      </c>
      <c r="AN90" s="62">
        <f ca="1">AVERAGE(OFFSET($AM$3,0,0,'Données projet'!$E$10+1,1))-AVERAGE(OFFSET($H$3,0,0,'Données projet'!$E$10+1,1))</f>
        <v>72.817281731857122</v>
      </c>
      <c r="AO90" s="62">
        <f t="shared" si="90"/>
        <v>327.78949950303326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15.29750132926069</v>
      </c>
      <c r="AV90" s="23">
        <f>EXP(-LN(2)/25)*AV89+(1-EXP(-LN(2)/25))/(LN(2)/25)*Calculateur!AQ90*Calculateur!AS90*VLOOKUP('Données projet'!$B$10,Paramètres!$A$1:$I$89,3,0)*0.475*44/12</f>
        <v>1.3424341147844612</v>
      </c>
      <c r="AW90" s="23">
        <f>EXP(-LN(2)/2)*AW89+(1-EXP(-LN(2)/2))/(LN(2)/2)*AQ90*AT90*VLOOKUP('Données projet'!$B$10,Paramètres!$A$1:$I$89,3,0)*0.475*44/12</f>
        <v>1.8826095327272686E-10</v>
      </c>
      <c r="AX90" s="23">
        <f t="shared" si="60"/>
        <v>16.639935444233412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30</v>
      </c>
      <c r="O91" s="14">
        <f>N91*VLOOKUP('Données projet'!$B$9,Paramètres!$A$1:$I$89,3,0)*VLOOKUP('Données projet'!$B$9,Paramètres!$A$1:$I$89,5,0)</f>
        <v>14.5548</v>
      </c>
      <c r="P91" s="14">
        <f t="shared" si="87"/>
        <v>4.9111633609399075</v>
      </c>
      <c r="Q91" s="22">
        <f t="shared" si="54"/>
        <v>33.903219520303679</v>
      </c>
      <c r="R91" s="62">
        <f t="shared" si="55"/>
        <v>327.23655285363702</v>
      </c>
      <c r="S91" s="62">
        <f ca="1">AVERAGE(OFFSET($R$3,0,0,'Données projet'!$E$9+1,1))-AVERAGE(OFFSET($H$3,0,0,'Données projet'!$E$9+1,1))</f>
        <v>65.585138535467195</v>
      </c>
      <c r="T91" s="62">
        <f t="shared" si="88"/>
        <v>292.56159092613944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13.250655655882806</v>
      </c>
      <c r="AA91" s="23">
        <f>EXP(-LN(2)/25)*AA90+(1-EXP(-LN(2)/25))/(LN(2)/25)*Calculateur!V91*Calculateur!X91*VLOOKUP('Données projet'!$B$9,Paramètres!$A$1:$I$89,3,0)*0.475*44/12</f>
        <v>1.1536378750356913</v>
      </c>
      <c r="AB91" s="23">
        <f>EXP(-LN(2)/2)*AB90+(1-EXP(-LN(2)/2))/(LN(2)/2)*V91*Y91*VLOOKUP('Données projet'!$B$9,Paramètres!$A$1:$I$89,3,0)*0.475*44/12</f>
        <v>1.1761507264530205E-10</v>
      </c>
      <c r="AC91" s="24">
        <f t="shared" si="57"/>
        <v>14.404293531036112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30</v>
      </c>
      <c r="AJ91" s="14">
        <f>AI91*VLOOKUP('Données projet'!$B$10,Paramètres!$A$1:$I$89,3,0)*VLOOKUP('Données projet'!$B$10,Paramètres!$A$1:$I$89,5,0)</f>
        <v>16.473599999999998</v>
      </c>
      <c r="AK91" s="14">
        <f t="shared" si="89"/>
        <v>5.479064311766531</v>
      </c>
      <c r="AL91" s="22">
        <f t="shared" si="58"/>
        <v>38.2342236763267</v>
      </c>
      <c r="AM91" s="62">
        <f t="shared" si="59"/>
        <v>331.56755700965999</v>
      </c>
      <c r="AN91" s="62">
        <f ca="1">AVERAGE(OFFSET($AM$3,0,0,'Données projet'!$E$10+1,1))-AVERAGE(OFFSET($H$3,0,0,'Données projet'!$E$10+1,1))</f>
        <v>72.817281731857122</v>
      </c>
      <c r="AO91" s="62">
        <f t="shared" si="90"/>
        <v>327.78949950303326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14.997526658748383</v>
      </c>
      <c r="AV91" s="23">
        <f>EXP(-LN(2)/25)*AV90+(1-EXP(-LN(2)/25))/(LN(2)/25)*Calculateur!AQ91*Calculateur!AS91*VLOOKUP('Données projet'!$B$10,Paramètres!$A$1:$I$89,3,0)*0.475*44/12</f>
        <v>1.3057251833201382</v>
      </c>
      <c r="AW91" s="23">
        <f>EXP(-LN(2)/2)*AW90+(1-EXP(-LN(2)/2))/(LN(2)/2)*AQ91*AT91*VLOOKUP('Données projet'!$B$10,Paramètres!$A$1:$I$89,3,0)*0.475*44/12</f>
        <v>1.3312059669178891E-10</v>
      </c>
      <c r="AX91" s="23">
        <f t="shared" si="60"/>
        <v>16.303251842201639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30</v>
      </c>
      <c r="O92" s="14">
        <f>N92*VLOOKUP('Données projet'!$B$9,Paramètres!$A$1:$I$89,3,0)*VLOOKUP('Données projet'!$B$9,Paramètres!$A$1:$I$89,5,0)</f>
        <v>14.5548</v>
      </c>
      <c r="P92" s="14">
        <f t="shared" si="87"/>
        <v>4.9111633609399075</v>
      </c>
      <c r="Q92" s="22">
        <f t="shared" si="54"/>
        <v>33.903219520303679</v>
      </c>
      <c r="R92" s="62">
        <f t="shared" si="55"/>
        <v>327.23655285363702</v>
      </c>
      <c r="S92" s="62">
        <f ca="1">AVERAGE(OFFSET($R$3,0,0,'Données projet'!$E$9+1,1))-AVERAGE(OFFSET($H$3,0,0,'Données projet'!$E$9+1,1))</f>
        <v>65.585138535467195</v>
      </c>
      <c r="T92" s="62">
        <f t="shared" si="88"/>
        <v>292.56159092613944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12.990818380572852</v>
      </c>
      <c r="AA92" s="23">
        <f>EXP(-LN(2)/25)*AA91+(1-EXP(-LN(2)/25))/(LN(2)/25)*Calculateur!V92*Calculateur!X92*VLOOKUP('Données projet'!$B$9,Paramètres!$A$1:$I$89,3,0)*0.475*44/12</f>
        <v>1.1220915866756611</v>
      </c>
      <c r="AB92" s="23">
        <f>EXP(-LN(2)/2)*AB91+(1-EXP(-LN(2)/2))/(LN(2)/2)*V92*Y92*VLOOKUP('Données projet'!$B$9,Paramètres!$A$1:$I$89,3,0)*0.475*44/12</f>
        <v>8.3166415437241494E-11</v>
      </c>
      <c r="AC92" s="24">
        <f t="shared" si="57"/>
        <v>14.11290996733168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30</v>
      </c>
      <c r="AJ92" s="14">
        <f>AI92*VLOOKUP('Données projet'!$B$10,Paramètres!$A$1:$I$89,3,0)*VLOOKUP('Données projet'!$B$10,Paramètres!$A$1:$I$89,5,0)</f>
        <v>16.473599999999998</v>
      </c>
      <c r="AK92" s="14">
        <f t="shared" si="89"/>
        <v>5.479064311766531</v>
      </c>
      <c r="AL92" s="22">
        <f t="shared" si="58"/>
        <v>38.2342236763267</v>
      </c>
      <c r="AM92" s="62">
        <f t="shared" si="59"/>
        <v>331.56755700965999</v>
      </c>
      <c r="AN92" s="62">
        <f ca="1">AVERAGE(OFFSET($AM$3,0,0,'Données projet'!$E$10+1,1))-AVERAGE(OFFSET($H$3,0,0,'Données projet'!$E$10+1,1))</f>
        <v>72.817281731857122</v>
      </c>
      <c r="AO92" s="62">
        <f t="shared" si="90"/>
        <v>327.78949950303326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14.703434308558339</v>
      </c>
      <c r="AV92" s="23">
        <f>EXP(-LN(2)/25)*AV91+(1-EXP(-LN(2)/25))/(LN(2)/25)*Calculateur!AQ92*Calculateur!AS92*VLOOKUP('Données projet'!$B$10,Paramètres!$A$1:$I$89,3,0)*0.475*44/12</f>
        <v>1.2700200595171458</v>
      </c>
      <c r="AW92" s="23">
        <f>EXP(-LN(2)/2)*AW91+(1-EXP(-LN(2)/2))/(LN(2)/2)*AQ92*AT92*VLOOKUP('Données projet'!$B$10,Paramètres!$A$1:$I$89,3,0)*0.475*44/12</f>
        <v>9.4130476636363428E-11</v>
      </c>
      <c r="AX92" s="23">
        <f t="shared" si="60"/>
        <v>15.973454368169616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30</v>
      </c>
      <c r="O93" s="14">
        <f>N93*VLOOKUP('Données projet'!$B$9,Paramètres!$A$1:$I$89,3,0)*VLOOKUP('Données projet'!$B$9,Paramètres!$A$1:$I$89,5,0)</f>
        <v>14.5548</v>
      </c>
      <c r="P93" s="14">
        <f t="shared" si="87"/>
        <v>4.9111633609399075</v>
      </c>
      <c r="Q93" s="22">
        <f t="shared" si="54"/>
        <v>33.903219520303679</v>
      </c>
      <c r="R93" s="62">
        <f t="shared" si="55"/>
        <v>327.23655285363702</v>
      </c>
      <c r="S93" s="62">
        <f ca="1">AVERAGE(OFFSET($R$3,0,0,'Données projet'!$E$9+1,1))-AVERAGE(OFFSET($H$3,0,0,'Données projet'!$E$9+1,1))</f>
        <v>65.585138535467195</v>
      </c>
      <c r="T93" s="62">
        <f t="shared" si="88"/>
        <v>292.56159092613944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12.736076355746638</v>
      </c>
      <c r="AA93" s="23">
        <f>EXP(-LN(2)/25)*AA92+(1-EXP(-LN(2)/25))/(LN(2)/25)*Calculateur!V93*Calculateur!X93*VLOOKUP('Données projet'!$B$9,Paramètres!$A$1:$I$89,3,0)*0.475*44/12</f>
        <v>1.0914079332297832</v>
      </c>
      <c r="AB93" s="23">
        <f>EXP(-LN(2)/2)*AB92+(1-EXP(-LN(2)/2))/(LN(2)/2)*V93*Y93*VLOOKUP('Données projet'!$B$9,Paramètres!$A$1:$I$89,3,0)*0.475*44/12</f>
        <v>5.8807536322651027E-11</v>
      </c>
      <c r="AC93" s="24">
        <f t="shared" si="57"/>
        <v>13.82748428903523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30</v>
      </c>
      <c r="AJ93" s="14">
        <f>AI93*VLOOKUP('Données projet'!$B$10,Paramètres!$A$1:$I$89,3,0)*VLOOKUP('Données projet'!$B$10,Paramètres!$A$1:$I$89,5,0)</f>
        <v>16.473599999999998</v>
      </c>
      <c r="AK93" s="14">
        <f t="shared" si="89"/>
        <v>5.479064311766531</v>
      </c>
      <c r="AL93" s="22">
        <f t="shared" si="58"/>
        <v>38.2342236763267</v>
      </c>
      <c r="AM93" s="62">
        <f t="shared" si="59"/>
        <v>331.56755700965999</v>
      </c>
      <c r="AN93" s="62">
        <f ca="1">AVERAGE(OFFSET($AM$3,0,0,'Données projet'!$E$10+1,1))-AVERAGE(OFFSET($H$3,0,0,'Données projet'!$E$10+1,1))</f>
        <v>72.817281731857122</v>
      </c>
      <c r="AO93" s="62">
        <f t="shared" si="90"/>
        <v>327.78949950303326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14.415108929976901</v>
      </c>
      <c r="AV93" s="23">
        <f>EXP(-LN(2)/25)*AV92+(1-EXP(-LN(2)/25))/(LN(2)/25)*Calculateur!AQ93*Calculateur!AS93*VLOOKUP('Données projet'!$B$10,Paramètres!$A$1:$I$89,3,0)*0.475*44/12</f>
        <v>1.2352912942021972</v>
      </c>
      <c r="AW93" s="23">
        <f>EXP(-LN(2)/2)*AW92+(1-EXP(-LN(2)/2))/(LN(2)/2)*AQ93*AT93*VLOOKUP('Données projet'!$B$10,Paramètres!$A$1:$I$89,3,0)*0.475*44/12</f>
        <v>6.6560298345894457E-11</v>
      </c>
      <c r="AX93" s="23">
        <f t="shared" si="60"/>
        <v>15.650400224245658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30</v>
      </c>
      <c r="O94" s="14">
        <f>N94*VLOOKUP('Données projet'!$B$9,Paramètres!$A$1:$I$89,3,0)*VLOOKUP('Données projet'!$B$9,Paramètres!$A$1:$I$89,5,0)</f>
        <v>14.5548</v>
      </c>
      <c r="P94" s="14">
        <f t="shared" si="87"/>
        <v>4.9111633609399075</v>
      </c>
      <c r="Q94" s="22">
        <f t="shared" si="54"/>
        <v>33.903219520303679</v>
      </c>
      <c r="R94" s="62">
        <f t="shared" si="55"/>
        <v>327.23655285363702</v>
      </c>
      <c r="S94" s="62">
        <f ca="1">AVERAGE(OFFSET($R$3,0,0,'Données projet'!$E$9+1,1))-AVERAGE(OFFSET($H$3,0,0,'Données projet'!$E$9+1,1))</f>
        <v>65.585138535467195</v>
      </c>
      <c r="T94" s="62">
        <f t="shared" si="88"/>
        <v>292.56159092613944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12.486329666649974</v>
      </c>
      <c r="AA94" s="23">
        <f>EXP(-LN(2)/25)*AA93+(1-EXP(-LN(2)/25))/(LN(2)/25)*Calculateur!V94*Calculateur!X94*VLOOKUP('Données projet'!$B$9,Paramètres!$A$1:$I$89,3,0)*0.475*44/12</f>
        <v>1.061563325900966</v>
      </c>
      <c r="AB94" s="23">
        <f>EXP(-LN(2)/2)*AB93+(1-EXP(-LN(2)/2))/(LN(2)/2)*V94*Y94*VLOOKUP('Données projet'!$B$9,Paramètres!$A$1:$I$89,3,0)*0.475*44/12</f>
        <v>4.1583207718620747E-11</v>
      </c>
      <c r="AC94" s="24">
        <f t="shared" si="57"/>
        <v>13.547892992592523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30</v>
      </c>
      <c r="AJ94" s="14">
        <f>AI94*VLOOKUP('Données projet'!$B$10,Paramètres!$A$1:$I$89,3,0)*VLOOKUP('Données projet'!$B$10,Paramètres!$A$1:$I$89,5,0)</f>
        <v>16.473599999999998</v>
      </c>
      <c r="AK94" s="14">
        <f t="shared" si="89"/>
        <v>5.479064311766531</v>
      </c>
      <c r="AL94" s="22">
        <f t="shared" si="58"/>
        <v>38.2342236763267</v>
      </c>
      <c r="AM94" s="62">
        <f t="shared" si="59"/>
        <v>331.56755700965999</v>
      </c>
      <c r="AN94" s="62">
        <f ca="1">AVERAGE(OFFSET($AM$3,0,0,'Données projet'!$E$10+1,1))-AVERAGE(OFFSET($H$3,0,0,'Données projet'!$E$10+1,1))</f>
        <v>72.817281731857122</v>
      </c>
      <c r="AO94" s="62">
        <f t="shared" si="90"/>
        <v>327.78949950303326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14.132437436208329</v>
      </c>
      <c r="AV94" s="23">
        <f>EXP(-LN(2)/25)*AV93+(1-EXP(-LN(2)/25))/(LN(2)/25)*Calculateur!AQ94*Calculateur!AS94*VLOOKUP('Données projet'!$B$10,Paramètres!$A$1:$I$89,3,0)*0.475*44/12</f>
        <v>1.2015121888010922</v>
      </c>
      <c r="AW94" s="23">
        <f>EXP(-LN(2)/2)*AW93+(1-EXP(-LN(2)/2))/(LN(2)/2)*AQ94*AT94*VLOOKUP('Données projet'!$B$10,Paramètres!$A$1:$I$89,3,0)*0.475*44/12</f>
        <v>4.7065238318181714E-11</v>
      </c>
      <c r="AX94" s="23">
        <f t="shared" si="60"/>
        <v>15.333949625056485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30</v>
      </c>
      <c r="O95" s="14">
        <f>N95*VLOOKUP('Données projet'!$B$9,Paramètres!$A$1:$I$89,3,0)*VLOOKUP('Données projet'!$B$9,Paramètres!$A$1:$I$89,5,0)</f>
        <v>14.5548</v>
      </c>
      <c r="P95" s="14">
        <f t="shared" si="87"/>
        <v>4.9111633609399075</v>
      </c>
      <c r="Q95" s="22">
        <f t="shared" si="54"/>
        <v>33.903219520303679</v>
      </c>
      <c r="R95" s="62">
        <f t="shared" si="55"/>
        <v>327.23655285363702</v>
      </c>
      <c r="S95" s="62">
        <f ca="1">AVERAGE(OFFSET($R$3,0,0,'Données projet'!$E$9+1,1))-AVERAGE(OFFSET($H$3,0,0,'Données projet'!$E$9+1,1))</f>
        <v>65.585138535467195</v>
      </c>
      <c r="T95" s="62">
        <f t="shared" si="88"/>
        <v>292.56159092613944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12.241480357796055</v>
      </c>
      <c r="AA95" s="23">
        <f>EXP(-LN(2)/25)*AA94+(1-EXP(-LN(2)/25))/(LN(2)/25)*Calculateur!V95*Calculateur!X95*VLOOKUP('Données projet'!$B$9,Paramètres!$A$1:$I$89,3,0)*0.475*44/12</f>
        <v>1.0325348209290151</v>
      </c>
      <c r="AB95" s="23">
        <f>EXP(-LN(2)/2)*AB94+(1-EXP(-LN(2)/2))/(LN(2)/2)*V95*Y95*VLOOKUP('Données projet'!$B$9,Paramètres!$A$1:$I$89,3,0)*0.475*44/12</f>
        <v>2.9403768161325514E-11</v>
      </c>
      <c r="AC95" s="24">
        <f t="shared" si="57"/>
        <v>13.274015178754475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30</v>
      </c>
      <c r="AJ95" s="14">
        <f>AI95*VLOOKUP('Données projet'!$B$10,Paramètres!$A$1:$I$89,3,0)*VLOOKUP('Données projet'!$B$10,Paramètres!$A$1:$I$89,5,0)</f>
        <v>16.473599999999998</v>
      </c>
      <c r="AK95" s="14">
        <f t="shared" si="89"/>
        <v>5.479064311766531</v>
      </c>
      <c r="AL95" s="22">
        <f t="shared" si="58"/>
        <v>38.2342236763267</v>
      </c>
      <c r="AM95" s="62">
        <f t="shared" si="59"/>
        <v>331.56755700965999</v>
      </c>
      <c r="AN95" s="62">
        <f ca="1">AVERAGE(OFFSET($AM$3,0,0,'Données projet'!$E$10+1,1))-AVERAGE(OFFSET($H$3,0,0,'Données projet'!$E$10+1,1))</f>
        <v>72.817281731857122</v>
      </c>
      <c r="AO95" s="62">
        <f t="shared" si="90"/>
        <v>327.78949950303326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13.855308958019972</v>
      </c>
      <c r="AV95" s="23">
        <f>EXP(-LN(2)/25)*AV94+(1-EXP(-LN(2)/25))/(LN(2)/25)*Calculateur!AQ95*Calculateur!AS95*VLOOKUP('Données projet'!$B$10,Paramètres!$A$1:$I$89,3,0)*0.475*44/12</f>
        <v>1.1686567748135464</v>
      </c>
      <c r="AW95" s="23">
        <f>EXP(-LN(2)/2)*AW94+(1-EXP(-LN(2)/2))/(LN(2)/2)*AQ95*AT95*VLOOKUP('Données projet'!$B$10,Paramètres!$A$1:$I$89,3,0)*0.475*44/12</f>
        <v>3.3280149172947229E-11</v>
      </c>
      <c r="AX95" s="23">
        <f t="shared" si="60"/>
        <v>15.023965732866799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30</v>
      </c>
      <c r="O96" s="14">
        <f>N96*VLOOKUP('Données projet'!$B$9,Paramètres!$A$1:$I$89,3,0)*VLOOKUP('Données projet'!$B$9,Paramètres!$A$1:$I$89,5,0)</f>
        <v>14.5548</v>
      </c>
      <c r="P96" s="14">
        <f t="shared" si="87"/>
        <v>4.9111633609399075</v>
      </c>
      <c r="Q96" s="22">
        <f t="shared" si="54"/>
        <v>33.903219520303679</v>
      </c>
      <c r="R96" s="62">
        <f t="shared" si="55"/>
        <v>327.23655285363702</v>
      </c>
      <c r="S96" s="62">
        <f ca="1">AVERAGE(OFFSET($R$3,0,0,'Données projet'!$E$9+1,1))-AVERAGE(OFFSET($H$3,0,0,'Données projet'!$E$9+1,1))</f>
        <v>65.585138535467195</v>
      </c>
      <c r="T96" s="62">
        <f t="shared" si="88"/>
        <v>292.56159092613944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12.00143239454543</v>
      </c>
      <c r="AA96" s="23">
        <f>EXP(-LN(2)/25)*AA95+(1-EXP(-LN(2)/25))/(LN(2)/25)*Calculateur!V96*Calculateur!X96*VLOOKUP('Données projet'!$B$9,Paramètres!$A$1:$I$89,3,0)*0.475*44/12</f>
        <v>1.0043001019520648</v>
      </c>
      <c r="AB96" s="23">
        <f>EXP(-LN(2)/2)*AB95+(1-EXP(-LN(2)/2))/(LN(2)/2)*V96*Y96*VLOOKUP('Données projet'!$B$9,Paramètres!$A$1:$I$89,3,0)*0.475*44/12</f>
        <v>2.0791603859310374E-11</v>
      </c>
      <c r="AC96" s="24">
        <f t="shared" si="57"/>
        <v>13.005732496518288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30</v>
      </c>
      <c r="AJ96" s="14">
        <f>AI96*VLOOKUP('Données projet'!$B$10,Paramètres!$A$1:$I$89,3,0)*VLOOKUP('Données projet'!$B$10,Paramètres!$A$1:$I$89,5,0)</f>
        <v>16.473599999999998</v>
      </c>
      <c r="AK96" s="14">
        <f t="shared" si="89"/>
        <v>5.479064311766531</v>
      </c>
      <c r="AL96" s="22">
        <f t="shared" si="58"/>
        <v>38.2342236763267</v>
      </c>
      <c r="AM96" s="62">
        <f t="shared" si="59"/>
        <v>331.56755700965999</v>
      </c>
      <c r="AN96" s="62">
        <f ca="1">AVERAGE(OFFSET($AM$3,0,0,'Données projet'!$E$10+1,1))-AVERAGE(OFFSET($H$3,0,0,'Données projet'!$E$10+1,1))</f>
        <v>72.817281731857122</v>
      </c>
      <c r="AO96" s="62">
        <f t="shared" si="90"/>
        <v>327.78949950303326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13.583614800257207</v>
      </c>
      <c r="AV96" s="23">
        <f>EXP(-LN(2)/25)*AV95+(1-EXP(-LN(2)/25))/(LN(2)/25)*Calculateur!AQ96*Calculateur!AS96*VLOOKUP('Données projet'!$B$10,Paramètres!$A$1:$I$89,3,0)*0.475*44/12</f>
        <v>1.1366997938492811</v>
      </c>
      <c r="AW96" s="23">
        <f>EXP(-LN(2)/2)*AW95+(1-EXP(-LN(2)/2))/(LN(2)/2)*AQ96*AT96*VLOOKUP('Données projet'!$B$10,Paramètres!$A$1:$I$89,3,0)*0.475*44/12</f>
        <v>2.3532619159090857E-11</v>
      </c>
      <c r="AX96" s="23">
        <f t="shared" si="60"/>
        <v>14.720314594130022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30</v>
      </c>
      <c r="O97" s="14">
        <f>N97*VLOOKUP('Données projet'!$B$9,Paramètres!$A$1:$I$89,3,0)*VLOOKUP('Données projet'!$B$9,Paramètres!$A$1:$I$89,5,0)</f>
        <v>14.5548</v>
      </c>
      <c r="P97" s="14">
        <f t="shared" si="87"/>
        <v>4.9111633609399075</v>
      </c>
      <c r="Q97" s="22">
        <f t="shared" si="54"/>
        <v>33.903219520303679</v>
      </c>
      <c r="R97" s="62">
        <f t="shared" si="55"/>
        <v>327.23655285363702</v>
      </c>
      <c r="S97" s="62">
        <f ca="1">AVERAGE(OFFSET($R$3,0,0,'Données projet'!$E$9+1,1))-AVERAGE(OFFSET($H$3,0,0,'Données projet'!$E$9+1,1))</f>
        <v>65.585138535467195</v>
      </c>
      <c r="T97" s="62">
        <f t="shared" si="88"/>
        <v>292.56159092613944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11.766091625439349</v>
      </c>
      <c r="AA97" s="23">
        <f>EXP(-LN(2)/25)*AA96+(1-EXP(-LN(2)/25))/(LN(2)/25)*Calculateur!V97*Calculateur!X97*VLOOKUP('Données projet'!$B$9,Paramètres!$A$1:$I$89,3,0)*0.475*44/12</f>
        <v>0.97683746285033857</v>
      </c>
      <c r="AB97" s="23">
        <f>EXP(-LN(2)/2)*AB96+(1-EXP(-LN(2)/2))/(LN(2)/2)*V97*Y97*VLOOKUP('Données projet'!$B$9,Paramètres!$A$1:$I$89,3,0)*0.475*44/12</f>
        <v>1.4701884080662757E-11</v>
      </c>
      <c r="AC97" s="24">
        <f t="shared" si="57"/>
        <v>12.74292908830439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30</v>
      </c>
      <c r="AJ97" s="14">
        <f>AI97*VLOOKUP('Données projet'!$B$10,Paramètres!$A$1:$I$89,3,0)*VLOOKUP('Données projet'!$B$10,Paramètres!$A$1:$I$89,5,0)</f>
        <v>16.473599999999998</v>
      </c>
      <c r="AK97" s="14">
        <f t="shared" si="89"/>
        <v>5.479064311766531</v>
      </c>
      <c r="AL97" s="22">
        <f t="shared" si="58"/>
        <v>38.2342236763267</v>
      </c>
      <c r="AM97" s="62">
        <f t="shared" si="59"/>
        <v>331.56755700965999</v>
      </c>
      <c r="AN97" s="62">
        <f ca="1">AVERAGE(OFFSET($AM$3,0,0,'Données projet'!$E$10+1,1))-AVERAGE(OFFSET($H$3,0,0,'Données projet'!$E$10+1,1))</f>
        <v>72.817281731857122</v>
      </c>
      <c r="AO97" s="62">
        <f t="shared" si="90"/>
        <v>327.78949950303326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13.317248399211097</v>
      </c>
      <c r="AV97" s="23">
        <f>EXP(-LN(2)/25)*AV96+(1-EXP(-LN(2)/25))/(LN(2)/25)*Calculateur!AQ97*Calculateur!AS97*VLOOKUP('Données projet'!$B$10,Paramètres!$A$1:$I$89,3,0)*0.475*44/12</f>
        <v>1.1056166782100283</v>
      </c>
      <c r="AW97" s="23">
        <f>EXP(-LN(2)/2)*AW96+(1-EXP(-LN(2)/2))/(LN(2)/2)*AQ97*AT97*VLOOKUP('Données projet'!$B$10,Paramètres!$A$1:$I$89,3,0)*0.475*44/12</f>
        <v>1.6640074586473614E-11</v>
      </c>
      <c r="AX97" s="23">
        <f t="shared" si="60"/>
        <v>14.422865077437766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30</v>
      </c>
      <c r="O98" s="14">
        <f>N98*VLOOKUP('Données projet'!$B$9,Paramètres!$A$1:$I$89,3,0)*VLOOKUP('Données projet'!$B$9,Paramètres!$A$1:$I$89,5,0)</f>
        <v>14.5548</v>
      </c>
      <c r="P98" s="14">
        <f t="shared" si="87"/>
        <v>4.9111633609399075</v>
      </c>
      <c r="Q98" s="22">
        <f t="shared" si="54"/>
        <v>33.903219520303679</v>
      </c>
      <c r="R98" s="62">
        <f t="shared" si="55"/>
        <v>327.23655285363702</v>
      </c>
      <c r="S98" s="62">
        <f ca="1">AVERAGE(OFFSET($R$3,0,0,'Données projet'!$E$9+1,1))-AVERAGE(OFFSET($H$3,0,0,'Données projet'!$E$9+1,1))</f>
        <v>65.585138535467195</v>
      </c>
      <c r="T98" s="62">
        <f t="shared" si="88"/>
        <v>292.56159092613944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11.535365745271744</v>
      </c>
      <c r="AA98" s="23">
        <f>EXP(-LN(2)/25)*AA97+(1-EXP(-LN(2)/25))/(LN(2)/25)*Calculateur!V98*Calculateur!X98*VLOOKUP('Données projet'!$B$9,Paramètres!$A$1:$I$89,3,0)*0.475*44/12</f>
        <v>0.95012579105904649</v>
      </c>
      <c r="AB98" s="23">
        <f>EXP(-LN(2)/2)*AB97+(1-EXP(-LN(2)/2))/(LN(2)/2)*V98*Y98*VLOOKUP('Données projet'!$B$9,Paramètres!$A$1:$I$89,3,0)*0.475*44/12</f>
        <v>1.0395801929655187E-11</v>
      </c>
      <c r="AC98" s="24">
        <f t="shared" si="57"/>
        <v>12.485491536341184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30</v>
      </c>
      <c r="AJ98" s="14">
        <f>AI98*VLOOKUP('Données projet'!$B$10,Paramètres!$A$1:$I$89,3,0)*VLOOKUP('Données projet'!$B$10,Paramètres!$A$1:$I$89,5,0)</f>
        <v>16.473599999999998</v>
      </c>
      <c r="AK98" s="14">
        <f t="shared" si="89"/>
        <v>5.479064311766531</v>
      </c>
      <c r="AL98" s="22">
        <f t="shared" si="58"/>
        <v>38.2342236763267</v>
      </c>
      <c r="AM98" s="62">
        <f t="shared" si="59"/>
        <v>331.56755700965999</v>
      </c>
      <c r="AN98" s="62">
        <f ca="1">AVERAGE(OFFSET($AM$3,0,0,'Données projet'!$E$10+1,1))-AVERAGE(OFFSET($H$3,0,0,'Données projet'!$E$10+1,1))</f>
        <v>72.817281731857122</v>
      </c>
      <c r="AO98" s="62">
        <f t="shared" si="90"/>
        <v>327.78949950303326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13.05610528082204</v>
      </c>
      <c r="AV98" s="23">
        <f>EXP(-LN(2)/25)*AV97+(1-EXP(-LN(2)/25))/(LN(2)/25)*Calculateur!AQ98*Calculateur!AS98*VLOOKUP('Données projet'!$B$10,Paramètres!$A$1:$I$89,3,0)*0.475*44/12</f>
        <v>1.0753835320025209</v>
      </c>
      <c r="AW98" s="23">
        <f>EXP(-LN(2)/2)*AW97+(1-EXP(-LN(2)/2))/(LN(2)/2)*AQ98*AT98*VLOOKUP('Données projet'!$B$10,Paramètres!$A$1:$I$89,3,0)*0.475*44/12</f>
        <v>1.1766309579545428E-11</v>
      </c>
      <c r="AX98" s="23">
        <f t="shared" si="60"/>
        <v>14.131488812836327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30</v>
      </c>
      <c r="O99" s="14">
        <f>N99*VLOOKUP('Données projet'!$B$9,Paramètres!$A$1:$I$89,3,0)*VLOOKUP('Données projet'!$B$9,Paramètres!$A$1:$I$89,5,0)</f>
        <v>14.5548</v>
      </c>
      <c r="P99" s="14">
        <f t="shared" si="87"/>
        <v>4.9111633609399075</v>
      </c>
      <c r="Q99" s="22">
        <f t="shared" ref="Q99:Q130" si="107">(O99+P99)*0.475*44/12</f>
        <v>33.903219520303679</v>
      </c>
      <c r="R99" s="62">
        <f t="shared" si="55"/>
        <v>327.23655285363702</v>
      </c>
      <c r="S99" s="62">
        <f ca="1">AVERAGE(OFFSET($R$3,0,0,'Données projet'!$E$9+1,1))-AVERAGE(OFFSET($H$3,0,0,'Données projet'!$E$9+1,1))</f>
        <v>65.585138535467195</v>
      </c>
      <c r="T99" s="62">
        <f t="shared" si="88"/>
        <v>292.56159092613944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11.309164258885334</v>
      </c>
      <c r="AA99" s="23">
        <f>EXP(-LN(2)/25)*AA98+(1-EXP(-LN(2)/25))/(LN(2)/25)*Calculateur!V99*Calculateur!X99*VLOOKUP('Données projet'!$B$9,Paramètres!$A$1:$I$89,3,0)*0.475*44/12</f>
        <v>0.9241445513375931</v>
      </c>
      <c r="AB99" s="23">
        <f>EXP(-LN(2)/2)*AB98+(1-EXP(-LN(2)/2))/(LN(2)/2)*V99*Y99*VLOOKUP('Données projet'!$B$9,Paramètres!$A$1:$I$89,3,0)*0.475*44/12</f>
        <v>7.3509420403313784E-12</v>
      </c>
      <c r="AC99" s="24">
        <f t="shared" si="57"/>
        <v>12.233308810230277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30</v>
      </c>
      <c r="AJ99" s="14">
        <f>AI99*VLOOKUP('Données projet'!$B$10,Paramètres!$A$1:$I$89,3,0)*VLOOKUP('Données projet'!$B$10,Paramètres!$A$1:$I$89,5,0)</f>
        <v>16.473599999999998</v>
      </c>
      <c r="AK99" s="14">
        <f t="shared" si="89"/>
        <v>5.479064311766531</v>
      </c>
      <c r="AL99" s="22">
        <f t="shared" si="58"/>
        <v>38.2342236763267</v>
      </c>
      <c r="AM99" s="62">
        <f t="shared" si="59"/>
        <v>331.56755700965999</v>
      </c>
      <c r="AN99" s="62">
        <f ca="1">AVERAGE(OFFSET($AM$3,0,0,'Données projet'!$E$10+1,1))-AVERAGE(OFFSET($H$3,0,0,'Données projet'!$E$10+1,1))</f>
        <v>72.817281731857122</v>
      </c>
      <c r="AO99" s="62">
        <f t="shared" si="90"/>
        <v>327.78949950303326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12.800083019703017</v>
      </c>
      <c r="AV99" s="23">
        <f>EXP(-LN(2)/25)*AV98+(1-EXP(-LN(2)/25))/(LN(2)/25)*Calculateur!AQ99*Calculateur!AS99*VLOOKUP('Données projet'!$B$10,Paramètres!$A$1:$I$89,3,0)*0.475*44/12</f>
        <v>1.0459771127679498</v>
      </c>
      <c r="AW99" s="23">
        <f>EXP(-LN(2)/2)*AW98+(1-EXP(-LN(2)/2))/(LN(2)/2)*AQ99*AT99*VLOOKUP('Données projet'!$B$10,Paramètres!$A$1:$I$89,3,0)*0.475*44/12</f>
        <v>8.3200372932368071E-12</v>
      </c>
      <c r="AX99" s="23">
        <f t="shared" si="60"/>
        <v>13.846060132479288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30</v>
      </c>
      <c r="O100" s="14">
        <f>N100*VLOOKUP('Données projet'!$B$9,Paramètres!$A$1:$I$89,3,0)*VLOOKUP('Données projet'!$B$9,Paramètres!$A$1:$I$89,5,0)</f>
        <v>14.5548</v>
      </c>
      <c r="P100" s="14">
        <f t="shared" si="87"/>
        <v>4.9111633609399075</v>
      </c>
      <c r="Q100" s="22">
        <f t="shared" si="107"/>
        <v>33.903219520303679</v>
      </c>
      <c r="R100" s="62">
        <f t="shared" si="55"/>
        <v>327.23655285363702</v>
      </c>
      <c r="S100" s="62">
        <f ca="1">AVERAGE(OFFSET($R$3,0,0,'Données projet'!$E$9+1,1))-AVERAGE(OFFSET($H$3,0,0,'Données projet'!$E$9+1,1))</f>
        <v>65.585138535467195</v>
      </c>
      <c r="T100" s="62">
        <f t="shared" si="88"/>
        <v>292.56159092613944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11.087398445677678</v>
      </c>
      <c r="AA100" s="23">
        <f>EXP(-LN(2)/25)*AA99+(1-EXP(-LN(2)/25))/(LN(2)/25)*Calculateur!V100*Calculateur!X100*VLOOKUP('Données projet'!$B$9,Paramètres!$A$1:$I$89,3,0)*0.475*44/12</f>
        <v>0.89887376998261681</v>
      </c>
      <c r="AB100" s="23">
        <f>EXP(-LN(2)/2)*AB99+(1-EXP(-LN(2)/2))/(LN(2)/2)*V100*Y100*VLOOKUP('Données projet'!$B$9,Paramètres!$A$1:$I$89,3,0)*0.475*44/12</f>
        <v>5.1979009648275934E-12</v>
      </c>
      <c r="AC100" s="24">
        <f t="shared" si="57"/>
        <v>11.986272215665492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30</v>
      </c>
      <c r="AJ100" s="14">
        <f>AI100*VLOOKUP('Données projet'!$B$10,Paramètres!$A$1:$I$89,3,0)*VLOOKUP('Données projet'!$B$10,Paramètres!$A$1:$I$89,5,0)</f>
        <v>16.473599999999998</v>
      </c>
      <c r="AK100" s="14">
        <f t="shared" si="89"/>
        <v>5.479064311766531</v>
      </c>
      <c r="AL100" s="22">
        <f t="shared" si="58"/>
        <v>38.2342236763267</v>
      </c>
      <c r="AM100" s="62">
        <f t="shared" si="59"/>
        <v>331.56755700965999</v>
      </c>
      <c r="AN100" s="62">
        <f ca="1">AVERAGE(OFFSET($AM$3,0,0,'Données projet'!$E$10+1,1))-AVERAGE(OFFSET($H$3,0,0,'Données projet'!$E$10+1,1))</f>
        <v>72.817281731857122</v>
      </c>
      <c r="AO100" s="62">
        <f t="shared" si="90"/>
        <v>327.78949950303326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12.549081198966379</v>
      </c>
      <c r="AV100" s="23">
        <f>EXP(-LN(2)/25)*AV99+(1-EXP(-LN(2)/25))/(LN(2)/25)*Calculateur!AQ100*Calculateur!AS100*VLOOKUP('Données projet'!$B$10,Paramètres!$A$1:$I$89,3,0)*0.475*44/12</f>
        <v>1.0173748136137644</v>
      </c>
      <c r="AW100" s="23">
        <f>EXP(-LN(2)/2)*AW99+(1-EXP(-LN(2)/2))/(LN(2)/2)*AQ100*AT100*VLOOKUP('Données projet'!$B$10,Paramètres!$A$1:$I$89,3,0)*0.475*44/12</f>
        <v>5.8831547897727142E-12</v>
      </c>
      <c r="AX100" s="23">
        <f t="shared" si="60"/>
        <v>13.566456012586027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30</v>
      </c>
      <c r="O101" s="14">
        <f>N101*VLOOKUP('Données projet'!$B$9,Paramètres!$A$1:$I$89,3,0)*VLOOKUP('Données projet'!$B$9,Paramètres!$A$1:$I$89,5,0)</f>
        <v>14.5548</v>
      </c>
      <c r="P101" s="14">
        <f t="shared" si="87"/>
        <v>4.9111633609399075</v>
      </c>
      <c r="Q101" s="22">
        <f t="shared" si="107"/>
        <v>33.903219520303679</v>
      </c>
      <c r="R101" s="62">
        <f t="shared" si="55"/>
        <v>327.23655285363702</v>
      </c>
      <c r="S101" s="62">
        <f ca="1">AVERAGE(OFFSET($R$3,0,0,'Données projet'!$E$9+1,1))-AVERAGE(OFFSET($H$3,0,0,'Données projet'!$E$9+1,1))</f>
        <v>65.585138535467195</v>
      </c>
      <c r="T101" s="62">
        <f t="shared" si="88"/>
        <v>292.56159092613944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10.869981324803234</v>
      </c>
      <c r="AA101" s="23">
        <f>EXP(-LN(2)/25)*AA100+(1-EXP(-LN(2)/25))/(LN(2)/25)*Calculateur!V101*Calculateur!X101*VLOOKUP('Données projet'!$B$9,Paramètres!$A$1:$I$89,3,0)*0.475*44/12</f>
        <v>0.874294019472725</v>
      </c>
      <c r="AB101" s="23">
        <f>EXP(-LN(2)/2)*AB100+(1-EXP(-LN(2)/2))/(LN(2)/2)*V101*Y101*VLOOKUP('Données projet'!$B$9,Paramètres!$A$1:$I$89,3,0)*0.475*44/12</f>
        <v>3.6754710201656892E-12</v>
      </c>
      <c r="AC101" s="24">
        <f t="shared" si="57"/>
        <v>11.744275344279634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30</v>
      </c>
      <c r="AJ101" s="14">
        <f>AI101*VLOOKUP('Données projet'!$B$10,Paramètres!$A$1:$I$89,3,0)*VLOOKUP('Données projet'!$B$10,Paramètres!$A$1:$I$89,5,0)</f>
        <v>16.473599999999998</v>
      </c>
      <c r="AK101" s="14">
        <f t="shared" si="89"/>
        <v>5.479064311766531</v>
      </c>
      <c r="AL101" s="22">
        <f t="shared" si="58"/>
        <v>38.2342236763267</v>
      </c>
      <c r="AM101" s="62">
        <f t="shared" si="59"/>
        <v>331.56755700965999</v>
      </c>
      <c r="AN101" s="62">
        <f ca="1">AVERAGE(OFFSET($AM$3,0,0,'Données projet'!$E$10+1,1))-AVERAGE(OFFSET($H$3,0,0,'Données projet'!$E$10+1,1))</f>
        <v>72.817281731857122</v>
      </c>
      <c r="AO101" s="62">
        <f t="shared" si="90"/>
        <v>327.78949950303326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12.303001370838391</v>
      </c>
      <c r="AV101" s="23">
        <f>EXP(-LN(2)/25)*AV100+(1-EXP(-LN(2)/25))/(LN(2)/25)*Calculateur!AQ101*Calculateur!AS101*VLOOKUP('Données projet'!$B$10,Paramètres!$A$1:$I$89,3,0)*0.475*44/12</f>
        <v>0.98955464583407982</v>
      </c>
      <c r="AW101" s="23">
        <f>EXP(-LN(2)/2)*AW100+(1-EXP(-LN(2)/2))/(LN(2)/2)*AQ101*AT101*VLOOKUP('Données projet'!$B$10,Paramètres!$A$1:$I$89,3,0)*0.475*44/12</f>
        <v>4.1600186466184036E-12</v>
      </c>
      <c r="AX101" s="23">
        <f t="shared" si="60"/>
        <v>13.292556016676631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30</v>
      </c>
      <c r="O102" s="14">
        <f>N102*VLOOKUP('Données projet'!$B$9,Paramètres!$A$1:$I$89,3,0)*VLOOKUP('Données projet'!$B$9,Paramètres!$A$1:$I$89,5,0)</f>
        <v>14.5548</v>
      </c>
      <c r="P102" s="14">
        <f t="shared" si="87"/>
        <v>4.9111633609399075</v>
      </c>
      <c r="Q102" s="22">
        <f t="shared" si="107"/>
        <v>33.903219520303679</v>
      </c>
      <c r="R102" s="62">
        <f t="shared" si="55"/>
        <v>327.23655285363702</v>
      </c>
      <c r="S102" s="62">
        <f ca="1">AVERAGE(OFFSET($R$3,0,0,'Données projet'!$E$9+1,1))-AVERAGE(OFFSET($H$3,0,0,'Données projet'!$E$9+1,1))</f>
        <v>65.585138535467195</v>
      </c>
      <c r="T102" s="62">
        <f t="shared" si="88"/>
        <v>292.56159092613944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10.65682762105779</v>
      </c>
      <c r="AA102" s="23">
        <f>EXP(-LN(2)/25)*AA101+(1-EXP(-LN(2)/25))/(LN(2)/25)*Calculateur!V102*Calculateur!X102*VLOOKUP('Données projet'!$B$9,Paramètres!$A$1:$I$89,3,0)*0.475*44/12</f>
        <v>0.85038640353311912</v>
      </c>
      <c r="AB102" s="23">
        <f>EXP(-LN(2)/2)*AB101+(1-EXP(-LN(2)/2))/(LN(2)/2)*V102*Y102*VLOOKUP('Données projet'!$B$9,Paramètres!$A$1:$I$89,3,0)*0.475*44/12</f>
        <v>2.5989504824137967E-12</v>
      </c>
      <c r="AC102" s="24">
        <f t="shared" si="57"/>
        <v>11.507214024593507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30</v>
      </c>
      <c r="AJ102" s="14">
        <f>AI102*VLOOKUP('Données projet'!$B$10,Paramètres!$A$1:$I$89,3,0)*VLOOKUP('Données projet'!$B$10,Paramètres!$A$1:$I$89,5,0)</f>
        <v>16.473599999999998</v>
      </c>
      <c r="AK102" s="14">
        <f t="shared" si="89"/>
        <v>5.479064311766531</v>
      </c>
      <c r="AL102" s="22">
        <f t="shared" si="58"/>
        <v>38.2342236763267</v>
      </c>
      <c r="AM102" s="62">
        <f t="shared" si="59"/>
        <v>331.56755700965999</v>
      </c>
      <c r="AN102" s="62">
        <f ca="1">AVERAGE(OFFSET($AM$3,0,0,'Données projet'!$E$10+1,1))-AVERAGE(OFFSET($H$3,0,0,'Données projet'!$E$10+1,1))</f>
        <v>72.817281731857122</v>
      </c>
      <c r="AO102" s="62">
        <f t="shared" si="90"/>
        <v>327.78949950303326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12.06174701804612</v>
      </c>
      <c r="AV102" s="23">
        <f>EXP(-LN(2)/25)*AV101+(1-EXP(-LN(2)/25))/(LN(2)/25)*Calculateur!AQ102*Calculateur!AS102*VLOOKUP('Données projet'!$B$10,Paramètres!$A$1:$I$89,3,0)*0.475*44/12</f>
        <v>0.96249522200532978</v>
      </c>
      <c r="AW102" s="23">
        <f>EXP(-LN(2)/2)*AW101+(1-EXP(-LN(2)/2))/(LN(2)/2)*AQ102*AT102*VLOOKUP('Données projet'!$B$10,Paramètres!$A$1:$I$89,3,0)*0.475*44/12</f>
        <v>2.9415773948863571E-12</v>
      </c>
      <c r="AX102" s="23">
        <f t="shared" si="60"/>
        <v>13.024242240054392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30</v>
      </c>
      <c r="O103" s="14">
        <f>N103*VLOOKUP('Données projet'!$B$9,Paramètres!$A$1:$I$89,3,0)*VLOOKUP('Données projet'!$B$9,Paramètres!$A$1:$I$89,5,0)</f>
        <v>14.5548</v>
      </c>
      <c r="P103" s="14">
        <f t="shared" si="87"/>
        <v>4.9111633609399075</v>
      </c>
      <c r="Q103" s="22">
        <f t="shared" si="107"/>
        <v>33.903219520303679</v>
      </c>
      <c r="R103" s="62">
        <f t="shared" si="55"/>
        <v>327.23655285363702</v>
      </c>
      <c r="S103" s="62">
        <f ca="1">AVERAGE(OFFSET($R$3,0,0,'Données projet'!$E$9+1,1))-AVERAGE(OFFSET($H$3,0,0,'Données projet'!$E$9+1,1))</f>
        <v>65.585138535467195</v>
      </c>
      <c r="T103" s="62">
        <f t="shared" si="88"/>
        <v>292.56159092613944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10.447853731431872</v>
      </c>
      <c r="AA103" s="23">
        <f>EXP(-LN(2)/25)*AA102+(1-EXP(-LN(2)/25))/(LN(2)/25)*Calculateur!V103*Calculateur!X103*VLOOKUP('Données projet'!$B$9,Paramètres!$A$1:$I$89,3,0)*0.475*44/12</f>
        <v>0.82713254260862856</v>
      </c>
      <c r="AB103" s="23">
        <f>EXP(-LN(2)/2)*AB102+(1-EXP(-LN(2)/2))/(LN(2)/2)*V103*Y103*VLOOKUP('Données projet'!$B$9,Paramètres!$A$1:$I$89,3,0)*0.475*44/12</f>
        <v>1.8377355100828446E-12</v>
      </c>
      <c r="AC103" s="24">
        <f t="shared" si="57"/>
        <v>11.274986274042339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30</v>
      </c>
      <c r="AJ103" s="14">
        <f>AI103*VLOOKUP('Données projet'!$B$10,Paramètres!$A$1:$I$89,3,0)*VLOOKUP('Données projet'!$B$10,Paramètres!$A$1:$I$89,5,0)</f>
        <v>16.473599999999998</v>
      </c>
      <c r="AK103" s="14">
        <f t="shared" si="89"/>
        <v>5.479064311766531</v>
      </c>
      <c r="AL103" s="22">
        <f t="shared" si="58"/>
        <v>38.2342236763267</v>
      </c>
      <c r="AM103" s="62">
        <f t="shared" si="59"/>
        <v>331.56755700965999</v>
      </c>
      <c r="AN103" s="62">
        <f ca="1">AVERAGE(OFFSET($AM$3,0,0,'Données projet'!$E$10+1,1))-AVERAGE(OFFSET($H$3,0,0,'Données projet'!$E$10+1,1))</f>
        <v>72.817281731857122</v>
      </c>
      <c r="AO103" s="62">
        <f t="shared" si="90"/>
        <v>327.78949950303326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11.825223515961479</v>
      </c>
      <c r="AV103" s="23">
        <f>EXP(-LN(2)/25)*AV102+(1-EXP(-LN(2)/25))/(LN(2)/25)*Calculateur!AQ103*Calculateur!AS103*VLOOKUP('Données projet'!$B$10,Paramètres!$A$1:$I$89,3,0)*0.475*44/12</f>
        <v>0.9361757395441701</v>
      </c>
      <c r="AW103" s="23">
        <f>EXP(-LN(2)/2)*AW102+(1-EXP(-LN(2)/2))/(LN(2)/2)*AQ103*AT103*VLOOKUP('Données projet'!$B$10,Paramètres!$A$1:$I$89,3,0)*0.475*44/12</f>
        <v>2.0800093233092018E-12</v>
      </c>
      <c r="AX103" s="23">
        <f t="shared" si="60"/>
        <v>12.76139925550773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30</v>
      </c>
      <c r="O104" s="14">
        <f>N104*VLOOKUP('Données projet'!$B$9,Paramètres!$A$1:$I$89,3,0)*VLOOKUP('Données projet'!$B$9,Paramètres!$A$1:$I$89,5,0)</f>
        <v>14.5548</v>
      </c>
      <c r="P104" s="14">
        <f t="shared" si="87"/>
        <v>4.9111633609399075</v>
      </c>
      <c r="Q104" s="22">
        <f t="shared" si="107"/>
        <v>33.903219520303679</v>
      </c>
      <c r="R104" s="62">
        <f t="shared" si="55"/>
        <v>327.23655285363702</v>
      </c>
      <c r="S104" s="62">
        <f ca="1">AVERAGE(OFFSET($R$3,0,0,'Données projet'!$E$9+1,1))-AVERAGE(OFFSET($H$3,0,0,'Données projet'!$E$9+1,1))</f>
        <v>65.585138535467195</v>
      </c>
      <c r="T104" s="62">
        <f t="shared" si="88"/>
        <v>292.56159092613944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10.24297769232003</v>
      </c>
      <c r="AA104" s="23">
        <f>EXP(-LN(2)/25)*AA103+(1-EXP(-LN(2)/25))/(LN(2)/25)*Calculateur!V104*Calculateur!X104*VLOOKUP('Données projet'!$B$9,Paramètres!$A$1:$I$89,3,0)*0.475*44/12</f>
        <v>0.80451455973398567</v>
      </c>
      <c r="AB104" s="23">
        <f>EXP(-LN(2)/2)*AB103+(1-EXP(-LN(2)/2))/(LN(2)/2)*V104*Y104*VLOOKUP('Données projet'!$B$9,Paramètres!$A$1:$I$89,3,0)*0.475*44/12</f>
        <v>1.2994752412068983E-12</v>
      </c>
      <c r="AC104" s="24">
        <f t="shared" si="57"/>
        <v>11.047492252055317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30</v>
      </c>
      <c r="AJ104" s="14">
        <f>AI104*VLOOKUP('Données projet'!$B$10,Paramètres!$A$1:$I$89,3,0)*VLOOKUP('Données projet'!$B$10,Paramètres!$A$1:$I$89,5,0)</f>
        <v>16.473599999999998</v>
      </c>
      <c r="AK104" s="14">
        <f t="shared" si="89"/>
        <v>5.479064311766531</v>
      </c>
      <c r="AL104" s="22">
        <f t="shared" si="58"/>
        <v>38.2342236763267</v>
      </c>
      <c r="AM104" s="62">
        <f t="shared" si="59"/>
        <v>331.56755700965999</v>
      </c>
      <c r="AN104" s="62">
        <f ca="1">AVERAGE(OFFSET($AM$3,0,0,'Données projet'!$E$10+1,1))-AVERAGE(OFFSET($H$3,0,0,'Données projet'!$E$10+1,1))</f>
        <v>72.817281731857122</v>
      </c>
      <c r="AO104" s="62">
        <f t="shared" si="90"/>
        <v>327.78949950303326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11.593338095487628</v>
      </c>
      <c r="AV104" s="23">
        <f>EXP(-LN(2)/25)*AV103+(1-EXP(-LN(2)/25))/(LN(2)/25)*Calculateur!AQ104*Calculateur!AS104*VLOOKUP('Données projet'!$B$10,Paramètres!$A$1:$I$89,3,0)*0.475*44/12</f>
        <v>0.91057596471499225</v>
      </c>
      <c r="AW104" s="23">
        <f>EXP(-LN(2)/2)*AW103+(1-EXP(-LN(2)/2))/(LN(2)/2)*AQ104*AT104*VLOOKUP('Données projet'!$B$10,Paramètres!$A$1:$I$89,3,0)*0.475*44/12</f>
        <v>1.4707886974431786E-12</v>
      </c>
      <c r="AX104" s="23">
        <f t="shared" si="60"/>
        <v>12.503914060204091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30</v>
      </c>
      <c r="O105" s="14">
        <f>N105*VLOOKUP('Données projet'!$B$9,Paramètres!$A$1:$I$89,3,0)*VLOOKUP('Données projet'!$B$9,Paramètres!$A$1:$I$89,5,0)</f>
        <v>14.5548</v>
      </c>
      <c r="P105" s="14">
        <f t="shared" si="87"/>
        <v>4.9111633609399075</v>
      </c>
      <c r="Q105" s="22">
        <f t="shared" si="107"/>
        <v>33.903219520303679</v>
      </c>
      <c r="R105" s="62">
        <f t="shared" si="55"/>
        <v>327.23655285363702</v>
      </c>
      <c r="S105" s="62">
        <f ca="1">AVERAGE(OFFSET($R$3,0,0,'Données projet'!$E$9+1,1))-AVERAGE(OFFSET($H$3,0,0,'Données projet'!$E$9+1,1))</f>
        <v>65.585138535467195</v>
      </c>
      <c r="T105" s="62">
        <f t="shared" si="88"/>
        <v>292.56159092613944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10.042119147373128</v>
      </c>
      <c r="AA105" s="23">
        <f>EXP(-LN(2)/25)*AA104+(1-EXP(-LN(2)/25))/(LN(2)/25)*Calculateur!V105*Calculateur!X105*VLOOKUP('Données projet'!$B$9,Paramètres!$A$1:$I$89,3,0)*0.475*44/12</f>
        <v>0.78251506679047789</v>
      </c>
      <c r="AB105" s="23">
        <f>EXP(-LN(2)/2)*AB104+(1-EXP(-LN(2)/2))/(LN(2)/2)*V105*Y105*VLOOKUP('Données projet'!$B$9,Paramètres!$A$1:$I$89,3,0)*0.475*44/12</f>
        <v>9.188677550414223E-13</v>
      </c>
      <c r="AC105" s="24">
        <f t="shared" si="57"/>
        <v>10.824634214164524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30</v>
      </c>
      <c r="AJ105" s="14">
        <f>AI105*VLOOKUP('Données projet'!$B$10,Paramètres!$A$1:$I$89,3,0)*VLOOKUP('Données projet'!$B$10,Paramètres!$A$1:$I$89,5,0)</f>
        <v>16.473599999999998</v>
      </c>
      <c r="AK105" s="14">
        <f t="shared" si="89"/>
        <v>5.479064311766531</v>
      </c>
      <c r="AL105" s="22">
        <f t="shared" si="58"/>
        <v>38.2342236763267</v>
      </c>
      <c r="AM105" s="62">
        <f t="shared" si="59"/>
        <v>331.56755700965999</v>
      </c>
      <c r="AN105" s="62">
        <f ca="1">AVERAGE(OFFSET($AM$3,0,0,'Données projet'!$E$10+1,1))-AVERAGE(OFFSET($H$3,0,0,'Données projet'!$E$10+1,1))</f>
        <v>72.817281731857122</v>
      </c>
      <c r="AO105" s="62">
        <f t="shared" si="90"/>
        <v>327.78949950303326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11.365999806673127</v>
      </c>
      <c r="AV105" s="23">
        <f>EXP(-LN(2)/25)*AV104+(1-EXP(-LN(2)/25))/(LN(2)/25)*Calculateur!AQ105*Calculateur!AS105*VLOOKUP('Données projet'!$B$10,Paramètres!$A$1:$I$89,3,0)*0.475*44/12</f>
        <v>0.88567621707475197</v>
      </c>
      <c r="AW105" s="23">
        <f>EXP(-LN(2)/2)*AW104+(1-EXP(-LN(2)/2))/(LN(2)/2)*AQ105*AT105*VLOOKUP('Données projet'!$B$10,Paramètres!$A$1:$I$89,3,0)*0.475*44/12</f>
        <v>1.0400046616546009E-12</v>
      </c>
      <c r="AX105" s="23">
        <f t="shared" si="60"/>
        <v>12.251676023748917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30</v>
      </c>
      <c r="O106" s="14">
        <f>N106*VLOOKUP('Données projet'!$B$9,Paramètres!$A$1:$I$89,3,0)*VLOOKUP('Données projet'!$B$9,Paramètres!$A$1:$I$89,5,0)</f>
        <v>14.5548</v>
      </c>
      <c r="P106" s="14">
        <f t="shared" si="87"/>
        <v>4.9111633609399075</v>
      </c>
      <c r="Q106" s="22">
        <f t="shared" si="107"/>
        <v>33.903219520303679</v>
      </c>
      <c r="R106" s="62">
        <f t="shared" si="55"/>
        <v>327.23655285363702</v>
      </c>
      <c r="S106" s="62">
        <f ca="1">AVERAGE(OFFSET($R$3,0,0,'Données projet'!$E$9+1,1))-AVERAGE(OFFSET($H$3,0,0,'Données projet'!$E$9+1,1))</f>
        <v>65.585138535467195</v>
      </c>
      <c r="T106" s="62">
        <f t="shared" si="88"/>
        <v>292.56159092613944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9.8451993159810183</v>
      </c>
      <c r="AA106" s="23">
        <f>EXP(-LN(2)/25)*AA105+(1-EXP(-LN(2)/25))/(LN(2)/25)*Calculateur!V106*Calculateur!X106*VLOOKUP('Données projet'!$B$9,Paramètres!$A$1:$I$89,3,0)*0.475*44/12</f>
        <v>0.76111715113841338</v>
      </c>
      <c r="AB106" s="23">
        <f>EXP(-LN(2)/2)*AB105+(1-EXP(-LN(2)/2))/(LN(2)/2)*V106*Y106*VLOOKUP('Données projet'!$B$9,Paramètres!$A$1:$I$89,3,0)*0.475*44/12</f>
        <v>6.4973762060344917E-13</v>
      </c>
      <c r="AC106" s="24">
        <f t="shared" si="57"/>
        <v>10.606316467120081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30</v>
      </c>
      <c r="AJ106" s="14">
        <f>AI106*VLOOKUP('Données projet'!$B$10,Paramètres!$A$1:$I$89,3,0)*VLOOKUP('Données projet'!$B$10,Paramètres!$A$1:$I$89,5,0)</f>
        <v>16.473599999999998</v>
      </c>
      <c r="AK106" s="14">
        <f t="shared" si="89"/>
        <v>5.479064311766531</v>
      </c>
      <c r="AL106" s="22">
        <f t="shared" si="58"/>
        <v>38.2342236763267</v>
      </c>
      <c r="AM106" s="62">
        <f t="shared" si="59"/>
        <v>331.56755700965999</v>
      </c>
      <c r="AN106" s="62">
        <f ca="1">AVERAGE(OFFSET($AM$3,0,0,'Données projet'!$E$10+1,1))-AVERAGE(OFFSET($H$3,0,0,'Données projet'!$E$10+1,1))</f>
        <v>72.817281731857122</v>
      </c>
      <c r="AO106" s="62">
        <f t="shared" si="90"/>
        <v>327.78949950303326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11.143119483039614</v>
      </c>
      <c r="AV106" s="23">
        <f>EXP(-LN(2)/25)*AV105+(1-EXP(-LN(2)/25))/(LN(2)/25)*Calculateur!AQ106*Calculateur!AS106*VLOOKUP('Données projet'!$B$10,Paramètres!$A$1:$I$89,3,0)*0.475*44/12</f>
        <v>0.86145735434315485</v>
      </c>
      <c r="AW106" s="23">
        <f>EXP(-LN(2)/2)*AW105+(1-EXP(-LN(2)/2))/(LN(2)/2)*AQ106*AT106*VLOOKUP('Données projet'!$B$10,Paramètres!$A$1:$I$89,3,0)*0.475*44/12</f>
        <v>7.3539434872158928E-13</v>
      </c>
      <c r="AX106" s="23">
        <f t="shared" si="60"/>
        <v>12.004576837383505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30</v>
      </c>
      <c r="O107" s="14">
        <f>N107*VLOOKUP('Données projet'!$B$9,Paramètres!$A$1:$I$89,3,0)*VLOOKUP('Données projet'!$B$9,Paramètres!$A$1:$I$89,5,0)</f>
        <v>14.5548</v>
      </c>
      <c r="P107" s="14">
        <f t="shared" si="87"/>
        <v>4.9111633609399075</v>
      </c>
      <c r="Q107" s="22">
        <f t="shared" si="107"/>
        <v>33.903219520303679</v>
      </c>
      <c r="R107" s="62">
        <f t="shared" si="55"/>
        <v>327.23655285363702</v>
      </c>
      <c r="S107" s="62">
        <f ca="1">AVERAGE(OFFSET($R$3,0,0,'Données projet'!$E$9+1,1))-AVERAGE(OFFSET($H$3,0,0,'Données projet'!$E$9+1,1))</f>
        <v>65.585138535467195</v>
      </c>
      <c r="T107" s="62">
        <f t="shared" si="88"/>
        <v>292.56159092613944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9.6521409623732701</v>
      </c>
      <c r="AA107" s="23">
        <f>EXP(-LN(2)/25)*AA106+(1-EXP(-LN(2)/25))/(LN(2)/25)*Calculateur!V107*Calculateur!X107*VLOOKUP('Données projet'!$B$9,Paramètres!$A$1:$I$89,3,0)*0.475*44/12</f>
        <v>0.740304362615122</v>
      </c>
      <c r="AB107" s="23">
        <f>EXP(-LN(2)/2)*AB106+(1-EXP(-LN(2)/2))/(LN(2)/2)*V107*Y107*VLOOKUP('Données projet'!$B$9,Paramètres!$A$1:$I$89,3,0)*0.475*44/12</f>
        <v>4.5943387752071115E-13</v>
      </c>
      <c r="AC107" s="24">
        <f t="shared" si="57"/>
        <v>10.392445324988852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30</v>
      </c>
      <c r="AJ107" s="14">
        <f>AI107*VLOOKUP('Données projet'!$B$10,Paramètres!$A$1:$I$89,3,0)*VLOOKUP('Données projet'!$B$10,Paramètres!$A$1:$I$89,5,0)</f>
        <v>16.473599999999998</v>
      </c>
      <c r="AK107" s="14">
        <f t="shared" si="89"/>
        <v>5.479064311766531</v>
      </c>
      <c r="AL107" s="22">
        <f t="shared" si="58"/>
        <v>38.2342236763267</v>
      </c>
      <c r="AM107" s="62">
        <f t="shared" si="59"/>
        <v>331.56755700965999</v>
      </c>
      <c r="AN107" s="62">
        <f ca="1">AVERAGE(OFFSET($AM$3,0,0,'Données projet'!$E$10+1,1))-AVERAGE(OFFSET($H$3,0,0,'Données projet'!$E$10+1,1))</f>
        <v>72.817281731857122</v>
      </c>
      <c r="AO107" s="62">
        <f t="shared" si="90"/>
        <v>327.78949950303326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10.92460970660898</v>
      </c>
      <c r="AV107" s="23">
        <f>EXP(-LN(2)/25)*AV106+(1-EXP(-LN(2)/25))/(LN(2)/25)*Calculateur!AQ107*Calculateur!AS107*VLOOKUP('Données projet'!$B$10,Paramètres!$A$1:$I$89,3,0)*0.475*44/12</f>
        <v>0.83790075768656791</v>
      </c>
      <c r="AW107" s="23">
        <f>EXP(-LN(2)/2)*AW106+(1-EXP(-LN(2)/2))/(LN(2)/2)*AQ107*AT107*VLOOKUP('Données projet'!$B$10,Paramètres!$A$1:$I$89,3,0)*0.475*44/12</f>
        <v>5.2000233082730045E-13</v>
      </c>
      <c r="AX107" s="23">
        <f t="shared" si="60"/>
        <v>11.762510464296067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30</v>
      </c>
      <c r="O108" s="14">
        <f>N108*VLOOKUP('Données projet'!$B$9,Paramètres!$A$1:$I$89,3,0)*VLOOKUP('Données projet'!$B$9,Paramètres!$A$1:$I$89,5,0)</f>
        <v>14.5548</v>
      </c>
      <c r="P108" s="14">
        <f t="shared" si="87"/>
        <v>4.9111633609399075</v>
      </c>
      <c r="Q108" s="22">
        <f t="shared" si="107"/>
        <v>33.903219520303679</v>
      </c>
      <c r="R108" s="62">
        <f t="shared" si="55"/>
        <v>327.23655285363702</v>
      </c>
      <c r="S108" s="62">
        <f ca="1">AVERAGE(OFFSET($R$3,0,0,'Données projet'!$E$9+1,1))-AVERAGE(OFFSET($H$3,0,0,'Données projet'!$E$9+1,1))</f>
        <v>65.585138535467195</v>
      </c>
      <c r="T108" s="62">
        <f t="shared" si="88"/>
        <v>292.56159092613944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9.4628683653258019</v>
      </c>
      <c r="AA108" s="23">
        <f>EXP(-LN(2)/25)*AA107+(1-EXP(-LN(2)/25))/(LN(2)/25)*Calculateur!V108*Calculateur!X108*VLOOKUP('Données projet'!$B$9,Paramètres!$A$1:$I$89,3,0)*0.475*44/12</f>
        <v>0.72006070088849705</v>
      </c>
      <c r="AB108" s="23">
        <f>EXP(-LN(2)/2)*AB107+(1-EXP(-LN(2)/2))/(LN(2)/2)*V108*Y108*VLOOKUP('Données projet'!$B$9,Paramètres!$A$1:$I$89,3,0)*0.475*44/12</f>
        <v>3.2486881030172459E-13</v>
      </c>
      <c r="AC108" s="24">
        <f t="shared" si="57"/>
        <v>10.182929066214625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30</v>
      </c>
      <c r="AJ108" s="14">
        <f>AI108*VLOOKUP('Données projet'!$B$10,Paramètres!$A$1:$I$89,3,0)*VLOOKUP('Données projet'!$B$10,Paramètres!$A$1:$I$89,5,0)</f>
        <v>16.473599999999998</v>
      </c>
      <c r="AK108" s="14">
        <f t="shared" si="89"/>
        <v>5.479064311766531</v>
      </c>
      <c r="AL108" s="22">
        <f t="shared" si="58"/>
        <v>38.2342236763267</v>
      </c>
      <c r="AM108" s="62">
        <f t="shared" si="59"/>
        <v>331.56755700965999</v>
      </c>
      <c r="AN108" s="62">
        <f ca="1">AVERAGE(OFFSET($AM$3,0,0,'Données projet'!$E$10+1,1))-AVERAGE(OFFSET($H$3,0,0,'Données projet'!$E$10+1,1))</f>
        <v>72.817281731857122</v>
      </c>
      <c r="AO108" s="62">
        <f t="shared" si="90"/>
        <v>327.78949950303326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10.710384773616347</v>
      </c>
      <c r="AV108" s="23">
        <f>EXP(-LN(2)/25)*AV107+(1-EXP(-LN(2)/25))/(LN(2)/25)*Calculateur!AQ108*Calculateur!AS108*VLOOKUP('Données projet'!$B$10,Paramètres!$A$1:$I$89,3,0)*0.475*44/12</f>
        <v>0.81498831740434297</v>
      </c>
      <c r="AW108" s="23">
        <f>EXP(-LN(2)/2)*AW107+(1-EXP(-LN(2)/2))/(LN(2)/2)*AQ108*AT108*VLOOKUP('Données projet'!$B$10,Paramètres!$A$1:$I$89,3,0)*0.475*44/12</f>
        <v>3.6769717436079464E-13</v>
      </c>
      <c r="AX108" s="23">
        <f t="shared" si="60"/>
        <v>11.525373091021057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30</v>
      </c>
      <c r="O109" s="14">
        <f>N109*VLOOKUP('Données projet'!$B$9,Paramètres!$A$1:$I$89,3,0)*VLOOKUP('Données projet'!$B$9,Paramètres!$A$1:$I$89,5,0)</f>
        <v>14.5548</v>
      </c>
      <c r="P109" s="14">
        <f t="shared" si="87"/>
        <v>4.9111633609399075</v>
      </c>
      <c r="Q109" s="22">
        <f t="shared" si="107"/>
        <v>33.903219520303679</v>
      </c>
      <c r="R109" s="62">
        <f t="shared" si="55"/>
        <v>327.23655285363702</v>
      </c>
      <c r="S109" s="62">
        <f ca="1">AVERAGE(OFFSET($R$3,0,0,'Données projet'!$E$9+1,1))-AVERAGE(OFFSET($H$3,0,0,'Données projet'!$E$9+1,1))</f>
        <v>65.585138535467195</v>
      </c>
      <c r="T109" s="62">
        <f t="shared" si="88"/>
        <v>292.56159092613944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9.2773072884615502</v>
      </c>
      <c r="AA109" s="23">
        <f>EXP(-LN(2)/25)*AA108+(1-EXP(-LN(2)/25))/(LN(2)/25)*Calculateur!V109*Calculateur!X109*VLOOKUP('Données projet'!$B$9,Paramètres!$A$1:$I$89,3,0)*0.475*44/12</f>
        <v>0.70037060315635458</v>
      </c>
      <c r="AB109" s="23">
        <f>EXP(-LN(2)/2)*AB108+(1-EXP(-LN(2)/2))/(LN(2)/2)*V109*Y109*VLOOKUP('Données projet'!$B$9,Paramètres!$A$1:$I$89,3,0)*0.475*44/12</f>
        <v>2.2971693876035557E-13</v>
      </c>
      <c r="AC109" s="24">
        <f t="shared" si="57"/>
        <v>9.9776778916181339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30</v>
      </c>
      <c r="AJ109" s="14">
        <f>AI109*VLOOKUP('Données projet'!$B$10,Paramètres!$A$1:$I$89,3,0)*VLOOKUP('Données projet'!$B$10,Paramètres!$A$1:$I$89,5,0)</f>
        <v>16.473599999999998</v>
      </c>
      <c r="AK109" s="14">
        <f t="shared" si="89"/>
        <v>5.479064311766531</v>
      </c>
      <c r="AL109" s="22">
        <f t="shared" si="58"/>
        <v>38.2342236763267</v>
      </c>
      <c r="AM109" s="62">
        <f t="shared" si="59"/>
        <v>331.56755700965999</v>
      </c>
      <c r="AN109" s="62">
        <f ca="1">AVERAGE(OFFSET($AM$3,0,0,'Données projet'!$E$10+1,1))-AVERAGE(OFFSET($H$3,0,0,'Données projet'!$E$10+1,1))</f>
        <v>72.817281731857122</v>
      </c>
      <c r="AO109" s="62">
        <f t="shared" si="90"/>
        <v>327.78949950303326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10.500360660895392</v>
      </c>
      <c r="AV109" s="23">
        <f>EXP(-LN(2)/25)*AV108+(1-EXP(-LN(2)/25))/(LN(2)/25)*Calculateur!AQ109*Calculateur!AS109*VLOOKUP('Données projet'!$B$10,Paramètres!$A$1:$I$89,3,0)*0.475*44/12</f>
        <v>0.79270241900654825</v>
      </c>
      <c r="AW109" s="23">
        <f>EXP(-LN(2)/2)*AW108+(1-EXP(-LN(2)/2))/(LN(2)/2)*AQ109*AT109*VLOOKUP('Données projet'!$B$10,Paramètres!$A$1:$I$89,3,0)*0.475*44/12</f>
        <v>2.6000116541365022E-13</v>
      </c>
      <c r="AX109" s="23">
        <f t="shared" si="60"/>
        <v>11.2930630799022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30</v>
      </c>
      <c r="O110" s="14">
        <f>N110*VLOOKUP('Données projet'!$B$9,Paramètres!$A$1:$I$89,3,0)*VLOOKUP('Données projet'!$B$9,Paramètres!$A$1:$I$89,5,0)</f>
        <v>14.5548</v>
      </c>
      <c r="P110" s="14">
        <f t="shared" si="87"/>
        <v>4.9111633609399075</v>
      </c>
      <c r="Q110" s="22">
        <f t="shared" si="107"/>
        <v>33.903219520303679</v>
      </c>
      <c r="R110" s="62">
        <f t="shared" si="55"/>
        <v>327.23655285363702</v>
      </c>
      <c r="S110" s="62">
        <f ca="1">AVERAGE(OFFSET($R$3,0,0,'Données projet'!$E$9+1,1))-AVERAGE(OFFSET($H$3,0,0,'Données projet'!$E$9+1,1))</f>
        <v>65.585138535467195</v>
      </c>
      <c r="T110" s="62">
        <f t="shared" si="88"/>
        <v>292.56159092613944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9.095384951133525</v>
      </c>
      <c r="AA110" s="23">
        <f>EXP(-LN(2)/25)*AA109+(1-EXP(-LN(2)/25))/(LN(2)/25)*Calculateur!V110*Calculateur!X110*VLOOKUP('Données projet'!$B$9,Paramètres!$A$1:$I$89,3,0)*0.475*44/12</f>
        <v>0.68121893218215479</v>
      </c>
      <c r="AB110" s="23">
        <f>EXP(-LN(2)/2)*AB109+(1-EXP(-LN(2)/2))/(LN(2)/2)*V110*Y110*VLOOKUP('Données projet'!$B$9,Paramètres!$A$1:$I$89,3,0)*0.475*44/12</f>
        <v>1.6243440515086229E-13</v>
      </c>
      <c r="AC110" s="24">
        <f t="shared" si="57"/>
        <v>9.7766038833158415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30</v>
      </c>
      <c r="AJ110" s="14">
        <f>AI110*VLOOKUP('Données projet'!$B$10,Paramètres!$A$1:$I$89,3,0)*VLOOKUP('Données projet'!$B$10,Paramètres!$A$1:$I$89,5,0)</f>
        <v>16.473599999999998</v>
      </c>
      <c r="AK110" s="14">
        <f t="shared" si="89"/>
        <v>5.479064311766531</v>
      </c>
      <c r="AL110" s="22">
        <f t="shared" si="58"/>
        <v>38.2342236763267</v>
      </c>
      <c r="AM110" s="62">
        <f t="shared" si="59"/>
        <v>331.56755700965999</v>
      </c>
      <c r="AN110" s="62">
        <f ca="1">AVERAGE(OFFSET($AM$3,0,0,'Données projet'!$E$10+1,1))-AVERAGE(OFFSET($H$3,0,0,'Données projet'!$E$10+1,1))</f>
        <v>72.817281731857122</v>
      </c>
      <c r="AO110" s="62">
        <f t="shared" si="90"/>
        <v>327.78949950303326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10.294454992922836</v>
      </c>
      <c r="AV110" s="23">
        <f>EXP(-LN(2)/25)*AV109+(1-EXP(-LN(2)/25))/(LN(2)/25)*Calculateur!AQ110*Calculateur!AS110*VLOOKUP('Données projet'!$B$10,Paramètres!$A$1:$I$89,3,0)*0.475*44/12</f>
        <v>0.77102592967240569</v>
      </c>
      <c r="AW110" s="23">
        <f>EXP(-LN(2)/2)*AW109+(1-EXP(-LN(2)/2))/(LN(2)/2)*AQ110*AT110*VLOOKUP('Données projet'!$B$10,Paramètres!$A$1:$I$89,3,0)*0.475*44/12</f>
        <v>1.8384858718039732E-13</v>
      </c>
      <c r="AX110" s="23">
        <f t="shared" si="60"/>
        <v>11.065480922595425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30</v>
      </c>
      <c r="O111" s="14">
        <f>N111*VLOOKUP('Données projet'!$B$9,Paramètres!$A$1:$I$89,3,0)*VLOOKUP('Données projet'!$B$9,Paramètres!$A$1:$I$89,5,0)</f>
        <v>14.5548</v>
      </c>
      <c r="P111" s="14">
        <f t="shared" si="87"/>
        <v>4.9111633609399075</v>
      </c>
      <c r="Q111" s="22">
        <f t="shared" si="107"/>
        <v>33.903219520303679</v>
      </c>
      <c r="R111" s="62">
        <f t="shared" si="55"/>
        <v>327.23655285363702</v>
      </c>
      <c r="S111" s="62">
        <f ca="1">AVERAGE(OFFSET($R$3,0,0,'Données projet'!$E$9+1,1))-AVERAGE(OFFSET($H$3,0,0,'Données projet'!$E$9+1,1))</f>
        <v>65.585138535467195</v>
      </c>
      <c r="T111" s="62">
        <f t="shared" si="88"/>
        <v>292.56159092613944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8.9170299998788334</v>
      </c>
      <c r="AA111" s="23">
        <f>EXP(-LN(2)/25)*AA110+(1-EXP(-LN(2)/25))/(LN(2)/25)*Calculateur!V111*Calculateur!X111*VLOOKUP('Données projet'!$B$9,Paramètres!$A$1:$I$89,3,0)*0.475*44/12</f>
        <v>0.66259096465788703</v>
      </c>
      <c r="AB111" s="23">
        <f>EXP(-LN(2)/2)*AB110+(1-EXP(-LN(2)/2))/(LN(2)/2)*V111*Y111*VLOOKUP('Données projet'!$B$9,Paramètres!$A$1:$I$89,3,0)*0.475*44/12</f>
        <v>1.1485846938017779E-13</v>
      </c>
      <c r="AC111" s="24">
        <f t="shared" si="57"/>
        <v>9.5796209645368364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30</v>
      </c>
      <c r="AJ111" s="14">
        <f>AI111*VLOOKUP('Données projet'!$B$10,Paramètres!$A$1:$I$89,3,0)*VLOOKUP('Données projet'!$B$10,Paramètres!$A$1:$I$89,5,0)</f>
        <v>16.473599999999998</v>
      </c>
      <c r="AK111" s="14">
        <f t="shared" si="89"/>
        <v>5.479064311766531</v>
      </c>
      <c r="AL111" s="22">
        <f t="shared" si="58"/>
        <v>38.2342236763267</v>
      </c>
      <c r="AM111" s="62">
        <f t="shared" si="59"/>
        <v>331.56755700965999</v>
      </c>
      <c r="AN111" s="62">
        <f ca="1">AVERAGE(OFFSET($AM$3,0,0,'Données projet'!$E$10+1,1))-AVERAGE(OFFSET($H$3,0,0,'Données projet'!$E$10+1,1))</f>
        <v>72.817281731857122</v>
      </c>
      <c r="AO111" s="62">
        <f t="shared" si="90"/>
        <v>327.78949950303326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10.092587009509165</v>
      </c>
      <c r="AV111" s="23">
        <f>EXP(-LN(2)/25)*AV110+(1-EXP(-LN(2)/25))/(LN(2)/25)*Calculateur!AQ111*Calculateur!AS111*VLOOKUP('Données projet'!$B$10,Paramètres!$A$1:$I$89,3,0)*0.475*44/12</f>
        <v>0.74994218507902233</v>
      </c>
      <c r="AW111" s="23">
        <f>EXP(-LN(2)/2)*AW110+(1-EXP(-LN(2)/2))/(LN(2)/2)*AQ111*AT111*VLOOKUP('Données projet'!$B$10,Paramètres!$A$1:$I$89,3,0)*0.475*44/12</f>
        <v>1.3000058270682511E-13</v>
      </c>
      <c r="AX111" s="23">
        <f t="shared" si="60"/>
        <v>10.842529194588318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30</v>
      </c>
      <c r="O112" s="14">
        <f>N112*VLOOKUP('Données projet'!$B$9,Paramètres!$A$1:$I$89,3,0)*VLOOKUP('Données projet'!$B$9,Paramètres!$A$1:$I$89,5,0)</f>
        <v>14.5548</v>
      </c>
      <c r="P112" s="14">
        <f t="shared" si="87"/>
        <v>4.9111633609399075</v>
      </c>
      <c r="Q112" s="22">
        <f t="shared" si="107"/>
        <v>33.903219520303679</v>
      </c>
      <c r="R112" s="62">
        <f t="shared" si="55"/>
        <v>327.23655285363702</v>
      </c>
      <c r="S112" s="62">
        <f ca="1">AVERAGE(OFFSET($R$3,0,0,'Données projet'!$E$9+1,1))-AVERAGE(OFFSET($H$3,0,0,'Données projet'!$E$9+1,1))</f>
        <v>65.585138535467195</v>
      </c>
      <c r="T112" s="62">
        <f t="shared" si="88"/>
        <v>292.56159092613944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8.7421724804324672</v>
      </c>
      <c r="AA112" s="23">
        <f>EXP(-LN(2)/25)*AA111+(1-EXP(-LN(2)/25))/(LN(2)/25)*Calculateur!V112*Calculateur!X112*VLOOKUP('Données projet'!$B$9,Paramètres!$A$1:$I$89,3,0)*0.475*44/12</f>
        <v>0.6444723798851727</v>
      </c>
      <c r="AB112" s="23">
        <f>EXP(-LN(2)/2)*AB111+(1-EXP(-LN(2)/2))/(LN(2)/2)*V112*Y112*VLOOKUP('Données projet'!$B$9,Paramètres!$A$1:$I$89,3,0)*0.475*44/12</f>
        <v>8.1217202575431147E-14</v>
      </c>
      <c r="AC112" s="24">
        <f t="shared" si="57"/>
        <v>9.3866448603177215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30</v>
      </c>
      <c r="AJ112" s="14">
        <f>AI112*VLOOKUP('Données projet'!$B$10,Paramètres!$A$1:$I$89,3,0)*VLOOKUP('Données projet'!$B$10,Paramètres!$A$1:$I$89,5,0)</f>
        <v>16.473599999999998</v>
      </c>
      <c r="AK112" s="14">
        <f t="shared" si="89"/>
        <v>5.479064311766531</v>
      </c>
      <c r="AL112" s="22">
        <f t="shared" si="58"/>
        <v>38.2342236763267</v>
      </c>
      <c r="AM112" s="62">
        <f t="shared" si="59"/>
        <v>331.56755700965999</v>
      </c>
      <c r="AN112" s="62">
        <f ca="1">AVERAGE(OFFSET($AM$3,0,0,'Données projet'!$E$10+1,1))-AVERAGE(OFFSET($H$3,0,0,'Données projet'!$E$10+1,1))</f>
        <v>72.817281731857122</v>
      </c>
      <c r="AO112" s="62">
        <f t="shared" si="90"/>
        <v>327.78949950303326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9.8946775341229252</v>
      </c>
      <c r="AV112" s="23">
        <f>EXP(-LN(2)/25)*AV111+(1-EXP(-LN(2)/25))/(LN(2)/25)*Calculateur!AQ112*Calculateur!AS112*VLOOKUP('Données projet'!$B$10,Paramètres!$A$1:$I$89,3,0)*0.475*44/12</f>
        <v>0.729434976590291</v>
      </c>
      <c r="AW112" s="23">
        <f>EXP(-LN(2)/2)*AW111+(1-EXP(-LN(2)/2))/(LN(2)/2)*AQ112*AT112*VLOOKUP('Données projet'!$B$10,Paramètres!$A$1:$I$89,3,0)*0.475*44/12</f>
        <v>9.192429359019866E-14</v>
      </c>
      <c r="AX112" s="23">
        <f t="shared" si="60"/>
        <v>10.624112510713308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30</v>
      </c>
      <c r="O113" s="14">
        <f>N113*VLOOKUP('Données projet'!$B$9,Paramètres!$A$1:$I$89,3,0)*VLOOKUP('Données projet'!$B$9,Paramètres!$A$1:$I$89,5,0)</f>
        <v>14.5548</v>
      </c>
      <c r="P113" s="14">
        <f t="shared" si="87"/>
        <v>4.9111633609399075</v>
      </c>
      <c r="Q113" s="22">
        <f t="shared" si="107"/>
        <v>33.903219520303679</v>
      </c>
      <c r="R113" s="62">
        <f t="shared" si="55"/>
        <v>327.23655285363702</v>
      </c>
      <c r="S113" s="62">
        <f ca="1">AVERAGE(OFFSET($R$3,0,0,'Données projet'!$E$9+1,1))-AVERAGE(OFFSET($H$3,0,0,'Données projet'!$E$9+1,1))</f>
        <v>65.585138535467195</v>
      </c>
      <c r="T113" s="62">
        <f t="shared" si="88"/>
        <v>292.56159092613944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8.5707438102898887</v>
      </c>
      <c r="AA113" s="23">
        <f>EXP(-LN(2)/25)*AA112+(1-EXP(-LN(2)/25))/(LN(2)/25)*Calculateur!V113*Calculateur!X113*VLOOKUP('Données projet'!$B$9,Paramètres!$A$1:$I$89,3,0)*0.475*44/12</f>
        <v>0.6268492487658831</v>
      </c>
      <c r="AB113" s="23">
        <f>EXP(-LN(2)/2)*AB112+(1-EXP(-LN(2)/2))/(LN(2)/2)*V113*Y113*VLOOKUP('Données projet'!$B$9,Paramètres!$A$1:$I$89,3,0)*0.475*44/12</f>
        <v>5.7429234690088894E-14</v>
      </c>
      <c r="AC113" s="24">
        <f t="shared" si="57"/>
        <v>9.1975930590558281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30</v>
      </c>
      <c r="AJ113" s="14">
        <f>AI113*VLOOKUP('Données projet'!$B$10,Paramètres!$A$1:$I$89,3,0)*VLOOKUP('Données projet'!$B$10,Paramètres!$A$1:$I$89,5,0)</f>
        <v>16.473599999999998</v>
      </c>
      <c r="AK113" s="14">
        <f t="shared" si="89"/>
        <v>5.479064311766531</v>
      </c>
      <c r="AL113" s="22">
        <f t="shared" si="58"/>
        <v>38.2342236763267</v>
      </c>
      <c r="AM113" s="62">
        <f t="shared" si="59"/>
        <v>331.56755700965999</v>
      </c>
      <c r="AN113" s="62">
        <f ca="1">AVERAGE(OFFSET($AM$3,0,0,'Données projet'!$E$10+1,1))-AVERAGE(OFFSET($H$3,0,0,'Données projet'!$E$10+1,1))</f>
        <v>72.817281731857122</v>
      </c>
      <c r="AO113" s="62">
        <f t="shared" si="90"/>
        <v>327.78949950303326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9.700648942836148</v>
      </c>
      <c r="AV113" s="23">
        <f>EXP(-LN(2)/25)*AV112+(1-EXP(-LN(2)/25))/(LN(2)/25)*Calculateur!AQ113*Calculateur!AS113*VLOOKUP('Données projet'!$B$10,Paramètres!$A$1:$I$89,3,0)*0.475*44/12</f>
        <v>0.70948853879611118</v>
      </c>
      <c r="AW113" s="23">
        <f>EXP(-LN(2)/2)*AW112+(1-EXP(-LN(2)/2))/(LN(2)/2)*AQ113*AT113*VLOOKUP('Données projet'!$B$10,Paramètres!$A$1:$I$89,3,0)*0.475*44/12</f>
        <v>6.5000291353412556E-14</v>
      </c>
      <c r="AX113" s="23">
        <f t="shared" si="60"/>
        <v>10.410137481632324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30</v>
      </c>
      <c r="O114" s="14">
        <f>N114*VLOOKUP('Données projet'!$B$9,Paramètres!$A$1:$I$89,3,0)*VLOOKUP('Données projet'!$B$9,Paramètres!$A$1:$I$89,5,0)</f>
        <v>14.5548</v>
      </c>
      <c r="P114" s="14">
        <f t="shared" si="87"/>
        <v>4.9111633609399075</v>
      </c>
      <c r="Q114" s="22">
        <f t="shared" si="107"/>
        <v>33.903219520303679</v>
      </c>
      <c r="R114" s="62">
        <f t="shared" si="55"/>
        <v>327.23655285363702</v>
      </c>
      <c r="S114" s="62">
        <f ca="1">AVERAGE(OFFSET($R$3,0,0,'Données projet'!$E$9+1,1))-AVERAGE(OFFSET($H$3,0,0,'Données projet'!$E$9+1,1))</f>
        <v>65.585138535467195</v>
      </c>
      <c r="T114" s="62">
        <f t="shared" si="88"/>
        <v>292.56159092613944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8.4026767518076415</v>
      </c>
      <c r="AA114" s="23">
        <f>EXP(-LN(2)/25)*AA113+(1-EXP(-LN(2)/25))/(LN(2)/25)*Calculateur!V114*Calculateur!X114*VLOOKUP('Données projet'!$B$9,Paramètres!$A$1:$I$89,3,0)*0.475*44/12</f>
        <v>0.60970802309381067</v>
      </c>
      <c r="AB114" s="23">
        <f>EXP(-LN(2)/2)*AB113+(1-EXP(-LN(2)/2))/(LN(2)/2)*V114*Y114*VLOOKUP('Données projet'!$B$9,Paramètres!$A$1:$I$89,3,0)*0.475*44/12</f>
        <v>4.0608601287715573E-14</v>
      </c>
      <c r="AC114" s="24">
        <f t="shared" si="57"/>
        <v>9.0123847749014931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30</v>
      </c>
      <c r="AJ114" s="14">
        <f>AI114*VLOOKUP('Données projet'!$B$10,Paramètres!$A$1:$I$89,3,0)*VLOOKUP('Données projet'!$B$10,Paramètres!$A$1:$I$89,5,0)</f>
        <v>16.473599999999998</v>
      </c>
      <c r="AK114" s="14">
        <f t="shared" si="89"/>
        <v>5.479064311766531</v>
      </c>
      <c r="AL114" s="22">
        <f t="shared" si="58"/>
        <v>38.2342236763267</v>
      </c>
      <c r="AM114" s="62">
        <f t="shared" si="59"/>
        <v>331.56755700965999</v>
      </c>
      <c r="AN114" s="62">
        <f ca="1">AVERAGE(OFFSET($AM$3,0,0,'Données projet'!$E$10+1,1))-AVERAGE(OFFSET($H$3,0,0,'Données projet'!$E$10+1,1))</f>
        <v>72.817281731857122</v>
      </c>
      <c r="AO114" s="62">
        <f t="shared" si="90"/>
        <v>327.78949950303326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9.5104251338787495</v>
      </c>
      <c r="AV114" s="23">
        <f>EXP(-LN(2)/25)*AV113+(1-EXP(-LN(2)/25))/(LN(2)/25)*Calculateur!AQ114*Calculateur!AS114*VLOOKUP('Données projet'!$B$10,Paramètres!$A$1:$I$89,3,0)*0.475*44/12</f>
        <v>0.69008753739235085</v>
      </c>
      <c r="AW114" s="23">
        <f>EXP(-LN(2)/2)*AW113+(1-EXP(-LN(2)/2))/(LN(2)/2)*AQ114*AT114*VLOOKUP('Données projet'!$B$10,Paramètres!$A$1:$I$89,3,0)*0.475*44/12</f>
        <v>4.596214679509933E-14</v>
      </c>
      <c r="AX114" s="23">
        <f t="shared" si="60"/>
        <v>10.200512671271147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30</v>
      </c>
      <c r="O115" s="14">
        <f>N115*VLOOKUP('Données projet'!$B$9,Paramètres!$A$1:$I$89,3,0)*VLOOKUP('Données projet'!$B$9,Paramètres!$A$1:$I$89,5,0)</f>
        <v>14.5548</v>
      </c>
      <c r="P115" s="14">
        <f t="shared" si="87"/>
        <v>4.9111633609399075</v>
      </c>
      <c r="Q115" s="22">
        <f t="shared" si="107"/>
        <v>33.903219520303679</v>
      </c>
      <c r="R115" s="62">
        <f t="shared" si="55"/>
        <v>327.23655285363702</v>
      </c>
      <c r="S115" s="62">
        <f ca="1">AVERAGE(OFFSET($R$3,0,0,'Données projet'!$E$9+1,1))-AVERAGE(OFFSET($H$3,0,0,'Données projet'!$E$9+1,1))</f>
        <v>65.585138535467195</v>
      </c>
      <c r="T115" s="62">
        <f t="shared" si="88"/>
        <v>292.56159092613944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8.2379053858314482</v>
      </c>
      <c r="AA115" s="23">
        <f>EXP(-LN(2)/25)*AA114+(1-EXP(-LN(2)/25))/(LN(2)/25)*Calculateur!V115*Calculateur!X115*VLOOKUP('Données projet'!$B$9,Paramètres!$A$1:$I$89,3,0)*0.475*44/12</f>
        <v>0.59303552513915903</v>
      </c>
      <c r="AB115" s="23">
        <f>EXP(-LN(2)/2)*AB114+(1-EXP(-LN(2)/2))/(LN(2)/2)*V115*Y115*VLOOKUP('Données projet'!$B$9,Paramètres!$A$1:$I$89,3,0)*0.475*44/12</f>
        <v>2.8714617345044447E-14</v>
      </c>
      <c r="AC115" s="24">
        <f t="shared" si="57"/>
        <v>8.8309409109706358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30</v>
      </c>
      <c r="AJ115" s="14">
        <f>AI115*VLOOKUP('Données projet'!$B$10,Paramètres!$A$1:$I$89,3,0)*VLOOKUP('Données projet'!$B$10,Paramètres!$A$1:$I$89,5,0)</f>
        <v>16.473599999999998</v>
      </c>
      <c r="AK115" s="14">
        <f t="shared" si="89"/>
        <v>5.479064311766531</v>
      </c>
      <c r="AL115" s="22">
        <f t="shared" si="58"/>
        <v>38.2342236763267</v>
      </c>
      <c r="AM115" s="62">
        <f t="shared" si="59"/>
        <v>331.56755700965999</v>
      </c>
      <c r="AN115" s="62">
        <f ca="1">AVERAGE(OFFSET($AM$3,0,0,'Données projet'!$E$10+1,1))-AVERAGE(OFFSET($H$3,0,0,'Données projet'!$E$10+1,1))</f>
        <v>72.817281731857122</v>
      </c>
      <c r="AO115" s="62">
        <f t="shared" si="90"/>
        <v>327.78949950303326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9.323931497789939</v>
      </c>
      <c r="AV115" s="23">
        <f>EXP(-LN(2)/25)*AV114+(1-EXP(-LN(2)/25))/(LN(2)/25)*Calculateur!AQ115*Calculateur!AS115*VLOOKUP('Données projet'!$B$10,Paramètres!$A$1:$I$89,3,0)*0.475*44/12</f>
        <v>0.67121705739223059</v>
      </c>
      <c r="AW115" s="23">
        <f>EXP(-LN(2)/2)*AW114+(1-EXP(-LN(2)/2))/(LN(2)/2)*AQ115*AT115*VLOOKUP('Données projet'!$B$10,Paramètres!$A$1:$I$89,3,0)*0.475*44/12</f>
        <v>3.2500145676706278E-14</v>
      </c>
      <c r="AX115" s="23">
        <f t="shared" si="60"/>
        <v>9.995148555182201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30</v>
      </c>
      <c r="O116" s="14">
        <f>N116*VLOOKUP('Données projet'!$B$9,Paramètres!$A$1:$I$89,3,0)*VLOOKUP('Données projet'!$B$9,Paramètres!$A$1:$I$89,5,0)</f>
        <v>14.5548</v>
      </c>
      <c r="P116" s="14">
        <f t="shared" si="87"/>
        <v>4.9111633609399075</v>
      </c>
      <c r="Q116" s="22">
        <f t="shared" si="107"/>
        <v>33.903219520303679</v>
      </c>
      <c r="R116" s="62">
        <f t="shared" si="55"/>
        <v>327.23655285363702</v>
      </c>
      <c r="S116" s="62">
        <f ca="1">AVERAGE(OFFSET($R$3,0,0,'Données projet'!$E$9+1,1))-AVERAGE(OFFSET($H$3,0,0,'Données projet'!$E$9+1,1))</f>
        <v>65.585138535467195</v>
      </c>
      <c r="T116" s="62">
        <f t="shared" si="88"/>
        <v>292.56159092613944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8.076365085841438</v>
      </c>
      <c r="AA116" s="23">
        <f>EXP(-LN(2)/25)*AA115+(1-EXP(-LN(2)/25))/(LN(2)/25)*Calculateur!V116*Calculateur!X116*VLOOKUP('Données projet'!$B$9,Paramètres!$A$1:$I$89,3,0)*0.475*44/12</f>
        <v>0.57681893751784585</v>
      </c>
      <c r="AB116" s="23">
        <f>EXP(-LN(2)/2)*AB115+(1-EXP(-LN(2)/2))/(LN(2)/2)*V116*Y116*VLOOKUP('Données projet'!$B$9,Paramètres!$A$1:$I$89,3,0)*0.475*44/12</f>
        <v>2.0304300643857787E-14</v>
      </c>
      <c r="AC116" s="24">
        <f t="shared" si="57"/>
        <v>8.6531840233593034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30</v>
      </c>
      <c r="AJ116" s="14">
        <f>AI116*VLOOKUP('Données projet'!$B$10,Paramètres!$A$1:$I$89,3,0)*VLOOKUP('Données projet'!$B$10,Paramètres!$A$1:$I$89,5,0)</f>
        <v>16.473599999999998</v>
      </c>
      <c r="AK116" s="14">
        <f t="shared" si="89"/>
        <v>5.479064311766531</v>
      </c>
      <c r="AL116" s="22">
        <f t="shared" si="58"/>
        <v>38.2342236763267</v>
      </c>
      <c r="AM116" s="62">
        <f t="shared" si="59"/>
        <v>331.56755700965999</v>
      </c>
      <c r="AN116" s="62">
        <f ca="1">AVERAGE(OFFSET($AM$3,0,0,'Données projet'!$E$10+1,1))-AVERAGE(OFFSET($H$3,0,0,'Données projet'!$E$10+1,1))</f>
        <v>72.817281731857122</v>
      </c>
      <c r="AO116" s="62">
        <f t="shared" si="90"/>
        <v>327.78949950303326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9.1410948881549441</v>
      </c>
      <c r="AV116" s="23">
        <f>EXP(-LN(2)/25)*AV115+(1-EXP(-LN(2)/25))/(LN(2)/25)*Calculateur!AQ116*Calculateur!AS116*VLOOKUP('Données projet'!$B$10,Paramètres!$A$1:$I$89,3,0)*0.475*44/12</f>
        <v>0.6528625916600691</v>
      </c>
      <c r="AW116" s="23">
        <f>EXP(-LN(2)/2)*AW115+(1-EXP(-LN(2)/2))/(LN(2)/2)*AQ116*AT116*VLOOKUP('Données projet'!$B$10,Paramètres!$A$1:$I$89,3,0)*0.475*44/12</f>
        <v>2.2981073397549665E-14</v>
      </c>
      <c r="AX116" s="23">
        <f t="shared" si="60"/>
        <v>9.7939574798150364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30</v>
      </c>
      <c r="O117" s="14">
        <f>N117*VLOOKUP('Données projet'!$B$9,Paramètres!$A$1:$I$89,3,0)*VLOOKUP('Données projet'!$B$9,Paramètres!$A$1:$I$89,5,0)</f>
        <v>14.5548</v>
      </c>
      <c r="P117" s="14">
        <f t="shared" si="87"/>
        <v>4.9111633609399075</v>
      </c>
      <c r="Q117" s="22">
        <f t="shared" si="107"/>
        <v>33.903219520303679</v>
      </c>
      <c r="R117" s="62">
        <f t="shared" si="55"/>
        <v>327.23655285363702</v>
      </c>
      <c r="S117" s="62">
        <f ca="1">AVERAGE(OFFSET($R$3,0,0,'Données projet'!$E$9+1,1))-AVERAGE(OFFSET($H$3,0,0,'Données projet'!$E$9+1,1))</f>
        <v>65.585138535467195</v>
      </c>
      <c r="T117" s="62">
        <f t="shared" si="88"/>
        <v>292.56159092613944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7.9179924926043785</v>
      </c>
      <c r="AA117" s="23">
        <f>EXP(-LN(2)/25)*AA116+(1-EXP(-LN(2)/25))/(LN(2)/25)*Calculateur!V117*Calculateur!X117*VLOOKUP('Données projet'!$B$9,Paramètres!$A$1:$I$89,3,0)*0.475*44/12</f>
        <v>0.56104579333783078</v>
      </c>
      <c r="AB117" s="23">
        <f>EXP(-LN(2)/2)*AB116+(1-EXP(-LN(2)/2))/(LN(2)/2)*V117*Y117*VLOOKUP('Données projet'!$B$9,Paramètres!$A$1:$I$89,3,0)*0.475*44/12</f>
        <v>1.4357308672522223E-14</v>
      </c>
      <c r="AC117" s="24">
        <f t="shared" si="57"/>
        <v>8.4790382859422238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30</v>
      </c>
      <c r="AJ117" s="14">
        <f>AI117*VLOOKUP('Données projet'!$B$10,Paramètres!$A$1:$I$89,3,0)*VLOOKUP('Données projet'!$B$10,Paramètres!$A$1:$I$89,5,0)</f>
        <v>16.473599999999998</v>
      </c>
      <c r="AK117" s="14">
        <f t="shared" si="89"/>
        <v>5.479064311766531</v>
      </c>
      <c r="AL117" s="22">
        <f t="shared" si="58"/>
        <v>38.2342236763267</v>
      </c>
      <c r="AM117" s="62">
        <f t="shared" si="59"/>
        <v>331.56755700965999</v>
      </c>
      <c r="AN117" s="62">
        <f ca="1">AVERAGE(OFFSET($AM$3,0,0,'Données projet'!$E$10+1,1))-AVERAGE(OFFSET($H$3,0,0,'Données projet'!$E$10+1,1))</f>
        <v>72.817281731857122</v>
      </c>
      <c r="AO117" s="62">
        <f t="shared" si="90"/>
        <v>327.78949950303326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8.9618435929155709</v>
      </c>
      <c r="AV117" s="23">
        <f>EXP(-LN(2)/25)*AV116+(1-EXP(-LN(2)/25))/(LN(2)/25)*Calculateur!AQ117*Calculateur!AS117*VLOOKUP('Données projet'!$B$10,Paramètres!$A$1:$I$89,3,0)*0.475*44/12</f>
        <v>0.6350100297585729</v>
      </c>
      <c r="AW117" s="23">
        <f>EXP(-LN(2)/2)*AW116+(1-EXP(-LN(2)/2))/(LN(2)/2)*AQ117*AT117*VLOOKUP('Données projet'!$B$10,Paramètres!$A$1:$I$89,3,0)*0.475*44/12</f>
        <v>1.6250072838353139E-14</v>
      </c>
      <c r="AX117" s="23">
        <f t="shared" si="60"/>
        <v>9.5968536226741605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30</v>
      </c>
      <c r="O118" s="14">
        <f>N118*VLOOKUP('Données projet'!$B$9,Paramètres!$A$1:$I$89,3,0)*VLOOKUP('Données projet'!$B$9,Paramètres!$A$1:$I$89,5,0)</f>
        <v>14.5548</v>
      </c>
      <c r="P118" s="14">
        <f t="shared" si="87"/>
        <v>4.9111633609399075</v>
      </c>
      <c r="Q118" s="22">
        <f t="shared" si="107"/>
        <v>33.903219520303679</v>
      </c>
      <c r="R118" s="62">
        <f t="shared" si="55"/>
        <v>327.23655285363702</v>
      </c>
      <c r="S118" s="62">
        <f ca="1">AVERAGE(OFFSET($R$3,0,0,'Données projet'!$E$9+1,1))-AVERAGE(OFFSET($H$3,0,0,'Données projet'!$E$9+1,1))</f>
        <v>65.585138535467195</v>
      </c>
      <c r="T118" s="62">
        <f t="shared" si="88"/>
        <v>292.56159092613944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7.7627254893229534</v>
      </c>
      <c r="AA118" s="23">
        <f>EXP(-LN(2)/25)*AA117+(1-EXP(-LN(2)/25))/(LN(2)/25)*Calculateur!V118*Calculateur!X118*VLOOKUP('Données projet'!$B$9,Paramètres!$A$1:$I$89,3,0)*0.475*44/12</f>
        <v>0.54570396661489184</v>
      </c>
      <c r="AB118" s="23">
        <f>EXP(-LN(2)/2)*AB117+(1-EXP(-LN(2)/2))/(LN(2)/2)*V118*Y118*VLOOKUP('Données projet'!$B$9,Paramètres!$A$1:$I$89,3,0)*0.475*44/12</f>
        <v>1.0152150321928893E-14</v>
      </c>
      <c r="AC118" s="24">
        <f t="shared" si="57"/>
        <v>8.3084294559378566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30</v>
      </c>
      <c r="AJ118" s="14">
        <f>AI118*VLOOKUP('Données projet'!$B$10,Paramètres!$A$1:$I$89,3,0)*VLOOKUP('Données projet'!$B$10,Paramètres!$A$1:$I$89,5,0)</f>
        <v>16.473599999999998</v>
      </c>
      <c r="AK118" s="14">
        <f t="shared" si="89"/>
        <v>5.479064311766531</v>
      </c>
      <c r="AL118" s="22">
        <f t="shared" si="58"/>
        <v>38.2342236763267</v>
      </c>
      <c r="AM118" s="62">
        <f t="shared" si="59"/>
        <v>331.56755700965999</v>
      </c>
      <c r="AN118" s="62">
        <f ca="1">AVERAGE(OFFSET($AM$3,0,0,'Données projet'!$E$10+1,1))-AVERAGE(OFFSET($H$3,0,0,'Données projet'!$E$10+1,1))</f>
        <v>72.817281731857122</v>
      </c>
      <c r="AO118" s="62">
        <f t="shared" si="90"/>
        <v>327.78949950303326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8.7861073062433466</v>
      </c>
      <c r="AV118" s="23">
        <f>EXP(-LN(2)/25)*AV117+(1-EXP(-LN(2)/25))/(LN(2)/25)*Calculateur!AQ118*Calculateur!AS118*VLOOKUP('Données projet'!$B$10,Paramètres!$A$1:$I$89,3,0)*0.475*44/12</f>
        <v>0.61764564710109859</v>
      </c>
      <c r="AW118" s="23">
        <f>EXP(-LN(2)/2)*AW117+(1-EXP(-LN(2)/2))/(LN(2)/2)*AQ118*AT118*VLOOKUP('Données projet'!$B$10,Paramètres!$A$1:$I$89,3,0)*0.475*44/12</f>
        <v>1.1490536698774833E-14</v>
      </c>
      <c r="AX118" s="23">
        <f t="shared" si="60"/>
        <v>9.4037529533444566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30</v>
      </c>
      <c r="O119" s="14">
        <f>N119*VLOOKUP('Données projet'!$B$9,Paramètres!$A$1:$I$89,3,0)*VLOOKUP('Données projet'!$B$9,Paramètres!$A$1:$I$89,5,0)</f>
        <v>14.5548</v>
      </c>
      <c r="P119" s="14">
        <f t="shared" si="87"/>
        <v>4.9111633609399075</v>
      </c>
      <c r="Q119" s="22">
        <f t="shared" si="107"/>
        <v>33.903219520303679</v>
      </c>
      <c r="R119" s="62">
        <f t="shared" si="55"/>
        <v>327.23655285363702</v>
      </c>
      <c r="S119" s="62">
        <f ca="1">AVERAGE(OFFSET($R$3,0,0,'Données projet'!$E$9+1,1))-AVERAGE(OFFSET($H$3,0,0,'Données projet'!$E$9+1,1))</f>
        <v>65.585138535467195</v>
      </c>
      <c r="T119" s="62">
        <f t="shared" si="88"/>
        <v>292.56159092613944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7.6105031772723564</v>
      </c>
      <c r="AA119" s="23">
        <f>EXP(-LN(2)/25)*AA118+(1-EXP(-LN(2)/25))/(LN(2)/25)*Calculateur!V119*Calculateur!X119*VLOOKUP('Données projet'!$B$9,Paramètres!$A$1:$I$89,3,0)*0.475*44/12</f>
        <v>0.53078166295048324</v>
      </c>
      <c r="AB119" s="23">
        <f>EXP(-LN(2)/2)*AB118+(1-EXP(-LN(2)/2))/(LN(2)/2)*V119*Y119*VLOOKUP('Données projet'!$B$9,Paramètres!$A$1:$I$89,3,0)*0.475*44/12</f>
        <v>7.1786543362611117E-15</v>
      </c>
      <c r="AC119" s="24">
        <f t="shared" si="57"/>
        <v>8.1412848402228466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30</v>
      </c>
      <c r="AJ119" s="14">
        <f>AI119*VLOOKUP('Données projet'!$B$10,Paramètres!$A$1:$I$89,3,0)*VLOOKUP('Données projet'!$B$10,Paramètres!$A$1:$I$89,5,0)</f>
        <v>16.473599999999998</v>
      </c>
      <c r="AK119" s="14">
        <f t="shared" si="89"/>
        <v>5.479064311766531</v>
      </c>
      <c r="AL119" s="22">
        <f t="shared" si="58"/>
        <v>38.2342236763267</v>
      </c>
      <c r="AM119" s="62">
        <f t="shared" si="59"/>
        <v>331.56755700965999</v>
      </c>
      <c r="AN119" s="62">
        <f ca="1">AVERAGE(OFFSET($AM$3,0,0,'Données projet'!$E$10+1,1))-AVERAGE(OFFSET($H$3,0,0,'Données projet'!$E$10+1,1))</f>
        <v>72.817281731857122</v>
      </c>
      <c r="AO119" s="62">
        <f t="shared" si="90"/>
        <v>327.78949950303326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8.6138171009642139</v>
      </c>
      <c r="AV119" s="23">
        <f>EXP(-LN(2)/25)*AV118+(1-EXP(-LN(2)/25))/(LN(2)/25)*Calculateur!AQ119*Calculateur!AS119*VLOOKUP('Données projet'!$B$10,Paramètres!$A$1:$I$89,3,0)*0.475*44/12</f>
        <v>0.60075609440054611</v>
      </c>
      <c r="AW119" s="23">
        <f>EXP(-LN(2)/2)*AW118+(1-EXP(-LN(2)/2))/(LN(2)/2)*AQ119*AT119*VLOOKUP('Données projet'!$B$10,Paramètres!$A$1:$I$89,3,0)*0.475*44/12</f>
        <v>8.1250364191765695E-15</v>
      </c>
      <c r="AX119" s="23">
        <f t="shared" si="60"/>
        <v>9.2145731953647694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30</v>
      </c>
      <c r="O120" s="14">
        <f>N120*VLOOKUP('Données projet'!$B$9,Paramètres!$A$1:$I$89,3,0)*VLOOKUP('Données projet'!$B$9,Paramètres!$A$1:$I$89,5,0)</f>
        <v>14.5548</v>
      </c>
      <c r="P120" s="14">
        <f t="shared" si="87"/>
        <v>4.9111633609399075</v>
      </c>
      <c r="Q120" s="22">
        <f t="shared" si="107"/>
        <v>33.903219520303679</v>
      </c>
      <c r="R120" s="62">
        <f t="shared" si="55"/>
        <v>327.23655285363702</v>
      </c>
      <c r="S120" s="62">
        <f ca="1">AVERAGE(OFFSET($R$3,0,0,'Données projet'!$E$9+1,1))-AVERAGE(OFFSET($H$3,0,0,'Données projet'!$E$9+1,1))</f>
        <v>65.585138535467195</v>
      </c>
      <c r="T120" s="62">
        <f t="shared" si="88"/>
        <v>292.56159092613944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7.4612658519146295</v>
      </c>
      <c r="AA120" s="23">
        <f>EXP(-LN(2)/25)*AA119+(1-EXP(-LN(2)/25))/(LN(2)/25)*Calculateur!V120*Calculateur!X120*VLOOKUP('Données projet'!$B$9,Paramètres!$A$1:$I$89,3,0)*0.475*44/12</f>
        <v>0.51626741046450775</v>
      </c>
      <c r="AB120" s="23">
        <f>EXP(-LN(2)/2)*AB119+(1-EXP(-LN(2)/2))/(LN(2)/2)*V120*Y120*VLOOKUP('Données projet'!$B$9,Paramètres!$A$1:$I$89,3,0)*0.475*44/12</f>
        <v>5.0760751609644467E-15</v>
      </c>
      <c r="AC120" s="24">
        <f t="shared" si="57"/>
        <v>7.9775332623791426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30</v>
      </c>
      <c r="AJ120" s="14">
        <f>AI120*VLOOKUP('Données projet'!$B$10,Paramètres!$A$1:$I$89,3,0)*VLOOKUP('Données projet'!$B$10,Paramètres!$A$1:$I$89,5,0)</f>
        <v>16.473599999999998</v>
      </c>
      <c r="AK120" s="14">
        <f t="shared" si="89"/>
        <v>5.479064311766531</v>
      </c>
      <c r="AL120" s="22">
        <f t="shared" si="58"/>
        <v>38.2342236763267</v>
      </c>
      <c r="AM120" s="62">
        <f t="shared" si="59"/>
        <v>331.56755700965999</v>
      </c>
      <c r="AN120" s="62">
        <f ca="1">AVERAGE(OFFSET($AM$3,0,0,'Données projet'!$E$10+1,1))-AVERAGE(OFFSET($H$3,0,0,'Données projet'!$E$10+1,1))</f>
        <v>72.817281731857122</v>
      </c>
      <c r="AO120" s="62">
        <f t="shared" si="90"/>
        <v>327.78949950303326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8.4449054015239575</v>
      </c>
      <c r="AV120" s="23">
        <f>EXP(-LN(2)/25)*AV119+(1-EXP(-LN(2)/25))/(LN(2)/25)*Calculateur!AQ120*Calculateur!AS120*VLOOKUP('Données projet'!$B$10,Paramètres!$A$1:$I$89,3,0)*0.475*44/12</f>
        <v>0.58432838740677318</v>
      </c>
      <c r="AW120" s="23">
        <f>EXP(-LN(2)/2)*AW119+(1-EXP(-LN(2)/2))/(LN(2)/2)*AQ120*AT120*VLOOKUP('Données projet'!$B$10,Paramètres!$A$1:$I$89,3,0)*0.475*44/12</f>
        <v>5.7452683493874163E-15</v>
      </c>
      <c r="AX120" s="23">
        <f t="shared" si="60"/>
        <v>9.0292337889307355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30</v>
      </c>
      <c r="O121" s="14">
        <f>N121*VLOOKUP('Données projet'!$B$9,Paramètres!$A$1:$I$89,3,0)*VLOOKUP('Données projet'!$B$9,Paramètres!$A$1:$I$89,5,0)</f>
        <v>14.5548</v>
      </c>
      <c r="P121" s="14">
        <f t="shared" si="87"/>
        <v>4.9111633609399075</v>
      </c>
      <c r="Q121" s="22">
        <f t="shared" si="107"/>
        <v>33.903219520303679</v>
      </c>
      <c r="R121" s="62">
        <f t="shared" si="55"/>
        <v>327.23655285363702</v>
      </c>
      <c r="S121" s="62">
        <f ca="1">AVERAGE(OFFSET($R$3,0,0,'Données projet'!$E$9+1,1))-AVERAGE(OFFSET($H$3,0,0,'Données projet'!$E$9+1,1))</f>
        <v>65.585138535467195</v>
      </c>
      <c r="T121" s="62">
        <f t="shared" si="88"/>
        <v>292.56159092613944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7.3149549794813868</v>
      </c>
      <c r="AA121" s="23">
        <f>EXP(-LN(2)/25)*AA120+(1-EXP(-LN(2)/25))/(LN(2)/25)*Calculateur!V121*Calculateur!X121*VLOOKUP('Données projet'!$B$9,Paramètres!$A$1:$I$89,3,0)*0.475*44/12</f>
        <v>0.5021500509760326</v>
      </c>
      <c r="AB121" s="23">
        <f>EXP(-LN(2)/2)*AB120+(1-EXP(-LN(2)/2))/(LN(2)/2)*V121*Y121*VLOOKUP('Données projet'!$B$9,Paramètres!$A$1:$I$89,3,0)*0.475*44/12</f>
        <v>3.5893271681305559E-15</v>
      </c>
      <c r="AC121" s="24">
        <f t="shared" si="57"/>
        <v>7.817105030457423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30</v>
      </c>
      <c r="AJ121" s="14">
        <f>AI121*VLOOKUP('Données projet'!$B$10,Paramètres!$A$1:$I$89,3,0)*VLOOKUP('Données projet'!$B$10,Paramètres!$A$1:$I$89,5,0)</f>
        <v>16.473599999999998</v>
      </c>
      <c r="AK121" s="14">
        <f t="shared" si="89"/>
        <v>5.479064311766531</v>
      </c>
      <c r="AL121" s="22">
        <f t="shared" si="58"/>
        <v>38.2342236763267</v>
      </c>
      <c r="AM121" s="62">
        <f t="shared" si="59"/>
        <v>331.56755700965999</v>
      </c>
      <c r="AN121" s="62">
        <f ca="1">AVERAGE(OFFSET($AM$3,0,0,'Données projet'!$E$10+1,1))-AVERAGE(OFFSET($H$3,0,0,'Données projet'!$E$10+1,1))</f>
        <v>72.817281731857122</v>
      </c>
      <c r="AO121" s="62">
        <f t="shared" si="90"/>
        <v>327.78949950303326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8.2793059574837606</v>
      </c>
      <c r="AV121" s="23">
        <f>EXP(-LN(2)/25)*AV120+(1-EXP(-LN(2)/25))/(LN(2)/25)*Calculateur!AQ121*Calculateur!AS121*VLOOKUP('Données projet'!$B$10,Paramètres!$A$1:$I$89,3,0)*0.475*44/12</f>
        <v>0.56834989692464055</v>
      </c>
      <c r="AW121" s="23">
        <f>EXP(-LN(2)/2)*AW120+(1-EXP(-LN(2)/2))/(LN(2)/2)*AQ121*AT121*VLOOKUP('Données projet'!$B$10,Paramètres!$A$1:$I$89,3,0)*0.475*44/12</f>
        <v>4.0625182095882847E-15</v>
      </c>
      <c r="AX121" s="23">
        <f t="shared" si="60"/>
        <v>8.847655854408405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30</v>
      </c>
      <c r="O122" s="14">
        <f>N122*VLOOKUP('Données projet'!$B$9,Paramètres!$A$1:$I$89,3,0)*VLOOKUP('Données projet'!$B$9,Paramètres!$A$1:$I$89,5,0)</f>
        <v>14.5548</v>
      </c>
      <c r="P122" s="14">
        <f t="shared" si="87"/>
        <v>4.9111633609399075</v>
      </c>
      <c r="Q122" s="22">
        <f t="shared" si="107"/>
        <v>33.903219520303679</v>
      </c>
      <c r="R122" s="62">
        <f t="shared" si="55"/>
        <v>327.23655285363702</v>
      </c>
      <c r="S122" s="62">
        <f ca="1">AVERAGE(OFFSET($R$3,0,0,'Données projet'!$E$9+1,1))-AVERAGE(OFFSET($H$3,0,0,'Données projet'!$E$9+1,1))</f>
        <v>65.585138535467195</v>
      </c>
      <c r="T122" s="62">
        <f t="shared" si="88"/>
        <v>292.56159092613944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7.1715131740157396</v>
      </c>
      <c r="AA122" s="23">
        <f>EXP(-LN(2)/25)*AA121+(1-EXP(-LN(2)/25))/(LN(2)/25)*Calculateur!V122*Calculateur!X122*VLOOKUP('Données projet'!$B$9,Paramètres!$A$1:$I$89,3,0)*0.475*44/12</f>
        <v>0.48841873142516951</v>
      </c>
      <c r="AB122" s="23">
        <f>EXP(-LN(2)/2)*AB121+(1-EXP(-LN(2)/2))/(LN(2)/2)*V122*Y122*VLOOKUP('Données projet'!$B$9,Paramètres!$A$1:$I$89,3,0)*0.475*44/12</f>
        <v>2.5380375804822233E-15</v>
      </c>
      <c r="AC122" s="24">
        <f t="shared" si="57"/>
        <v>7.6599319054409118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30</v>
      </c>
      <c r="AJ122" s="14">
        <f>AI122*VLOOKUP('Données projet'!$B$10,Paramètres!$A$1:$I$89,3,0)*VLOOKUP('Données projet'!$B$10,Paramètres!$A$1:$I$89,5,0)</f>
        <v>16.473599999999998</v>
      </c>
      <c r="AK122" s="14">
        <f t="shared" si="89"/>
        <v>5.479064311766531</v>
      </c>
      <c r="AL122" s="22">
        <f t="shared" si="58"/>
        <v>38.2342236763267</v>
      </c>
      <c r="AM122" s="62">
        <f t="shared" si="59"/>
        <v>331.56755700965999</v>
      </c>
      <c r="AN122" s="62">
        <f ca="1">AVERAGE(OFFSET($AM$3,0,0,'Données projet'!$E$10+1,1))-AVERAGE(OFFSET($H$3,0,0,'Données projet'!$E$10+1,1))</f>
        <v>72.817281731857122</v>
      </c>
      <c r="AO122" s="62">
        <f t="shared" si="90"/>
        <v>327.78949950303326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8.1169538175355047</v>
      </c>
      <c r="AV122" s="23">
        <f>EXP(-LN(2)/25)*AV121+(1-EXP(-LN(2)/25))/(LN(2)/25)*Calculateur!AQ122*Calculateur!AS122*VLOOKUP('Données projet'!$B$10,Paramètres!$A$1:$I$89,3,0)*0.475*44/12</f>
        <v>0.55280833910501415</v>
      </c>
      <c r="AW122" s="23">
        <f>EXP(-LN(2)/2)*AW121+(1-EXP(-LN(2)/2))/(LN(2)/2)*AQ122*AT122*VLOOKUP('Données projet'!$B$10,Paramètres!$A$1:$I$89,3,0)*0.475*44/12</f>
        <v>2.8726341746937081E-15</v>
      </c>
      <c r="AX122" s="23">
        <f t="shared" si="60"/>
        <v>8.6697621566405232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30</v>
      </c>
      <c r="O123" s="14">
        <f>N123*VLOOKUP('Données projet'!$B$9,Paramètres!$A$1:$I$89,3,0)*VLOOKUP('Données projet'!$B$9,Paramètres!$A$1:$I$89,5,0)</f>
        <v>14.5548</v>
      </c>
      <c r="P123" s="14">
        <f t="shared" si="87"/>
        <v>4.9111633609399075</v>
      </c>
      <c r="Q123" s="22">
        <f t="shared" si="107"/>
        <v>33.903219520303679</v>
      </c>
      <c r="R123" s="62">
        <f t="shared" si="55"/>
        <v>327.23655285363702</v>
      </c>
      <c r="S123" s="62">
        <f ca="1">AVERAGE(OFFSET($R$3,0,0,'Données projet'!$E$9+1,1))-AVERAGE(OFFSET($H$3,0,0,'Données projet'!$E$9+1,1))</f>
        <v>65.585138535467195</v>
      </c>
      <c r="T123" s="62">
        <f t="shared" si="88"/>
        <v>292.56159092613944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7.0308841748644113</v>
      </c>
      <c r="AA123" s="23">
        <f>EXP(-LN(2)/25)*AA122+(1-EXP(-LN(2)/25))/(LN(2)/25)*Calculateur!V123*Calculateur!X123*VLOOKUP('Données projet'!$B$9,Paramètres!$A$1:$I$89,3,0)*0.475*44/12</f>
        <v>0.47506289552952347</v>
      </c>
      <c r="AB123" s="23">
        <f>EXP(-LN(2)/2)*AB122+(1-EXP(-LN(2)/2))/(LN(2)/2)*V123*Y123*VLOOKUP('Données projet'!$B$9,Paramètres!$A$1:$I$89,3,0)*0.475*44/12</f>
        <v>1.7946635840652779E-15</v>
      </c>
      <c r="AC123" s="24">
        <f t="shared" si="57"/>
        <v>7.5059470703939368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30</v>
      </c>
      <c r="AJ123" s="14">
        <f>AI123*VLOOKUP('Données projet'!$B$10,Paramètres!$A$1:$I$89,3,0)*VLOOKUP('Données projet'!$B$10,Paramètres!$A$1:$I$89,5,0)</f>
        <v>16.473599999999998</v>
      </c>
      <c r="AK123" s="14">
        <f t="shared" si="89"/>
        <v>5.479064311766531</v>
      </c>
      <c r="AL123" s="22">
        <f t="shared" si="58"/>
        <v>38.2342236763267</v>
      </c>
      <c r="AM123" s="62">
        <f t="shared" si="59"/>
        <v>331.56755700965999</v>
      </c>
      <c r="AN123" s="62">
        <f ca="1">AVERAGE(OFFSET($AM$3,0,0,'Données projet'!$E$10+1,1))-AVERAGE(OFFSET($H$3,0,0,'Données projet'!$E$10+1,1))</f>
        <v>72.817281731857122</v>
      </c>
      <c r="AO123" s="62">
        <f t="shared" si="90"/>
        <v>327.78949950303326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7.957785304026606</v>
      </c>
      <c r="AV123" s="23">
        <f>EXP(-LN(2)/25)*AV122+(1-EXP(-LN(2)/25))/(LN(2)/25)*Calculateur!AQ123*Calculateur!AS123*VLOOKUP('Données projet'!$B$10,Paramètres!$A$1:$I$89,3,0)*0.475*44/12</f>
        <v>0.53769176600126045</v>
      </c>
      <c r="AW123" s="23">
        <f>EXP(-LN(2)/2)*AW122+(1-EXP(-LN(2)/2))/(LN(2)/2)*AQ123*AT123*VLOOKUP('Données projet'!$B$10,Paramètres!$A$1:$I$89,3,0)*0.475*44/12</f>
        <v>2.0312591047941424E-15</v>
      </c>
      <c r="AX123" s="23">
        <f t="shared" si="60"/>
        <v>8.495477070027869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30</v>
      </c>
      <c r="O124" s="14">
        <f>N124*VLOOKUP('Données projet'!$B$9,Paramètres!$A$1:$I$89,3,0)*VLOOKUP('Données projet'!$B$9,Paramètres!$A$1:$I$89,5,0)</f>
        <v>14.5548</v>
      </c>
      <c r="P124" s="14">
        <f t="shared" si="87"/>
        <v>4.9111633609399075</v>
      </c>
      <c r="Q124" s="22">
        <f t="shared" si="107"/>
        <v>33.903219520303679</v>
      </c>
      <c r="R124" s="62">
        <f t="shared" si="55"/>
        <v>327.23655285363702</v>
      </c>
      <c r="S124" s="62">
        <f ca="1">AVERAGE(OFFSET($R$3,0,0,'Données projet'!$E$9+1,1))-AVERAGE(OFFSET($H$3,0,0,'Données projet'!$E$9+1,1))</f>
        <v>65.585138535467195</v>
      </c>
      <c r="T124" s="62">
        <f t="shared" si="88"/>
        <v>292.56159092613944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6.8930128246112208</v>
      </c>
      <c r="AA124" s="23">
        <f>EXP(-LN(2)/25)*AA123+(1-EXP(-LN(2)/25))/(LN(2)/25)*Calculateur!V124*Calculateur!X124*VLOOKUP('Données projet'!$B$9,Paramètres!$A$1:$I$89,3,0)*0.475*44/12</f>
        <v>0.46207227566879672</v>
      </c>
      <c r="AB124" s="23">
        <f>EXP(-LN(2)/2)*AB123+(1-EXP(-LN(2)/2))/(LN(2)/2)*V124*Y124*VLOOKUP('Données projet'!$B$9,Paramètres!$A$1:$I$89,3,0)*0.475*44/12</f>
        <v>1.2690187902411117E-15</v>
      </c>
      <c r="AC124" s="24">
        <f t="shared" si="57"/>
        <v>7.3550851002800188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30</v>
      </c>
      <c r="AJ124" s="14">
        <f>AI124*VLOOKUP('Données projet'!$B$10,Paramètres!$A$1:$I$89,3,0)*VLOOKUP('Données projet'!$B$10,Paramètres!$A$1:$I$89,5,0)</f>
        <v>16.473599999999998</v>
      </c>
      <c r="AK124" s="14">
        <f t="shared" si="89"/>
        <v>5.479064311766531</v>
      </c>
      <c r="AL124" s="22">
        <f t="shared" si="58"/>
        <v>38.2342236763267</v>
      </c>
      <c r="AM124" s="62">
        <f t="shared" si="59"/>
        <v>331.56755700965999</v>
      </c>
      <c r="AN124" s="62">
        <f ca="1">AVERAGE(OFFSET($AM$3,0,0,'Données projet'!$E$10+1,1))-AVERAGE(OFFSET($H$3,0,0,'Données projet'!$E$10+1,1))</f>
        <v>72.817281731857122</v>
      </c>
      <c r="AO124" s="62">
        <f t="shared" si="90"/>
        <v>327.78949950303326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7.80173798798441</v>
      </c>
      <c r="AV124" s="23">
        <f>EXP(-LN(2)/25)*AV123+(1-EXP(-LN(2)/25))/(LN(2)/25)*Calculateur!AQ124*Calculateur!AS124*VLOOKUP('Données projet'!$B$10,Paramètres!$A$1:$I$89,3,0)*0.475*44/12</f>
        <v>0.5229885563839749</v>
      </c>
      <c r="AW124" s="23">
        <f>EXP(-LN(2)/2)*AW123+(1-EXP(-LN(2)/2))/(LN(2)/2)*AQ124*AT124*VLOOKUP('Données projet'!$B$10,Paramètres!$A$1:$I$89,3,0)*0.475*44/12</f>
        <v>1.4363170873468541E-15</v>
      </c>
      <c r="AX124" s="23">
        <f t="shared" si="60"/>
        <v>8.3247265443683869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30</v>
      </c>
      <c r="O125" s="14">
        <f>N125*VLOOKUP('Données projet'!$B$9,Paramètres!$A$1:$I$89,3,0)*VLOOKUP('Données projet'!$B$9,Paramètres!$A$1:$I$89,5,0)</f>
        <v>14.5548</v>
      </c>
      <c r="P125" s="14">
        <f t="shared" si="87"/>
        <v>4.9111633609399075</v>
      </c>
      <c r="Q125" s="22">
        <f t="shared" si="107"/>
        <v>33.903219520303679</v>
      </c>
      <c r="R125" s="62">
        <f t="shared" si="55"/>
        <v>327.23655285363702</v>
      </c>
      <c r="S125" s="62">
        <f ca="1">AVERAGE(OFFSET($R$3,0,0,'Données projet'!$E$9+1,1))-AVERAGE(OFFSET($H$3,0,0,'Données projet'!$E$9+1,1))</f>
        <v>65.585138535467195</v>
      </c>
      <c r="T125" s="62">
        <f t="shared" si="88"/>
        <v>292.56159092613944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6.7578450474432756</v>
      </c>
      <c r="AA125" s="23">
        <f>EXP(-LN(2)/25)*AA124+(1-EXP(-LN(2)/25))/(LN(2)/25)*Calculateur!V125*Calculateur!X125*VLOOKUP('Données projet'!$B$9,Paramètres!$A$1:$I$89,3,0)*0.475*44/12</f>
        <v>0.44943688499130857</v>
      </c>
      <c r="AB125" s="23">
        <f>EXP(-LN(2)/2)*AB124+(1-EXP(-LN(2)/2))/(LN(2)/2)*V125*Y125*VLOOKUP('Données projet'!$B$9,Paramètres!$A$1:$I$89,3,0)*0.475*44/12</f>
        <v>8.9733179203263896E-16</v>
      </c>
      <c r="AC125" s="24">
        <f t="shared" si="57"/>
        <v>7.2072819324345847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30</v>
      </c>
      <c r="AJ125" s="14">
        <f>AI125*VLOOKUP('Données projet'!$B$10,Paramètres!$A$1:$I$89,3,0)*VLOOKUP('Données projet'!$B$10,Paramètres!$A$1:$I$89,5,0)</f>
        <v>16.473599999999998</v>
      </c>
      <c r="AK125" s="14">
        <f t="shared" si="89"/>
        <v>5.479064311766531</v>
      </c>
      <c r="AL125" s="22">
        <f t="shared" si="58"/>
        <v>38.2342236763267</v>
      </c>
      <c r="AM125" s="62">
        <f t="shared" si="59"/>
        <v>331.56755700965999</v>
      </c>
      <c r="AN125" s="62">
        <f ca="1">AVERAGE(OFFSET($AM$3,0,0,'Données projet'!$E$10+1,1))-AVERAGE(OFFSET($H$3,0,0,'Données projet'!$E$10+1,1))</f>
        <v>72.817281731857122</v>
      </c>
      <c r="AO125" s="62">
        <f t="shared" si="90"/>
        <v>327.78949950303326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7.6487506646303363</v>
      </c>
      <c r="AV125" s="23">
        <f>EXP(-LN(2)/25)*AV124+(1-EXP(-LN(2)/25))/(LN(2)/25)*Calculateur!AQ125*Calculateur!AS125*VLOOKUP('Données projet'!$B$10,Paramètres!$A$1:$I$89,3,0)*0.475*44/12</f>
        <v>0.50868740680688218</v>
      </c>
      <c r="AW125" s="23">
        <f>EXP(-LN(2)/2)*AW124+(1-EXP(-LN(2)/2))/(LN(2)/2)*AQ125*AT125*VLOOKUP('Données projet'!$B$10,Paramètres!$A$1:$I$89,3,0)*0.475*44/12</f>
        <v>1.0156295523970712E-15</v>
      </c>
      <c r="AX125" s="23">
        <f t="shared" si="60"/>
        <v>8.1574380714372197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30</v>
      </c>
      <c r="O126" s="14">
        <f>N126*VLOOKUP('Données projet'!$B$9,Paramètres!$A$1:$I$89,3,0)*VLOOKUP('Données projet'!$B$9,Paramètres!$A$1:$I$89,5,0)</f>
        <v>14.5548</v>
      </c>
      <c r="P126" s="14">
        <f t="shared" si="87"/>
        <v>4.9111633609399075</v>
      </c>
      <c r="Q126" s="22">
        <f t="shared" si="107"/>
        <v>33.903219520303679</v>
      </c>
      <c r="R126" s="62">
        <f t="shared" si="55"/>
        <v>327.23655285363702</v>
      </c>
      <c r="S126" s="62">
        <f ca="1">AVERAGE(OFFSET($R$3,0,0,'Données projet'!$E$9+1,1))-AVERAGE(OFFSET($H$3,0,0,'Données projet'!$E$9+1,1))</f>
        <v>65.585138535467195</v>
      </c>
      <c r="T126" s="62">
        <f t="shared" si="88"/>
        <v>292.56159092613944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6.6253278279413905</v>
      </c>
      <c r="AA126" s="23">
        <f>EXP(-LN(2)/25)*AA125+(1-EXP(-LN(2)/25))/(LN(2)/25)*Calculateur!V126*Calculateur!X126*VLOOKUP('Données projet'!$B$9,Paramètres!$A$1:$I$89,3,0)*0.475*44/12</f>
        <v>0.43714700973636267</v>
      </c>
      <c r="AB126" s="23">
        <f>EXP(-LN(2)/2)*AB125+(1-EXP(-LN(2)/2))/(LN(2)/2)*V126*Y126*VLOOKUP('Données projet'!$B$9,Paramètres!$A$1:$I$89,3,0)*0.475*44/12</f>
        <v>6.3450939512055583E-16</v>
      </c>
      <c r="AC126" s="24">
        <f t="shared" si="57"/>
        <v>7.0624748376777537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30</v>
      </c>
      <c r="AJ126" s="14">
        <f>AI126*VLOOKUP('Données projet'!$B$10,Paramètres!$A$1:$I$89,3,0)*VLOOKUP('Données projet'!$B$10,Paramètres!$A$1:$I$89,5,0)</f>
        <v>16.473599999999998</v>
      </c>
      <c r="AK126" s="14">
        <f t="shared" si="89"/>
        <v>5.479064311766531</v>
      </c>
      <c r="AL126" s="22">
        <f t="shared" si="58"/>
        <v>38.2342236763267</v>
      </c>
      <c r="AM126" s="62">
        <f t="shared" si="59"/>
        <v>331.56755700965999</v>
      </c>
      <c r="AN126" s="62">
        <f ca="1">AVERAGE(OFFSET($AM$3,0,0,'Données projet'!$E$10+1,1))-AVERAGE(OFFSET($H$3,0,0,'Données projet'!$E$10+1,1))</f>
        <v>72.817281731857122</v>
      </c>
      <c r="AO126" s="62">
        <f t="shared" si="90"/>
        <v>327.78949950303326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7.4987633293741833</v>
      </c>
      <c r="AV126" s="23">
        <f>EXP(-LN(2)/25)*AV125+(1-EXP(-LN(2)/25))/(LN(2)/25)*Calculateur!AQ126*Calculateur!AS126*VLOOKUP('Données projet'!$B$10,Paramètres!$A$1:$I$89,3,0)*0.475*44/12</f>
        <v>0.49477732291703991</v>
      </c>
      <c r="AW126" s="23">
        <f>EXP(-LN(2)/2)*AW125+(1-EXP(-LN(2)/2))/(LN(2)/2)*AQ126*AT126*VLOOKUP('Données projet'!$B$10,Paramètres!$A$1:$I$89,3,0)*0.475*44/12</f>
        <v>7.1815854367342703E-16</v>
      </c>
      <c r="AX126" s="23">
        <f t="shared" si="60"/>
        <v>7.993540652291224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30</v>
      </c>
      <c r="O127" s="14">
        <f>N127*VLOOKUP('Données projet'!$B$9,Paramètres!$A$1:$I$89,3,0)*VLOOKUP('Données projet'!$B$9,Paramètres!$A$1:$I$89,5,0)</f>
        <v>14.5548</v>
      </c>
      <c r="P127" s="14">
        <f t="shared" si="87"/>
        <v>4.9111633609399075</v>
      </c>
      <c r="Q127" s="22">
        <f t="shared" si="107"/>
        <v>33.903219520303679</v>
      </c>
      <c r="R127" s="62">
        <f t="shared" si="55"/>
        <v>327.23655285363702</v>
      </c>
      <c r="S127" s="62">
        <f ca="1">AVERAGE(OFFSET($R$3,0,0,'Données projet'!$E$9+1,1))-AVERAGE(OFFSET($H$3,0,0,'Données projet'!$E$9+1,1))</f>
        <v>65.585138535467195</v>
      </c>
      <c r="T127" s="62">
        <f t="shared" si="88"/>
        <v>292.56159092613944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6.4954091902864146</v>
      </c>
      <c r="AA127" s="23">
        <f>EXP(-LN(2)/25)*AA126+(1-EXP(-LN(2)/25))/(LN(2)/25)*Calculateur!V127*Calculateur!X127*VLOOKUP('Données projet'!$B$9,Paramètres!$A$1:$I$89,3,0)*0.475*44/12</f>
        <v>0.42519320176655973</v>
      </c>
      <c r="AB127" s="23">
        <f>EXP(-LN(2)/2)*AB126+(1-EXP(-LN(2)/2))/(LN(2)/2)*V127*Y127*VLOOKUP('Données projet'!$B$9,Paramètres!$A$1:$I$89,3,0)*0.475*44/12</f>
        <v>4.4866589601631948E-16</v>
      </c>
      <c r="AC127" s="24">
        <f t="shared" si="57"/>
        <v>6.9206023920529756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30</v>
      </c>
      <c r="AJ127" s="14">
        <f>AI127*VLOOKUP('Données projet'!$B$10,Paramètres!$A$1:$I$89,3,0)*VLOOKUP('Données projet'!$B$10,Paramètres!$A$1:$I$89,5,0)</f>
        <v>16.473599999999998</v>
      </c>
      <c r="AK127" s="14">
        <f t="shared" si="89"/>
        <v>5.479064311766531</v>
      </c>
      <c r="AL127" s="22">
        <f t="shared" si="58"/>
        <v>38.2342236763267</v>
      </c>
      <c r="AM127" s="62">
        <f t="shared" si="59"/>
        <v>331.56755700965999</v>
      </c>
      <c r="AN127" s="62">
        <f ca="1">AVERAGE(OFFSET($AM$3,0,0,'Données projet'!$E$10+1,1))-AVERAGE(OFFSET($H$3,0,0,'Données projet'!$E$10+1,1))</f>
        <v>72.817281731857122</v>
      </c>
      <c r="AO127" s="62">
        <f t="shared" si="90"/>
        <v>327.78949950303326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7.3517171542791617</v>
      </c>
      <c r="AV127" s="23">
        <f>EXP(-LN(2)/25)*AV126+(1-EXP(-LN(2)/25))/(LN(2)/25)*Calculateur!AQ127*Calculateur!AS127*VLOOKUP('Données projet'!$B$10,Paramètres!$A$1:$I$89,3,0)*0.475*44/12</f>
        <v>0.48124761100266489</v>
      </c>
      <c r="AW127" s="23">
        <f>EXP(-LN(2)/2)*AW126+(1-EXP(-LN(2)/2))/(LN(2)/2)*AQ127*AT127*VLOOKUP('Données projet'!$B$10,Paramètres!$A$1:$I$89,3,0)*0.475*44/12</f>
        <v>5.0781477619853559E-16</v>
      </c>
      <c r="AX127" s="23">
        <f t="shared" si="60"/>
        <v>7.8329647652818277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30</v>
      </c>
      <c r="O128" s="14">
        <f>N128*VLOOKUP('Données projet'!$B$9,Paramètres!$A$1:$I$89,3,0)*VLOOKUP('Données projet'!$B$9,Paramètres!$A$1:$I$89,5,0)</f>
        <v>14.5548</v>
      </c>
      <c r="P128" s="14">
        <f t="shared" si="87"/>
        <v>4.9111633609399075</v>
      </c>
      <c r="Q128" s="22">
        <f t="shared" si="107"/>
        <v>33.903219520303679</v>
      </c>
      <c r="R128" s="62">
        <f t="shared" si="55"/>
        <v>327.23655285363702</v>
      </c>
      <c r="S128" s="62">
        <f ca="1">AVERAGE(OFFSET($R$3,0,0,'Données projet'!$E$9+1,1))-AVERAGE(OFFSET($H$3,0,0,'Données projet'!$E$9+1,1))</f>
        <v>65.585138535467195</v>
      </c>
      <c r="T128" s="62">
        <f t="shared" si="88"/>
        <v>292.56159092613944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6.3680381778733084</v>
      </c>
      <c r="AA128" s="23">
        <f>EXP(-LN(2)/25)*AA127+(1-EXP(-LN(2)/25))/(LN(2)/25)*Calculateur!V128*Calculateur!X128*VLOOKUP('Données projet'!$B$9,Paramètres!$A$1:$I$89,3,0)*0.475*44/12</f>
        <v>0.41356627130431445</v>
      </c>
      <c r="AB128" s="23">
        <f>EXP(-LN(2)/2)*AB127+(1-EXP(-LN(2)/2))/(LN(2)/2)*V128*Y128*VLOOKUP('Données projet'!$B$9,Paramètres!$A$1:$I$89,3,0)*0.475*44/12</f>
        <v>3.1725469756027792E-16</v>
      </c>
      <c r="AC128" s="24">
        <f t="shared" si="57"/>
        <v>6.7816044491776228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30</v>
      </c>
      <c r="AJ128" s="14">
        <f>AI128*VLOOKUP('Données projet'!$B$10,Paramètres!$A$1:$I$89,3,0)*VLOOKUP('Données projet'!$B$10,Paramètres!$A$1:$I$89,5,0)</f>
        <v>16.473599999999998</v>
      </c>
      <c r="AK128" s="14">
        <f t="shared" si="89"/>
        <v>5.479064311766531</v>
      </c>
      <c r="AL128" s="22">
        <f t="shared" si="58"/>
        <v>38.2342236763267</v>
      </c>
      <c r="AM128" s="62">
        <f t="shared" si="59"/>
        <v>331.56755700965999</v>
      </c>
      <c r="AN128" s="62">
        <f ca="1">AVERAGE(OFFSET($AM$3,0,0,'Données projet'!$E$10+1,1))-AVERAGE(OFFSET($H$3,0,0,'Données projet'!$E$10+1,1))</f>
        <v>72.817281731857122</v>
      </c>
      <c r="AO128" s="62">
        <f t="shared" si="90"/>
        <v>327.78949950303326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7.2075544649884433</v>
      </c>
      <c r="AV128" s="23">
        <f>EXP(-LN(2)/25)*AV127+(1-EXP(-LN(2)/25))/(LN(2)/25)*Calculateur!AQ128*Calculateur!AS128*VLOOKUP('Données projet'!$B$10,Paramètres!$A$1:$I$89,3,0)*0.475*44/12</f>
        <v>0.46808786977208505</v>
      </c>
      <c r="AW128" s="23">
        <f>EXP(-LN(2)/2)*AW127+(1-EXP(-LN(2)/2))/(LN(2)/2)*AQ128*AT128*VLOOKUP('Données projet'!$B$10,Paramètres!$A$1:$I$89,3,0)*0.475*44/12</f>
        <v>3.5907927183671352E-16</v>
      </c>
      <c r="AX128" s="23">
        <f t="shared" si="60"/>
        <v>7.6756423347605285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30</v>
      </c>
      <c r="O129" s="14">
        <f>N129*VLOOKUP('Données projet'!$B$9,Paramètres!$A$1:$I$89,3,0)*VLOOKUP('Données projet'!$B$9,Paramètres!$A$1:$I$89,5,0)</f>
        <v>14.5548</v>
      </c>
      <c r="P129" s="14">
        <f t="shared" si="87"/>
        <v>4.9111633609399075</v>
      </c>
      <c r="Q129" s="22">
        <f t="shared" si="107"/>
        <v>33.903219520303679</v>
      </c>
      <c r="R129" s="62">
        <f t="shared" si="55"/>
        <v>327.23655285363702</v>
      </c>
      <c r="S129" s="62">
        <f ca="1">AVERAGE(OFFSET($R$3,0,0,'Données projet'!$E$9+1,1))-AVERAGE(OFFSET($H$3,0,0,'Données projet'!$E$9+1,1))</f>
        <v>65.585138535467195</v>
      </c>
      <c r="T129" s="62">
        <f t="shared" si="88"/>
        <v>292.56159092613944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6.2431648333249763</v>
      </c>
      <c r="AA129" s="23">
        <f>EXP(-LN(2)/25)*AA128+(1-EXP(-LN(2)/25))/(LN(2)/25)*Calculateur!V129*Calculateur!X129*VLOOKUP('Données projet'!$B$9,Paramètres!$A$1:$I$89,3,0)*0.475*44/12</f>
        <v>0.402257279866993</v>
      </c>
      <c r="AB129" s="23">
        <f>EXP(-LN(2)/2)*AB128+(1-EXP(-LN(2)/2))/(LN(2)/2)*V129*Y129*VLOOKUP('Données projet'!$B$9,Paramètres!$A$1:$I$89,3,0)*0.475*44/12</f>
        <v>2.2433294800815974E-16</v>
      </c>
      <c r="AC129" s="24">
        <f t="shared" si="57"/>
        <v>6.6454221131919695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30</v>
      </c>
      <c r="AJ129" s="14">
        <f>AI129*VLOOKUP('Données projet'!$B$10,Paramètres!$A$1:$I$89,3,0)*VLOOKUP('Données projet'!$B$10,Paramètres!$A$1:$I$89,5,0)</f>
        <v>16.473599999999998</v>
      </c>
      <c r="AK129" s="14">
        <f t="shared" si="89"/>
        <v>5.479064311766531</v>
      </c>
      <c r="AL129" s="22">
        <f t="shared" si="58"/>
        <v>38.2342236763267</v>
      </c>
      <c r="AM129" s="62">
        <f t="shared" si="59"/>
        <v>331.56755700965999</v>
      </c>
      <c r="AN129" s="62">
        <f ca="1">AVERAGE(OFFSET($AM$3,0,0,'Données projet'!$E$10+1,1))-AVERAGE(OFFSET($H$3,0,0,'Données projet'!$E$10+1,1))</f>
        <v>72.817281731857122</v>
      </c>
      <c r="AO129" s="62">
        <f t="shared" si="90"/>
        <v>327.78949950303326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7.0662187181041576</v>
      </c>
      <c r="AV129" s="23">
        <f>EXP(-LN(2)/25)*AV128+(1-EXP(-LN(2)/25))/(LN(2)/25)*Calculateur!AQ129*Calculateur!AS129*VLOOKUP('Données projet'!$B$10,Paramètres!$A$1:$I$89,3,0)*0.475*44/12</f>
        <v>0.45528798235749612</v>
      </c>
      <c r="AW129" s="23">
        <f>EXP(-LN(2)/2)*AW128+(1-EXP(-LN(2)/2))/(LN(2)/2)*AQ129*AT129*VLOOKUP('Données projet'!$B$10,Paramètres!$A$1:$I$89,3,0)*0.475*44/12</f>
        <v>2.539073880992678E-16</v>
      </c>
      <c r="AX129" s="23">
        <f t="shared" si="60"/>
        <v>7.5215067004616536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30</v>
      </c>
      <c r="O130" s="14">
        <f>N130*VLOOKUP('Données projet'!$B$9,Paramètres!$A$1:$I$89,3,0)*VLOOKUP('Données projet'!$B$9,Paramètres!$A$1:$I$89,5,0)</f>
        <v>14.5548</v>
      </c>
      <c r="P130" s="14">
        <f t="shared" si="87"/>
        <v>4.9111633609399075</v>
      </c>
      <c r="Q130" s="22">
        <f t="shared" si="107"/>
        <v>33.903219520303679</v>
      </c>
      <c r="R130" s="62">
        <f t="shared" si="55"/>
        <v>327.23655285363702</v>
      </c>
      <c r="S130" s="62">
        <f ca="1">AVERAGE(OFFSET($R$3,0,0,'Données projet'!$E$9+1,1))-AVERAGE(OFFSET($H$3,0,0,'Données projet'!$E$9+1,1))</f>
        <v>65.585138535467195</v>
      </c>
      <c r="T130" s="62">
        <f t="shared" si="88"/>
        <v>292.56159092613944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6.1207401788980178</v>
      </c>
      <c r="AA130" s="23">
        <f>EXP(-LN(2)/25)*AA129+(1-EXP(-LN(2)/25))/(LN(2)/25)*Calculateur!V130*Calculateur!X130*VLOOKUP('Données projet'!$B$9,Paramètres!$A$1:$I$89,3,0)*0.475*44/12</f>
        <v>0.39125753339523911</v>
      </c>
      <c r="AB130" s="23">
        <f>EXP(-LN(2)/2)*AB129+(1-EXP(-LN(2)/2))/(LN(2)/2)*V130*Y130*VLOOKUP('Données projet'!$B$9,Paramètres!$A$1:$I$89,3,0)*0.475*44/12</f>
        <v>1.5862734878013896E-16</v>
      </c>
      <c r="AC130" s="24">
        <f t="shared" si="57"/>
        <v>6.5119977122932573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30</v>
      </c>
      <c r="AJ130" s="14">
        <f>AI130*VLOOKUP('Données projet'!$B$10,Paramètres!$A$1:$I$89,3,0)*VLOOKUP('Données projet'!$B$10,Paramètres!$A$1:$I$89,5,0)</f>
        <v>16.473599999999998</v>
      </c>
      <c r="AK130" s="14">
        <f t="shared" si="89"/>
        <v>5.479064311766531</v>
      </c>
      <c r="AL130" s="22">
        <f t="shared" si="58"/>
        <v>38.2342236763267</v>
      </c>
      <c r="AM130" s="62">
        <f t="shared" si="59"/>
        <v>331.56755700965999</v>
      </c>
      <c r="AN130" s="62">
        <f ca="1">AVERAGE(OFFSET($AM$3,0,0,'Données projet'!$E$10+1,1))-AVERAGE(OFFSET($H$3,0,0,'Données projet'!$E$10+1,1))</f>
        <v>72.817281731857122</v>
      </c>
      <c r="AO130" s="62">
        <f t="shared" si="90"/>
        <v>327.78949950303326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6.9276544790099788</v>
      </c>
      <c r="AV130" s="23">
        <f>EXP(-LN(2)/25)*AV129+(1-EXP(-LN(2)/25))/(LN(2)/25)*Calculateur!AQ130*Calculateur!AS130*VLOOKUP('Données projet'!$B$10,Paramètres!$A$1:$I$89,3,0)*0.475*44/12</f>
        <v>0.44283810853737599</v>
      </c>
      <c r="AW130" s="23">
        <f>EXP(-LN(2)/2)*AW129+(1-EXP(-LN(2)/2))/(LN(2)/2)*AQ130*AT130*VLOOKUP('Données projet'!$B$10,Paramètres!$A$1:$I$89,3,0)*0.475*44/12</f>
        <v>1.7953963591835676E-16</v>
      </c>
      <c r="AX130" s="23">
        <f t="shared" si="60"/>
        <v>7.3704925875473544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30</v>
      </c>
      <c r="O131" s="14">
        <f>N131*VLOOKUP('Données projet'!$B$9,Paramètres!$A$1:$I$89,3,0)*VLOOKUP('Données projet'!$B$9,Paramètres!$A$1:$I$89,5,0)</f>
        <v>14.5548</v>
      </c>
      <c r="P131" s="14">
        <f t="shared" si="87"/>
        <v>4.9111633609399075</v>
      </c>
      <c r="Q131" s="22">
        <f t="shared" ref="Q131:Q153" si="108">(O131+P131)*0.475*44/12</f>
        <v>33.903219520303679</v>
      </c>
      <c r="R131" s="62">
        <f t="shared" ref="R131:R194" si="109">Q131+(I131+J131)*44/12</f>
        <v>327.23655285363702</v>
      </c>
      <c r="S131" s="62">
        <f ca="1">AVERAGE(OFFSET($R$3,0,0,'Données projet'!$E$9+1,1))-AVERAGE(OFFSET($H$3,0,0,'Données projet'!$E$9+1,1))</f>
        <v>65.585138535467195</v>
      </c>
      <c r="T131" s="62">
        <f t="shared" si="88"/>
        <v>292.56159092613944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6.0007161972727054</v>
      </c>
      <c r="AA131" s="23">
        <f>EXP(-LN(2)/25)*AA130+(1-EXP(-LN(2)/25))/(LN(2)/25)*Calculateur!V131*Calculateur!X131*VLOOKUP('Données projet'!$B$9,Paramètres!$A$1:$I$89,3,0)*0.475*44/12</f>
        <v>0.38055857556920686</v>
      </c>
      <c r="AB131" s="23">
        <f>EXP(-LN(2)/2)*AB130+(1-EXP(-LN(2)/2))/(LN(2)/2)*V131*Y131*VLOOKUP('Données projet'!$B$9,Paramètres!$A$1:$I$89,3,0)*0.475*44/12</f>
        <v>1.1216647400407987E-16</v>
      </c>
      <c r="AC131" s="24">
        <f t="shared" si="57"/>
        <v>6.3812747728419126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30</v>
      </c>
      <c r="AJ131" s="14">
        <f>AI131*VLOOKUP('Données projet'!$B$10,Paramètres!$A$1:$I$89,3,0)*VLOOKUP('Données projet'!$B$10,Paramètres!$A$1:$I$89,5,0)</f>
        <v>16.473599999999998</v>
      </c>
      <c r="AK131" s="14">
        <f t="shared" si="89"/>
        <v>5.479064311766531</v>
      </c>
      <c r="AL131" s="22">
        <f t="shared" si="58"/>
        <v>38.2342236763267</v>
      </c>
      <c r="AM131" s="62">
        <f t="shared" si="59"/>
        <v>331.56755700965999</v>
      </c>
      <c r="AN131" s="62">
        <f ca="1">AVERAGE(OFFSET($AM$3,0,0,'Données projet'!$E$10+1,1))-AVERAGE(OFFSET($H$3,0,0,'Données projet'!$E$10+1,1))</f>
        <v>72.817281731857122</v>
      </c>
      <c r="AO131" s="62">
        <f t="shared" si="90"/>
        <v>327.78949950303326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6.7918074001285964</v>
      </c>
      <c r="AV131" s="23">
        <f>EXP(-LN(2)/25)*AV130+(1-EXP(-LN(2)/25))/(LN(2)/25)*Calculateur!AQ131*Calculateur!AS131*VLOOKUP('Données projet'!$B$10,Paramètres!$A$1:$I$89,3,0)*0.475*44/12</f>
        <v>0.43072867717157742</v>
      </c>
      <c r="AW131" s="23">
        <f>EXP(-LN(2)/2)*AW130+(1-EXP(-LN(2)/2))/(LN(2)/2)*AQ131*AT131*VLOOKUP('Données projet'!$B$10,Paramètres!$A$1:$I$89,3,0)*0.475*44/12</f>
        <v>1.269536940496339E-16</v>
      </c>
      <c r="AX131" s="23">
        <f t="shared" si="60"/>
        <v>7.2225360773001741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30</v>
      </c>
      <c r="O132" s="14">
        <f>N132*VLOOKUP('Données projet'!$B$9,Paramètres!$A$1:$I$89,3,0)*VLOOKUP('Données projet'!$B$9,Paramètres!$A$1:$I$89,5,0)</f>
        <v>14.5548</v>
      </c>
      <c r="P132" s="14">
        <f t="shared" si="87"/>
        <v>4.9111633609399075</v>
      </c>
      <c r="Q132" s="22">
        <f t="shared" si="108"/>
        <v>33.903219520303679</v>
      </c>
      <c r="R132" s="62">
        <f t="shared" si="109"/>
        <v>327.23655285363702</v>
      </c>
      <c r="S132" s="62">
        <f ca="1">AVERAGE(OFFSET($R$3,0,0,'Données projet'!$E$9+1,1))-AVERAGE(OFFSET($H$3,0,0,'Données projet'!$E$9+1,1))</f>
        <v>65.585138535467195</v>
      </c>
      <c r="T132" s="62">
        <f t="shared" si="88"/>
        <v>292.56159092613944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5.8830458127196659</v>
      </c>
      <c r="AA132" s="23">
        <f>EXP(-LN(2)/25)*AA131+(1-EXP(-LN(2)/25))/(LN(2)/25)*Calculateur!V132*Calculateur!X132*VLOOKUP('Données projet'!$B$9,Paramètres!$A$1:$I$89,3,0)*0.475*44/12</f>
        <v>0.37015218130756117</v>
      </c>
      <c r="AB132" s="23">
        <f>EXP(-LN(2)/2)*AB131+(1-EXP(-LN(2)/2))/(LN(2)/2)*V132*Y132*VLOOKUP('Données projet'!$B$9,Paramètres!$A$1:$I$89,3,0)*0.475*44/12</f>
        <v>7.9313674390069479E-17</v>
      </c>
      <c r="AC132" s="24">
        <f t="shared" ref="AC132:AC153" si="111">SUM(Z132:AB132)</f>
        <v>6.2531979940272269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30</v>
      </c>
      <c r="AJ132" s="14">
        <f>AI132*VLOOKUP('Données projet'!$B$10,Paramètres!$A$1:$I$89,3,0)*VLOOKUP('Données projet'!$B$10,Paramètres!$A$1:$I$89,5,0)</f>
        <v>16.473599999999998</v>
      </c>
      <c r="AK132" s="14">
        <f t="shared" si="89"/>
        <v>5.479064311766531</v>
      </c>
      <c r="AL132" s="22">
        <f t="shared" ref="AL132:AL153" si="112">(AJ132+AK132)*0.475*44/12</f>
        <v>38.2342236763267</v>
      </c>
      <c r="AM132" s="62">
        <f t="shared" ref="AM132:AM195" si="113">AL132+(AD132+AE132)*44/12</f>
        <v>331.56755700965999</v>
      </c>
      <c r="AN132" s="62">
        <f ca="1">AVERAGE(OFFSET($AM$3,0,0,'Données projet'!$E$10+1,1))-AVERAGE(OFFSET($H$3,0,0,'Données projet'!$E$10+1,1))</f>
        <v>72.817281731857122</v>
      </c>
      <c r="AO132" s="62">
        <f t="shared" si="90"/>
        <v>327.78949950303326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6.6586241996055415</v>
      </c>
      <c r="AV132" s="23">
        <f>EXP(-LN(2)/25)*AV131+(1-EXP(-LN(2)/25))/(LN(2)/25)*Calculateur!AQ132*Calculateur!AS132*VLOOKUP('Données projet'!$B$10,Paramètres!$A$1:$I$89,3,0)*0.475*44/12</f>
        <v>0.41895037884328395</v>
      </c>
      <c r="AW132" s="23">
        <f>EXP(-LN(2)/2)*AW131+(1-EXP(-LN(2)/2))/(LN(2)/2)*AQ132*AT132*VLOOKUP('Données projet'!$B$10,Paramètres!$A$1:$I$89,3,0)*0.475*44/12</f>
        <v>8.9769817959178379E-17</v>
      </c>
      <c r="AX132" s="23">
        <f t="shared" ref="AX132:AX153" si="114">SUM(AU132:AW132)</f>
        <v>7.0775745784488251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30</v>
      </c>
      <c r="O133" s="14">
        <f>N133*VLOOKUP('Données projet'!$B$9,Paramètres!$A$1:$I$89,3,0)*VLOOKUP('Données projet'!$B$9,Paramètres!$A$1:$I$89,5,0)</f>
        <v>14.5548</v>
      </c>
      <c r="P133" s="14">
        <f t="shared" ref="P133:P196" si="141">EXP(-1.0587+0.8836*LN(O133)+0.284)</f>
        <v>4.9111633609399075</v>
      </c>
      <c r="Q133" s="22">
        <f t="shared" si="108"/>
        <v>33.903219520303679</v>
      </c>
      <c r="R133" s="62">
        <f t="shared" si="109"/>
        <v>327.23655285363702</v>
      </c>
      <c r="S133" s="62">
        <f ca="1">AVERAGE(OFFSET($R$3,0,0,'Données projet'!$E$9+1,1))-AVERAGE(OFFSET($H$3,0,0,'Données projet'!$E$9+1,1))</f>
        <v>65.585138535467195</v>
      </c>
      <c r="T133" s="62">
        <f t="shared" ref="T133:T196" si="142">$T$3</f>
        <v>292.56159092613944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5.7676828726358638</v>
      </c>
      <c r="AA133" s="23">
        <f>EXP(-LN(2)/25)*AA132+(1-EXP(-LN(2)/25))/(LN(2)/25)*Calculateur!V133*Calculateur!X133*VLOOKUP('Données projet'!$B$9,Paramètres!$A$1:$I$89,3,0)*0.475*44/12</f>
        <v>0.36003035044424869</v>
      </c>
      <c r="AB133" s="23">
        <f>EXP(-LN(2)/2)*AB132+(1-EXP(-LN(2)/2))/(LN(2)/2)*V133*Y133*VLOOKUP('Données projet'!$B$9,Paramètres!$A$1:$I$89,3,0)*0.475*44/12</f>
        <v>5.6083237002039935E-17</v>
      </c>
      <c r="AC133" s="24">
        <f t="shared" si="111"/>
        <v>6.1277132230801126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30</v>
      </c>
      <c r="AJ133" s="14">
        <f>AI133*VLOOKUP('Données projet'!$B$10,Paramètres!$A$1:$I$89,3,0)*VLOOKUP('Données projet'!$B$10,Paramètres!$A$1:$I$89,5,0)</f>
        <v>16.473599999999998</v>
      </c>
      <c r="AK133" s="14">
        <f t="shared" ref="AK133:AK153" si="143">EXP(-1.0587+0.8836*LN(AJ133)+0.284)</f>
        <v>5.479064311766531</v>
      </c>
      <c r="AL133" s="22">
        <f t="shared" si="112"/>
        <v>38.2342236763267</v>
      </c>
      <c r="AM133" s="62">
        <f t="shared" si="113"/>
        <v>331.56755700965999</v>
      </c>
      <c r="AN133" s="62">
        <f ca="1">AVERAGE(OFFSET($AM$3,0,0,'Données projet'!$E$10+1,1))-AVERAGE(OFFSET($H$3,0,0,'Données projet'!$E$10+1,1))</f>
        <v>72.817281731857122</v>
      </c>
      <c r="AO133" s="62">
        <f t="shared" ref="AO133:AO196" si="144">$AO$3</f>
        <v>327.78949950303326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6.5280526404110129</v>
      </c>
      <c r="AV133" s="23">
        <f>EXP(-LN(2)/25)*AV132+(1-EXP(-LN(2)/25))/(LN(2)/25)*Calculateur!AQ133*Calculateur!AS133*VLOOKUP('Données projet'!$B$10,Paramètres!$A$1:$I$89,3,0)*0.475*44/12</f>
        <v>0.40749415870217148</v>
      </c>
      <c r="AW133" s="23">
        <f>EXP(-LN(2)/2)*AW132+(1-EXP(-LN(2)/2))/(LN(2)/2)*AQ133*AT133*VLOOKUP('Données projet'!$B$10,Paramètres!$A$1:$I$89,3,0)*0.475*44/12</f>
        <v>6.3476847024816949E-17</v>
      </c>
      <c r="AX133" s="23">
        <f t="shared" si="114"/>
        <v>6.9355467991131841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30</v>
      </c>
      <c r="O134" s="14">
        <f>N134*VLOOKUP('Données projet'!$B$9,Paramètres!$A$1:$I$89,3,0)*VLOOKUP('Données projet'!$B$9,Paramètres!$A$1:$I$89,5,0)</f>
        <v>14.5548</v>
      </c>
      <c r="P134" s="14">
        <f t="shared" si="141"/>
        <v>4.9111633609399075</v>
      </c>
      <c r="Q134" s="22">
        <f t="shared" si="108"/>
        <v>33.903219520303679</v>
      </c>
      <c r="R134" s="62">
        <f t="shared" si="109"/>
        <v>327.23655285363702</v>
      </c>
      <c r="S134" s="62">
        <f ca="1">AVERAGE(OFFSET($R$3,0,0,'Données projet'!$E$9+1,1))-AVERAGE(OFFSET($H$3,0,0,'Données projet'!$E$9+1,1))</f>
        <v>65.585138535467195</v>
      </c>
      <c r="T134" s="62">
        <f t="shared" si="142"/>
        <v>292.56159092613944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5.6545821294426588</v>
      </c>
      <c r="AA134" s="23">
        <f>EXP(-LN(2)/25)*AA133+(1-EXP(-LN(2)/25))/(LN(2)/25)*Calculateur!V134*Calculateur!X134*VLOOKUP('Données projet'!$B$9,Paramètres!$A$1:$I$89,3,0)*0.475*44/12</f>
        <v>0.35018530157817745</v>
      </c>
      <c r="AB134" s="23">
        <f>EXP(-LN(2)/2)*AB133+(1-EXP(-LN(2)/2))/(LN(2)/2)*V134*Y134*VLOOKUP('Données projet'!$B$9,Paramètres!$A$1:$I$89,3,0)*0.475*44/12</f>
        <v>3.965683719503474E-17</v>
      </c>
      <c r="AC134" s="24">
        <f t="shared" si="111"/>
        <v>6.0047674310208361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30</v>
      </c>
      <c r="AJ134" s="14">
        <f>AI134*VLOOKUP('Données projet'!$B$10,Paramètres!$A$1:$I$89,3,0)*VLOOKUP('Données projet'!$B$10,Paramètres!$A$1:$I$89,5,0)</f>
        <v>16.473599999999998</v>
      </c>
      <c r="AK134" s="14">
        <f t="shared" si="143"/>
        <v>5.479064311766531</v>
      </c>
      <c r="AL134" s="22">
        <f t="shared" si="112"/>
        <v>38.2342236763267</v>
      </c>
      <c r="AM134" s="62">
        <f t="shared" si="113"/>
        <v>331.56755700965999</v>
      </c>
      <c r="AN134" s="62">
        <f ca="1">AVERAGE(OFFSET($AM$3,0,0,'Données projet'!$E$10+1,1))-AVERAGE(OFFSET($H$3,0,0,'Données projet'!$E$10+1,1))</f>
        <v>72.817281731857122</v>
      </c>
      <c r="AO134" s="62">
        <f t="shared" si="144"/>
        <v>327.78949950303326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6.4000415098515013</v>
      </c>
      <c r="AV134" s="23">
        <f>EXP(-LN(2)/25)*AV133+(1-EXP(-LN(2)/25))/(LN(2)/25)*Calculateur!AQ134*Calculateur!AS134*VLOOKUP('Données projet'!$B$10,Paramètres!$A$1:$I$89,3,0)*0.475*44/12</f>
        <v>0.39635120950327413</v>
      </c>
      <c r="AW134" s="23">
        <f>EXP(-LN(2)/2)*AW133+(1-EXP(-LN(2)/2))/(LN(2)/2)*AQ134*AT134*VLOOKUP('Données projet'!$B$10,Paramètres!$A$1:$I$89,3,0)*0.475*44/12</f>
        <v>4.4884908979589189E-17</v>
      </c>
      <c r="AX134" s="23">
        <f t="shared" si="114"/>
        <v>6.7963927193547757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30</v>
      </c>
      <c r="O135" s="14">
        <f>N135*VLOOKUP('Données projet'!$B$9,Paramètres!$A$1:$I$89,3,0)*VLOOKUP('Données projet'!$B$9,Paramètres!$A$1:$I$89,5,0)</f>
        <v>14.5548</v>
      </c>
      <c r="P135" s="14">
        <f t="shared" si="141"/>
        <v>4.9111633609399075</v>
      </c>
      <c r="Q135" s="22">
        <f t="shared" si="108"/>
        <v>33.903219520303679</v>
      </c>
      <c r="R135" s="62">
        <f t="shared" si="109"/>
        <v>327.23655285363702</v>
      </c>
      <c r="S135" s="62">
        <f ca="1">AVERAGE(OFFSET($R$3,0,0,'Données projet'!$E$9+1,1))-AVERAGE(OFFSET($H$3,0,0,'Données projet'!$E$9+1,1))</f>
        <v>65.585138535467195</v>
      </c>
      <c r="T135" s="62">
        <f t="shared" si="142"/>
        <v>292.56159092613944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5.5436992228388311</v>
      </c>
      <c r="AA135" s="23">
        <f>EXP(-LN(2)/25)*AA134+(1-EXP(-LN(2)/25))/(LN(2)/25)*Calculateur!V135*Calculateur!X135*VLOOKUP('Données projet'!$B$9,Paramètres!$A$1:$I$89,3,0)*0.475*44/12</f>
        <v>0.34060946609107756</v>
      </c>
      <c r="AB135" s="23">
        <f>EXP(-LN(2)/2)*AB134+(1-EXP(-LN(2)/2))/(LN(2)/2)*V135*Y135*VLOOKUP('Données projet'!$B$9,Paramètres!$A$1:$I$89,3,0)*0.475*44/12</f>
        <v>2.8041618501019968E-17</v>
      </c>
      <c r="AC135" s="24">
        <f t="shared" si="111"/>
        <v>5.8843086889299085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30</v>
      </c>
      <c r="AJ135" s="14">
        <f>AI135*VLOOKUP('Données projet'!$B$10,Paramètres!$A$1:$I$89,3,0)*VLOOKUP('Données projet'!$B$10,Paramètres!$A$1:$I$89,5,0)</f>
        <v>16.473599999999998</v>
      </c>
      <c r="AK135" s="14">
        <f t="shared" si="143"/>
        <v>5.479064311766531</v>
      </c>
      <c r="AL135" s="22">
        <f t="shared" si="112"/>
        <v>38.2342236763267</v>
      </c>
      <c r="AM135" s="62">
        <f t="shared" si="113"/>
        <v>331.56755700965999</v>
      </c>
      <c r="AN135" s="62">
        <f ca="1">AVERAGE(OFFSET($AM$3,0,0,'Données projet'!$E$10+1,1))-AVERAGE(OFFSET($H$3,0,0,'Données projet'!$E$10+1,1))</f>
        <v>72.817281731857122</v>
      </c>
      <c r="AO135" s="62">
        <f t="shared" si="144"/>
        <v>327.78949950303326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6.2745405994831822</v>
      </c>
      <c r="AV135" s="23">
        <f>EXP(-LN(2)/25)*AV134+(1-EXP(-LN(2)/25))/(LN(2)/25)*Calculateur!AQ135*Calculateur!AS135*VLOOKUP('Données projet'!$B$10,Paramètres!$A$1:$I$89,3,0)*0.475*44/12</f>
        <v>0.38551296483620284</v>
      </c>
      <c r="AW135" s="23">
        <f>EXP(-LN(2)/2)*AW134+(1-EXP(-LN(2)/2))/(LN(2)/2)*AQ135*AT135*VLOOKUP('Données projet'!$B$10,Paramètres!$A$1:$I$89,3,0)*0.475*44/12</f>
        <v>3.1738423512408475E-17</v>
      </c>
      <c r="AX135" s="23">
        <f t="shared" si="114"/>
        <v>6.6600535643193854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30</v>
      </c>
      <c r="O136" s="14">
        <f>N136*VLOOKUP('Données projet'!$B$9,Paramètres!$A$1:$I$89,3,0)*VLOOKUP('Données projet'!$B$9,Paramètres!$A$1:$I$89,5,0)</f>
        <v>14.5548</v>
      </c>
      <c r="P136" s="14">
        <f t="shared" si="141"/>
        <v>4.9111633609399075</v>
      </c>
      <c r="Q136" s="22">
        <f t="shared" si="108"/>
        <v>33.903219520303679</v>
      </c>
      <c r="R136" s="62">
        <f t="shared" si="109"/>
        <v>327.23655285363702</v>
      </c>
      <c r="S136" s="62">
        <f ca="1">AVERAGE(OFFSET($R$3,0,0,'Données projet'!$E$9+1,1))-AVERAGE(OFFSET($H$3,0,0,'Données projet'!$E$9+1,1))</f>
        <v>65.585138535467195</v>
      </c>
      <c r="T136" s="62">
        <f t="shared" si="142"/>
        <v>292.56159092613944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5.43499066240161</v>
      </c>
      <c r="AA136" s="23">
        <f>EXP(-LN(2)/25)*AA135+(1-EXP(-LN(2)/25))/(LN(2)/25)*Calculateur!V136*Calculateur!X136*VLOOKUP('Données projet'!$B$9,Paramètres!$A$1:$I$89,3,0)*0.475*44/12</f>
        <v>0.33129548232894368</v>
      </c>
      <c r="AB136" s="23">
        <f>EXP(-LN(2)/2)*AB135+(1-EXP(-LN(2)/2))/(LN(2)/2)*V136*Y136*VLOOKUP('Données projet'!$B$9,Paramètres!$A$1:$I$89,3,0)*0.475*44/12</f>
        <v>1.982841859751737E-17</v>
      </c>
      <c r="AC136" s="24">
        <f t="shared" si="111"/>
        <v>5.7662861447305538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30</v>
      </c>
      <c r="AJ136" s="14">
        <f>AI136*VLOOKUP('Données projet'!$B$10,Paramètres!$A$1:$I$89,3,0)*VLOOKUP('Données projet'!$B$10,Paramètres!$A$1:$I$89,5,0)</f>
        <v>16.473599999999998</v>
      </c>
      <c r="AK136" s="14">
        <f t="shared" si="143"/>
        <v>5.479064311766531</v>
      </c>
      <c r="AL136" s="22">
        <f t="shared" si="112"/>
        <v>38.2342236763267</v>
      </c>
      <c r="AM136" s="62">
        <f t="shared" si="113"/>
        <v>331.56755700965999</v>
      </c>
      <c r="AN136" s="62">
        <f ca="1">AVERAGE(OFFSET($AM$3,0,0,'Données projet'!$E$10+1,1))-AVERAGE(OFFSET($H$3,0,0,'Données projet'!$E$10+1,1))</f>
        <v>72.817281731857122</v>
      </c>
      <c r="AO136" s="62">
        <f t="shared" si="144"/>
        <v>327.78949950303326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6.1515006854191885</v>
      </c>
      <c r="AV136" s="23">
        <f>EXP(-LN(2)/25)*AV135+(1-EXP(-LN(2)/25))/(LN(2)/25)*Calculateur!AQ136*Calculateur!AS136*VLOOKUP('Données projet'!$B$10,Paramètres!$A$1:$I$89,3,0)*0.475*44/12</f>
        <v>0.37497109253951116</v>
      </c>
      <c r="AW136" s="23">
        <f>EXP(-LN(2)/2)*AW135+(1-EXP(-LN(2)/2))/(LN(2)/2)*AQ136*AT136*VLOOKUP('Données projet'!$B$10,Paramètres!$A$1:$I$89,3,0)*0.475*44/12</f>
        <v>2.2442454489794595E-17</v>
      </c>
      <c r="AX136" s="23">
        <f t="shared" si="114"/>
        <v>6.5264717779587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30</v>
      </c>
      <c r="O137" s="14">
        <f>N137*VLOOKUP('Données projet'!$B$9,Paramètres!$A$1:$I$89,3,0)*VLOOKUP('Données projet'!$B$9,Paramètres!$A$1:$I$89,5,0)</f>
        <v>14.5548</v>
      </c>
      <c r="P137" s="14">
        <f t="shared" si="141"/>
        <v>4.9111633609399075</v>
      </c>
      <c r="Q137" s="22">
        <f t="shared" si="108"/>
        <v>33.903219520303679</v>
      </c>
      <c r="R137" s="62">
        <f t="shared" si="109"/>
        <v>327.23655285363702</v>
      </c>
      <c r="S137" s="62">
        <f ca="1">AVERAGE(OFFSET($R$3,0,0,'Données projet'!$E$9+1,1))-AVERAGE(OFFSET($H$3,0,0,'Données projet'!$E$9+1,1))</f>
        <v>65.585138535467195</v>
      </c>
      <c r="T137" s="62">
        <f t="shared" si="142"/>
        <v>292.56159092613944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5.3284138105288879</v>
      </c>
      <c r="AA137" s="23">
        <f>EXP(-LN(2)/25)*AA136+(1-EXP(-LN(2)/25))/(LN(2)/25)*Calculateur!V137*Calculateur!X137*VLOOKUP('Données projet'!$B$9,Paramètres!$A$1:$I$89,3,0)*0.475*44/12</f>
        <v>0.32223618994258646</v>
      </c>
      <c r="AB137" s="23">
        <f>EXP(-LN(2)/2)*AB136+(1-EXP(-LN(2)/2))/(LN(2)/2)*V137*Y137*VLOOKUP('Données projet'!$B$9,Paramètres!$A$1:$I$89,3,0)*0.475*44/12</f>
        <v>1.4020809250509984E-17</v>
      </c>
      <c r="AC137" s="24">
        <f t="shared" si="111"/>
        <v>5.6506500004714741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30</v>
      </c>
      <c r="AJ137" s="14">
        <f>AI137*VLOOKUP('Données projet'!$B$10,Paramètres!$A$1:$I$89,3,0)*VLOOKUP('Données projet'!$B$10,Paramètres!$A$1:$I$89,5,0)</f>
        <v>16.473599999999998</v>
      </c>
      <c r="AK137" s="14">
        <f t="shared" si="143"/>
        <v>5.479064311766531</v>
      </c>
      <c r="AL137" s="22">
        <f t="shared" si="112"/>
        <v>38.2342236763267</v>
      </c>
      <c r="AM137" s="62">
        <f t="shared" si="113"/>
        <v>331.56755700965999</v>
      </c>
      <c r="AN137" s="62">
        <f ca="1">AVERAGE(OFFSET($AM$3,0,0,'Données projet'!$E$10+1,1))-AVERAGE(OFFSET($H$3,0,0,'Données projet'!$E$10+1,1))</f>
        <v>72.817281731857122</v>
      </c>
      <c r="AO137" s="62">
        <f t="shared" si="144"/>
        <v>327.78949950303326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6.0308735090230527</v>
      </c>
      <c r="AV137" s="23">
        <f>EXP(-LN(2)/25)*AV136+(1-EXP(-LN(2)/25))/(LN(2)/25)*Calculateur!AQ137*Calculateur!AS137*VLOOKUP('Données projet'!$B$10,Paramètres!$A$1:$I$89,3,0)*0.475*44/12</f>
        <v>0.3647174882951455</v>
      </c>
      <c r="AW137" s="23">
        <f>EXP(-LN(2)/2)*AW136+(1-EXP(-LN(2)/2))/(LN(2)/2)*AQ137*AT137*VLOOKUP('Données projet'!$B$10,Paramètres!$A$1:$I$89,3,0)*0.475*44/12</f>
        <v>1.5869211756204237E-17</v>
      </c>
      <c r="AX137" s="23">
        <f t="shared" si="114"/>
        <v>6.3955909973181981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30</v>
      </c>
      <c r="O138" s="14">
        <f>N138*VLOOKUP('Données projet'!$B$9,Paramètres!$A$1:$I$89,3,0)*VLOOKUP('Données projet'!$B$9,Paramètres!$A$1:$I$89,5,0)</f>
        <v>14.5548</v>
      </c>
      <c r="P138" s="14">
        <f t="shared" si="141"/>
        <v>4.9111633609399075</v>
      </c>
      <c r="Q138" s="22">
        <f t="shared" si="108"/>
        <v>33.903219520303679</v>
      </c>
      <c r="R138" s="62">
        <f t="shared" si="109"/>
        <v>327.23655285363702</v>
      </c>
      <c r="S138" s="62">
        <f ca="1">AVERAGE(OFFSET($R$3,0,0,'Données projet'!$E$9+1,1))-AVERAGE(OFFSET($H$3,0,0,'Données projet'!$E$9+1,1))</f>
        <v>65.585138535467195</v>
      </c>
      <c r="T138" s="62">
        <f t="shared" si="142"/>
        <v>292.56159092613944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5.2239268657159288</v>
      </c>
      <c r="AA138" s="23">
        <f>EXP(-LN(2)/25)*AA137+(1-EXP(-LN(2)/25))/(LN(2)/25)*Calculateur!V138*Calculateur!X138*VLOOKUP('Données projet'!$B$9,Paramètres!$A$1:$I$89,3,0)*0.475*44/12</f>
        <v>0.31342462438294166</v>
      </c>
      <c r="AB138" s="23">
        <f>EXP(-LN(2)/2)*AB137+(1-EXP(-LN(2)/2))/(LN(2)/2)*V138*Y138*VLOOKUP('Données projet'!$B$9,Paramètres!$A$1:$I$89,3,0)*0.475*44/12</f>
        <v>9.9142092987586849E-18</v>
      </c>
      <c r="AC138" s="24">
        <f t="shared" si="111"/>
        <v>5.5373514900988701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30</v>
      </c>
      <c r="AJ138" s="14">
        <f>AI138*VLOOKUP('Données projet'!$B$10,Paramètres!$A$1:$I$89,3,0)*VLOOKUP('Données projet'!$B$10,Paramètres!$A$1:$I$89,5,0)</f>
        <v>16.473599999999998</v>
      </c>
      <c r="AK138" s="14">
        <f t="shared" si="143"/>
        <v>5.479064311766531</v>
      </c>
      <c r="AL138" s="22">
        <f t="shared" si="112"/>
        <v>38.2342236763267</v>
      </c>
      <c r="AM138" s="62">
        <f t="shared" si="113"/>
        <v>331.56755700965999</v>
      </c>
      <c r="AN138" s="62">
        <f ca="1">AVERAGE(OFFSET($AM$3,0,0,'Données projet'!$E$10+1,1))-AVERAGE(OFFSET($H$3,0,0,'Données projet'!$E$10+1,1))</f>
        <v>72.817281731857122</v>
      </c>
      <c r="AO138" s="62">
        <f t="shared" si="144"/>
        <v>327.78949950303326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5.9126117579807325</v>
      </c>
      <c r="AV138" s="23">
        <f>EXP(-LN(2)/25)*AV137+(1-EXP(-LN(2)/25))/(LN(2)/25)*Calculateur!AQ138*Calculateur!AS138*VLOOKUP('Données projet'!$B$10,Paramètres!$A$1:$I$89,3,0)*0.475*44/12</f>
        <v>0.35474426939805559</v>
      </c>
      <c r="AW138" s="23">
        <f>EXP(-LN(2)/2)*AW137+(1-EXP(-LN(2)/2))/(LN(2)/2)*AQ138*AT138*VLOOKUP('Données projet'!$B$10,Paramètres!$A$1:$I$89,3,0)*0.475*44/12</f>
        <v>1.1221227244897297E-17</v>
      </c>
      <c r="AX138" s="23">
        <f t="shared" si="114"/>
        <v>6.2673560273787885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30</v>
      </c>
      <c r="O139" s="14">
        <f>N139*VLOOKUP('Données projet'!$B$9,Paramètres!$A$1:$I$89,3,0)*VLOOKUP('Données projet'!$B$9,Paramètres!$A$1:$I$89,5,0)</f>
        <v>14.5548</v>
      </c>
      <c r="P139" s="14">
        <f t="shared" si="141"/>
        <v>4.9111633609399075</v>
      </c>
      <c r="Q139" s="22">
        <f t="shared" si="108"/>
        <v>33.903219520303679</v>
      </c>
      <c r="R139" s="62">
        <f t="shared" si="109"/>
        <v>327.23655285363702</v>
      </c>
      <c r="S139" s="62">
        <f ca="1">AVERAGE(OFFSET($R$3,0,0,'Données projet'!$E$9+1,1))-AVERAGE(OFFSET($H$3,0,0,'Données projet'!$E$9+1,1))</f>
        <v>65.585138535467195</v>
      </c>
      <c r="T139" s="62">
        <f t="shared" si="142"/>
        <v>292.56159092613944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5.1214888461600081</v>
      </c>
      <c r="AA139" s="23">
        <f>EXP(-LN(2)/25)*AA138+(1-EXP(-LN(2)/25))/(LN(2)/25)*Calculateur!V139*Calculateur!X139*VLOOKUP('Données projet'!$B$9,Paramètres!$A$1:$I$89,3,0)*0.475*44/12</f>
        <v>0.30485401154690545</v>
      </c>
      <c r="AB139" s="23">
        <f>EXP(-LN(2)/2)*AB138+(1-EXP(-LN(2)/2))/(LN(2)/2)*V139*Y139*VLOOKUP('Données projet'!$B$9,Paramètres!$A$1:$I$89,3,0)*0.475*44/12</f>
        <v>7.0104046252549919E-18</v>
      </c>
      <c r="AC139" s="24">
        <f t="shared" si="111"/>
        <v>5.4263428577069135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30</v>
      </c>
      <c r="AJ139" s="14">
        <f>AI139*VLOOKUP('Données projet'!$B$10,Paramètres!$A$1:$I$89,3,0)*VLOOKUP('Données projet'!$B$10,Paramètres!$A$1:$I$89,5,0)</f>
        <v>16.473599999999998</v>
      </c>
      <c r="AK139" s="14">
        <f t="shared" si="143"/>
        <v>5.479064311766531</v>
      </c>
      <c r="AL139" s="22">
        <f t="shared" si="112"/>
        <v>38.2342236763267</v>
      </c>
      <c r="AM139" s="62">
        <f t="shared" si="113"/>
        <v>331.56755700965999</v>
      </c>
      <c r="AN139" s="62">
        <f ca="1">AVERAGE(OFFSET($AM$3,0,0,'Données projet'!$E$10+1,1))-AVERAGE(OFFSET($H$3,0,0,'Données projet'!$E$10+1,1))</f>
        <v>72.817281731857122</v>
      </c>
      <c r="AO139" s="62">
        <f t="shared" si="144"/>
        <v>327.78949950303326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5.7966690477438068</v>
      </c>
      <c r="AV139" s="23">
        <f>EXP(-LN(2)/25)*AV138+(1-EXP(-LN(2)/25))/(LN(2)/25)*Calculateur!AQ139*Calculateur!AS139*VLOOKUP('Données projet'!$B$10,Paramètres!$A$1:$I$89,3,0)*0.475*44/12</f>
        <v>0.34504376869617542</v>
      </c>
      <c r="AW139" s="23">
        <f>EXP(-LN(2)/2)*AW138+(1-EXP(-LN(2)/2))/(LN(2)/2)*AQ139*AT139*VLOOKUP('Données projet'!$B$10,Paramètres!$A$1:$I$89,3,0)*0.475*44/12</f>
        <v>7.9346058781021186E-18</v>
      </c>
      <c r="AX139" s="23">
        <f t="shared" si="114"/>
        <v>6.1417128164399823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30</v>
      </c>
      <c r="O140" s="14">
        <f>N140*VLOOKUP('Données projet'!$B$9,Paramètres!$A$1:$I$89,3,0)*VLOOKUP('Données projet'!$B$9,Paramètres!$A$1:$I$89,5,0)</f>
        <v>14.5548</v>
      </c>
      <c r="P140" s="14">
        <f t="shared" si="141"/>
        <v>4.9111633609399075</v>
      </c>
      <c r="Q140" s="22">
        <f t="shared" si="108"/>
        <v>33.903219520303679</v>
      </c>
      <c r="R140" s="62">
        <f t="shared" si="109"/>
        <v>327.23655285363702</v>
      </c>
      <c r="S140" s="62">
        <f ca="1">AVERAGE(OFFSET($R$3,0,0,'Données projet'!$E$9+1,1))-AVERAGE(OFFSET($H$3,0,0,'Données projet'!$E$9+1,1))</f>
        <v>65.585138535467195</v>
      </c>
      <c r="T140" s="62">
        <f t="shared" si="142"/>
        <v>292.56159092613944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5.0210595736865571</v>
      </c>
      <c r="AA140" s="23">
        <f>EXP(-LN(2)/25)*AA139+(1-EXP(-LN(2)/25))/(LN(2)/25)*Calculateur!V140*Calculateur!X140*VLOOKUP('Données projet'!$B$9,Paramètres!$A$1:$I$89,3,0)*0.475*44/12</f>
        <v>0.29651776256957962</v>
      </c>
      <c r="AB140" s="23">
        <f>EXP(-LN(2)/2)*AB139+(1-EXP(-LN(2)/2))/(LN(2)/2)*V140*Y140*VLOOKUP('Données projet'!$B$9,Paramètres!$A$1:$I$89,3,0)*0.475*44/12</f>
        <v>4.9571046493793425E-18</v>
      </c>
      <c r="AC140" s="24">
        <f t="shared" si="111"/>
        <v>5.3175773362561367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30</v>
      </c>
      <c r="AJ140" s="14">
        <f>AI140*VLOOKUP('Données projet'!$B$10,Paramètres!$A$1:$I$89,3,0)*VLOOKUP('Données projet'!$B$10,Paramètres!$A$1:$I$89,5,0)</f>
        <v>16.473599999999998</v>
      </c>
      <c r="AK140" s="14">
        <f t="shared" si="143"/>
        <v>5.479064311766531</v>
      </c>
      <c r="AL140" s="22">
        <f t="shared" si="112"/>
        <v>38.2342236763267</v>
      </c>
      <c r="AM140" s="62">
        <f t="shared" si="113"/>
        <v>331.56755700965999</v>
      </c>
      <c r="AN140" s="62">
        <f ca="1">AVERAGE(OFFSET($AM$3,0,0,'Données projet'!$E$10+1,1))-AVERAGE(OFFSET($H$3,0,0,'Données projet'!$E$10+1,1))</f>
        <v>72.817281731857122</v>
      </c>
      <c r="AO140" s="62">
        <f t="shared" si="144"/>
        <v>327.78949950303326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5.6829999033365564</v>
      </c>
      <c r="AV140" s="23">
        <f>EXP(-LN(2)/25)*AV139+(1-EXP(-LN(2)/25))/(LN(2)/25)*Calculateur!AQ140*Calculateur!AS140*VLOOKUP('Données projet'!$B$10,Paramètres!$A$1:$I$89,3,0)*0.475*44/12</f>
        <v>0.33560852869611529</v>
      </c>
      <c r="AW140" s="23">
        <f>EXP(-LN(2)/2)*AW139+(1-EXP(-LN(2)/2))/(LN(2)/2)*AQ140*AT140*VLOOKUP('Données projet'!$B$10,Paramètres!$A$1:$I$89,3,0)*0.475*44/12</f>
        <v>5.6106136224486487E-18</v>
      </c>
      <c r="AX140" s="23">
        <f t="shared" si="114"/>
        <v>6.0186084320326714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30</v>
      </c>
      <c r="O141" s="14">
        <f>N141*VLOOKUP('Données projet'!$B$9,Paramètres!$A$1:$I$89,3,0)*VLOOKUP('Données projet'!$B$9,Paramètres!$A$1:$I$89,5,0)</f>
        <v>14.5548</v>
      </c>
      <c r="P141" s="14">
        <f t="shared" si="141"/>
        <v>4.9111633609399075</v>
      </c>
      <c r="Q141" s="22">
        <f t="shared" si="108"/>
        <v>33.903219520303679</v>
      </c>
      <c r="R141" s="62">
        <f t="shared" si="109"/>
        <v>327.23655285363702</v>
      </c>
      <c r="S141" s="62">
        <f ca="1">AVERAGE(OFFSET($R$3,0,0,'Données projet'!$E$9+1,1))-AVERAGE(OFFSET($H$3,0,0,'Données projet'!$E$9+1,1))</f>
        <v>65.585138535467195</v>
      </c>
      <c r="T141" s="62">
        <f t="shared" si="142"/>
        <v>292.56159092613944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4.9225996579905029</v>
      </c>
      <c r="AA141" s="23">
        <f>EXP(-LN(2)/25)*AA140+(1-EXP(-LN(2)/25))/(LN(2)/25)*Calculateur!V141*Calculateur!X141*VLOOKUP('Données projet'!$B$9,Paramètres!$A$1:$I$89,3,0)*0.475*44/12</f>
        <v>0.28840946875892304</v>
      </c>
      <c r="AB141" s="23">
        <f>EXP(-LN(2)/2)*AB140+(1-EXP(-LN(2)/2))/(LN(2)/2)*V141*Y141*VLOOKUP('Données projet'!$B$9,Paramètres!$A$1:$I$89,3,0)*0.475*44/12</f>
        <v>3.505202312627496E-18</v>
      </c>
      <c r="AC141" s="24">
        <f t="shared" si="111"/>
        <v>5.2110091267494258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30</v>
      </c>
      <c r="AJ141" s="14">
        <f>AI141*VLOOKUP('Données projet'!$B$10,Paramètres!$A$1:$I$89,3,0)*VLOOKUP('Données projet'!$B$10,Paramètres!$A$1:$I$89,5,0)</f>
        <v>16.473599999999998</v>
      </c>
      <c r="AK141" s="14">
        <f t="shared" si="143"/>
        <v>5.479064311766531</v>
      </c>
      <c r="AL141" s="22">
        <f t="shared" si="112"/>
        <v>38.2342236763267</v>
      </c>
      <c r="AM141" s="62">
        <f t="shared" si="113"/>
        <v>331.56755700965999</v>
      </c>
      <c r="AN141" s="62">
        <f ca="1">AVERAGE(OFFSET($AM$3,0,0,'Données projet'!$E$10+1,1))-AVERAGE(OFFSET($H$3,0,0,'Données projet'!$E$10+1,1))</f>
        <v>72.817281731857122</v>
      </c>
      <c r="AO141" s="62">
        <f t="shared" si="144"/>
        <v>327.78949950303326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5.5715597415197999</v>
      </c>
      <c r="AV141" s="23">
        <f>EXP(-LN(2)/25)*AV140+(1-EXP(-LN(2)/25))/(LN(2)/25)*Calculateur!AQ141*Calculateur!AS141*VLOOKUP('Données projet'!$B$10,Paramètres!$A$1:$I$89,3,0)*0.475*44/12</f>
        <v>0.32643129583003455</v>
      </c>
      <c r="AW141" s="23">
        <f>EXP(-LN(2)/2)*AW140+(1-EXP(-LN(2)/2))/(LN(2)/2)*AQ141*AT141*VLOOKUP('Données projet'!$B$10,Paramètres!$A$1:$I$89,3,0)*0.475*44/12</f>
        <v>3.9673029390510593E-18</v>
      </c>
      <c r="AX141" s="23">
        <f t="shared" si="114"/>
        <v>5.8979910373498345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30</v>
      </c>
      <c r="O142" s="14">
        <f>N142*VLOOKUP('Données projet'!$B$9,Paramètres!$A$1:$I$89,3,0)*VLOOKUP('Données projet'!$B$9,Paramètres!$A$1:$I$89,5,0)</f>
        <v>14.5548</v>
      </c>
      <c r="P142" s="14">
        <f t="shared" si="141"/>
        <v>4.9111633609399075</v>
      </c>
      <c r="Q142" s="22">
        <f t="shared" si="108"/>
        <v>33.903219520303679</v>
      </c>
      <c r="R142" s="62">
        <f t="shared" si="109"/>
        <v>327.23655285363702</v>
      </c>
      <c r="S142" s="62">
        <f ca="1">AVERAGE(OFFSET($R$3,0,0,'Données projet'!$E$9+1,1))-AVERAGE(OFFSET($H$3,0,0,'Données projet'!$E$9+1,1))</f>
        <v>65.585138535467195</v>
      </c>
      <c r="T142" s="62">
        <f t="shared" si="142"/>
        <v>292.56159092613944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4.8260704811866297</v>
      </c>
      <c r="AA142" s="23">
        <f>EXP(-LN(2)/25)*AA141+(1-EXP(-LN(2)/25))/(LN(2)/25)*Calculateur!V142*Calculateur!X142*VLOOKUP('Données projet'!$B$9,Paramètres!$A$1:$I$89,3,0)*0.475*44/12</f>
        <v>0.2805228966689155</v>
      </c>
      <c r="AB142" s="23">
        <f>EXP(-LN(2)/2)*AB141+(1-EXP(-LN(2)/2))/(LN(2)/2)*V142*Y142*VLOOKUP('Données projet'!$B$9,Paramètres!$A$1:$I$89,3,0)*0.475*44/12</f>
        <v>2.4785523246896712E-18</v>
      </c>
      <c r="AC142" s="24">
        <f t="shared" si="111"/>
        <v>5.1065933778555452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30</v>
      </c>
      <c r="AJ142" s="14">
        <f>AI142*VLOOKUP('Données projet'!$B$10,Paramètres!$A$1:$I$89,3,0)*VLOOKUP('Données projet'!$B$10,Paramètres!$A$1:$I$89,5,0)</f>
        <v>16.473599999999998</v>
      </c>
      <c r="AK142" s="14">
        <f t="shared" si="143"/>
        <v>5.479064311766531</v>
      </c>
      <c r="AL142" s="22">
        <f t="shared" si="112"/>
        <v>38.2342236763267</v>
      </c>
      <c r="AM142" s="62">
        <f t="shared" si="113"/>
        <v>331.56755700965999</v>
      </c>
      <c r="AN142" s="62">
        <f ca="1">AVERAGE(OFFSET($AM$3,0,0,'Données projet'!$E$10+1,1))-AVERAGE(OFFSET($H$3,0,0,'Données projet'!$E$10+1,1))</f>
        <v>72.817281731857122</v>
      </c>
      <c r="AO142" s="62">
        <f t="shared" si="144"/>
        <v>327.78949950303326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5.4623048533044836</v>
      </c>
      <c r="AV142" s="23">
        <f>EXP(-LN(2)/25)*AV141+(1-EXP(-LN(2)/25))/(LN(2)/25)*Calculateur!AQ142*Calculateur!AS142*VLOOKUP('Données projet'!$B$10,Paramètres!$A$1:$I$89,3,0)*0.475*44/12</f>
        <v>0.31750501487928645</v>
      </c>
      <c r="AW142" s="23">
        <f>EXP(-LN(2)/2)*AW141+(1-EXP(-LN(2)/2))/(LN(2)/2)*AQ142*AT142*VLOOKUP('Données projet'!$B$10,Paramètres!$A$1:$I$89,3,0)*0.475*44/12</f>
        <v>2.8053068112243243E-18</v>
      </c>
      <c r="AX142" s="23">
        <f t="shared" si="114"/>
        <v>5.7798098681837704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30</v>
      </c>
      <c r="O143" s="14">
        <f>N143*VLOOKUP('Données projet'!$B$9,Paramètres!$A$1:$I$89,3,0)*VLOOKUP('Données projet'!$B$9,Paramètres!$A$1:$I$89,5,0)</f>
        <v>14.5548</v>
      </c>
      <c r="P143" s="14">
        <f t="shared" si="141"/>
        <v>4.9111633609399075</v>
      </c>
      <c r="Q143" s="22">
        <f t="shared" si="108"/>
        <v>33.903219520303679</v>
      </c>
      <c r="R143" s="62">
        <f t="shared" si="109"/>
        <v>327.23655285363702</v>
      </c>
      <c r="S143" s="62">
        <f ca="1">AVERAGE(OFFSET($R$3,0,0,'Données projet'!$E$9+1,1))-AVERAGE(OFFSET($H$3,0,0,'Données projet'!$E$9+1,1))</f>
        <v>65.585138535467195</v>
      </c>
      <c r="T143" s="62">
        <f t="shared" si="142"/>
        <v>292.56159092613944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4.7314341826628956</v>
      </c>
      <c r="AA143" s="23">
        <f>EXP(-LN(2)/25)*AA142+(1-EXP(-LN(2)/25))/(LN(2)/25)*Calculateur!V143*Calculateur!X143*VLOOKUP('Données projet'!$B$9,Paramètres!$A$1:$I$89,3,0)*0.475*44/12</f>
        <v>0.27285198330744603</v>
      </c>
      <c r="AB143" s="23">
        <f>EXP(-LN(2)/2)*AB142+(1-EXP(-LN(2)/2))/(LN(2)/2)*V143*Y143*VLOOKUP('Données projet'!$B$9,Paramètres!$A$1:$I$89,3,0)*0.475*44/12</f>
        <v>1.752601156313748E-18</v>
      </c>
      <c r="AC143" s="24">
        <f t="shared" si="111"/>
        <v>5.0042861659703419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30</v>
      </c>
      <c r="AJ143" s="14">
        <f>AI143*VLOOKUP('Données projet'!$B$10,Paramètres!$A$1:$I$89,3,0)*VLOOKUP('Données projet'!$B$10,Paramètres!$A$1:$I$89,5,0)</f>
        <v>16.473599999999998</v>
      </c>
      <c r="AK143" s="14">
        <f t="shared" si="143"/>
        <v>5.479064311766531</v>
      </c>
      <c r="AL143" s="22">
        <f t="shared" si="112"/>
        <v>38.2342236763267</v>
      </c>
      <c r="AM143" s="62">
        <f t="shared" si="113"/>
        <v>331.56755700965999</v>
      </c>
      <c r="AN143" s="62">
        <f ca="1">AVERAGE(OFFSET($AM$3,0,0,'Données projet'!$E$10+1,1))-AVERAGE(OFFSET($H$3,0,0,'Données projet'!$E$10+1,1))</f>
        <v>72.817281731857122</v>
      </c>
      <c r="AO143" s="62">
        <f t="shared" si="144"/>
        <v>327.78949950303326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5.3551923868081674</v>
      </c>
      <c r="AV143" s="23">
        <f>EXP(-LN(2)/25)*AV142+(1-EXP(-LN(2)/25))/(LN(2)/25)*Calculateur!AQ143*Calculateur!AS143*VLOOKUP('Données projet'!$B$10,Paramètres!$A$1:$I$89,3,0)*0.475*44/12</f>
        <v>0.3088228235505493</v>
      </c>
      <c r="AW143" s="23">
        <f>EXP(-LN(2)/2)*AW142+(1-EXP(-LN(2)/2))/(LN(2)/2)*AQ143*AT143*VLOOKUP('Données projet'!$B$10,Paramètres!$A$1:$I$89,3,0)*0.475*44/12</f>
        <v>1.9836514695255297E-18</v>
      </c>
      <c r="AX143" s="23">
        <f t="shared" si="114"/>
        <v>5.6640152103587171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30</v>
      </c>
      <c r="O144" s="14">
        <f>N144*VLOOKUP('Données projet'!$B$9,Paramètres!$A$1:$I$89,3,0)*VLOOKUP('Données projet'!$B$9,Paramètres!$A$1:$I$89,5,0)</f>
        <v>14.5548</v>
      </c>
      <c r="P144" s="14">
        <f t="shared" si="141"/>
        <v>4.9111633609399075</v>
      </c>
      <c r="Q144" s="22">
        <f t="shared" si="108"/>
        <v>33.903219520303679</v>
      </c>
      <c r="R144" s="62">
        <f t="shared" si="109"/>
        <v>327.23655285363702</v>
      </c>
      <c r="S144" s="62">
        <f ca="1">AVERAGE(OFFSET($R$3,0,0,'Données projet'!$E$9+1,1))-AVERAGE(OFFSET($H$3,0,0,'Données projet'!$E$9+1,1))</f>
        <v>65.585138535467195</v>
      </c>
      <c r="T144" s="62">
        <f t="shared" si="142"/>
        <v>292.56159092613944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4.6386536442307698</v>
      </c>
      <c r="AA144" s="23">
        <f>EXP(-LN(2)/25)*AA143+(1-EXP(-LN(2)/25))/(LN(2)/25)*Calculateur!V144*Calculateur!X144*VLOOKUP('Données projet'!$B$9,Paramètres!$A$1:$I$89,3,0)*0.475*44/12</f>
        <v>0.26539083147524173</v>
      </c>
      <c r="AB144" s="23">
        <f>EXP(-LN(2)/2)*AB143+(1-EXP(-LN(2)/2))/(LN(2)/2)*V144*Y144*VLOOKUP('Données projet'!$B$9,Paramètres!$A$1:$I$89,3,0)*0.475*44/12</f>
        <v>1.2392761623448356E-18</v>
      </c>
      <c r="AC144" s="24">
        <f t="shared" si="111"/>
        <v>4.9040444757060113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30</v>
      </c>
      <c r="AJ144" s="14">
        <f>AI144*VLOOKUP('Données projet'!$B$10,Paramètres!$A$1:$I$89,3,0)*VLOOKUP('Données projet'!$B$10,Paramètres!$A$1:$I$89,5,0)</f>
        <v>16.473599999999998</v>
      </c>
      <c r="AK144" s="14">
        <f t="shared" si="143"/>
        <v>5.479064311766531</v>
      </c>
      <c r="AL144" s="22">
        <f t="shared" si="112"/>
        <v>38.2342236763267</v>
      </c>
      <c r="AM144" s="62">
        <f t="shared" si="113"/>
        <v>331.56755700965999</v>
      </c>
      <c r="AN144" s="62">
        <f ca="1">AVERAGE(OFFSET($AM$3,0,0,'Données projet'!$E$10+1,1))-AVERAGE(OFFSET($H$3,0,0,'Données projet'!$E$10+1,1))</f>
        <v>72.817281731857122</v>
      </c>
      <c r="AO144" s="62">
        <f t="shared" si="144"/>
        <v>327.78949950303326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5.2501803304476908</v>
      </c>
      <c r="AV144" s="23">
        <f>EXP(-LN(2)/25)*AV143+(1-EXP(-LN(2)/25))/(LN(2)/25)*Calculateur!AQ144*Calculateur!AS144*VLOOKUP('Données projet'!$B$10,Paramètres!$A$1:$I$89,3,0)*0.475*44/12</f>
        <v>0.30037804720027306</v>
      </c>
      <c r="AW144" s="23">
        <f>EXP(-LN(2)/2)*AW143+(1-EXP(-LN(2)/2))/(LN(2)/2)*AQ144*AT144*VLOOKUP('Données projet'!$B$10,Paramètres!$A$1:$I$89,3,0)*0.475*44/12</f>
        <v>1.4026534056121622E-18</v>
      </c>
      <c r="AX144" s="23">
        <f t="shared" si="114"/>
        <v>5.5505583776479641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30</v>
      </c>
      <c r="O145" s="14">
        <f>N145*VLOOKUP('Données projet'!$B$9,Paramètres!$A$1:$I$89,3,0)*VLOOKUP('Données projet'!$B$9,Paramètres!$A$1:$I$89,5,0)</f>
        <v>14.5548</v>
      </c>
      <c r="P145" s="14">
        <f t="shared" si="141"/>
        <v>4.9111633609399075</v>
      </c>
      <c r="Q145" s="22">
        <f t="shared" si="108"/>
        <v>33.903219520303679</v>
      </c>
      <c r="R145" s="62">
        <f t="shared" si="109"/>
        <v>327.23655285363702</v>
      </c>
      <c r="S145" s="62">
        <f ca="1">AVERAGE(OFFSET($R$3,0,0,'Données projet'!$E$9+1,1))-AVERAGE(OFFSET($H$3,0,0,'Données projet'!$E$9+1,1))</f>
        <v>65.585138535467195</v>
      </c>
      <c r="T145" s="62">
        <f t="shared" si="142"/>
        <v>292.56159092613944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4.5476924755667572</v>
      </c>
      <c r="AA145" s="23">
        <f>EXP(-LN(2)/25)*AA144+(1-EXP(-LN(2)/25))/(LN(2)/25)*Calculateur!V145*Calculateur!X145*VLOOKUP('Données projet'!$B$9,Paramètres!$A$1:$I$89,3,0)*0.475*44/12</f>
        <v>0.25813370523225398</v>
      </c>
      <c r="AB145" s="23">
        <f>EXP(-LN(2)/2)*AB144+(1-EXP(-LN(2)/2))/(LN(2)/2)*V145*Y145*VLOOKUP('Données projet'!$B$9,Paramètres!$A$1:$I$89,3,0)*0.475*44/12</f>
        <v>8.7630057815687399E-19</v>
      </c>
      <c r="AC145" s="24">
        <f t="shared" si="111"/>
        <v>4.805826180799011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30</v>
      </c>
      <c r="AJ145" s="14">
        <f>AI145*VLOOKUP('Données projet'!$B$10,Paramètres!$A$1:$I$89,3,0)*VLOOKUP('Données projet'!$B$10,Paramètres!$A$1:$I$89,5,0)</f>
        <v>16.473599999999998</v>
      </c>
      <c r="AK145" s="14">
        <f t="shared" si="143"/>
        <v>5.479064311766531</v>
      </c>
      <c r="AL145" s="22">
        <f t="shared" si="112"/>
        <v>38.2342236763267</v>
      </c>
      <c r="AM145" s="62">
        <f t="shared" si="113"/>
        <v>331.56755700965999</v>
      </c>
      <c r="AN145" s="62">
        <f ca="1">AVERAGE(OFFSET($AM$3,0,0,'Données projet'!$E$10+1,1))-AVERAGE(OFFSET($H$3,0,0,'Données projet'!$E$10+1,1))</f>
        <v>72.817281731857122</v>
      </c>
      <c r="AO145" s="62">
        <f t="shared" si="144"/>
        <v>327.78949950303326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5.1472274964614133</v>
      </c>
      <c r="AV145" s="23">
        <f>EXP(-LN(2)/25)*AV144+(1-EXP(-LN(2)/25))/(LN(2)/25)*Calculateur!AQ145*Calculateur!AS145*VLOOKUP('Données projet'!$B$10,Paramètres!$A$1:$I$89,3,0)*0.475*44/12</f>
        <v>0.29216419370338659</v>
      </c>
      <c r="AW145" s="23">
        <f>EXP(-LN(2)/2)*AW144+(1-EXP(-LN(2)/2))/(LN(2)/2)*AQ145*AT145*VLOOKUP('Données projet'!$B$10,Paramètres!$A$1:$I$89,3,0)*0.475*44/12</f>
        <v>9.9182573476276483E-19</v>
      </c>
      <c r="AX145" s="23">
        <f t="shared" si="114"/>
        <v>5.4393916901647996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30</v>
      </c>
      <c r="O146" s="14">
        <f>N146*VLOOKUP('Données projet'!$B$9,Paramètres!$A$1:$I$89,3,0)*VLOOKUP('Données projet'!$B$9,Paramètres!$A$1:$I$89,5,0)</f>
        <v>14.5548</v>
      </c>
      <c r="P146" s="14">
        <f t="shared" si="141"/>
        <v>4.9111633609399075</v>
      </c>
      <c r="Q146" s="22">
        <f t="shared" si="108"/>
        <v>33.903219520303679</v>
      </c>
      <c r="R146" s="62">
        <f t="shared" si="109"/>
        <v>327.23655285363702</v>
      </c>
      <c r="S146" s="62">
        <f ca="1">AVERAGE(OFFSET($R$3,0,0,'Données projet'!$E$9+1,1))-AVERAGE(OFFSET($H$3,0,0,'Données projet'!$E$9+1,1))</f>
        <v>65.585138535467195</v>
      </c>
      <c r="T146" s="62">
        <f t="shared" si="142"/>
        <v>292.56159092613944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4.4585149999394114</v>
      </c>
      <c r="AA146" s="23">
        <f>EXP(-LN(2)/25)*AA145+(1-EXP(-LN(2)/25))/(LN(2)/25)*Calculateur!V146*Calculateur!X146*VLOOKUP('Données projet'!$B$9,Paramètres!$A$1:$I$89,3,0)*0.475*44/12</f>
        <v>0.25107502548801641</v>
      </c>
      <c r="AB146" s="23">
        <f>EXP(-LN(2)/2)*AB145+(1-EXP(-LN(2)/2))/(LN(2)/2)*V146*Y146*VLOOKUP('Données projet'!$B$9,Paramètres!$A$1:$I$89,3,0)*0.475*44/12</f>
        <v>6.1963808117241781E-19</v>
      </c>
      <c r="AC146" s="24">
        <f t="shared" si="111"/>
        <v>4.7095900254274277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30</v>
      </c>
      <c r="AJ146" s="14">
        <f>AI146*VLOOKUP('Données projet'!$B$10,Paramètres!$A$1:$I$89,3,0)*VLOOKUP('Données projet'!$B$10,Paramètres!$A$1:$I$89,5,0)</f>
        <v>16.473599999999998</v>
      </c>
      <c r="AK146" s="14">
        <f t="shared" si="143"/>
        <v>5.479064311766531</v>
      </c>
      <c r="AL146" s="22">
        <f t="shared" si="112"/>
        <v>38.2342236763267</v>
      </c>
      <c r="AM146" s="62">
        <f t="shared" si="113"/>
        <v>331.56755700965999</v>
      </c>
      <c r="AN146" s="62">
        <f ca="1">AVERAGE(OFFSET($AM$3,0,0,'Données projet'!$E$10+1,1))-AVERAGE(OFFSET($H$3,0,0,'Données projet'!$E$10+1,1))</f>
        <v>72.817281731857122</v>
      </c>
      <c r="AO146" s="62">
        <f t="shared" si="144"/>
        <v>327.78949950303326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5.0462935047545781</v>
      </c>
      <c r="AV146" s="23">
        <f>EXP(-LN(2)/25)*AV145+(1-EXP(-LN(2)/25))/(LN(2)/25)*Calculateur!AQ146*Calculateur!AS146*VLOOKUP('Données projet'!$B$10,Paramètres!$A$1:$I$89,3,0)*0.475*44/12</f>
        <v>0.28417494846232028</v>
      </c>
      <c r="AW146" s="23">
        <f>EXP(-LN(2)/2)*AW145+(1-EXP(-LN(2)/2))/(LN(2)/2)*AQ146*AT146*VLOOKUP('Données projet'!$B$10,Paramètres!$A$1:$I$89,3,0)*0.475*44/12</f>
        <v>7.0132670280608109E-19</v>
      </c>
      <c r="AX146" s="23">
        <f t="shared" si="114"/>
        <v>5.3304684532168984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30</v>
      </c>
      <c r="O147" s="14">
        <f>N147*VLOOKUP('Données projet'!$B$9,Paramètres!$A$1:$I$89,3,0)*VLOOKUP('Données projet'!$B$9,Paramètres!$A$1:$I$89,5,0)</f>
        <v>14.5548</v>
      </c>
      <c r="P147" s="14">
        <f t="shared" si="141"/>
        <v>4.9111633609399075</v>
      </c>
      <c r="Q147" s="22">
        <f t="shared" si="108"/>
        <v>33.903219520303679</v>
      </c>
      <c r="R147" s="62">
        <f t="shared" si="109"/>
        <v>327.23655285363702</v>
      </c>
      <c r="S147" s="62">
        <f ca="1">AVERAGE(OFFSET($R$3,0,0,'Données projet'!$E$9+1,1))-AVERAGE(OFFSET($H$3,0,0,'Données projet'!$E$9+1,1))</f>
        <v>65.585138535467195</v>
      </c>
      <c r="T147" s="62">
        <f t="shared" si="142"/>
        <v>292.56159092613944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4.3710862402162283</v>
      </c>
      <c r="AA147" s="23">
        <f>EXP(-LN(2)/25)*AA146+(1-EXP(-LN(2)/25))/(LN(2)/25)*Calculateur!V147*Calculateur!X147*VLOOKUP('Données projet'!$B$9,Paramètres!$A$1:$I$89,3,0)*0.475*44/12</f>
        <v>0.24420936571258486</v>
      </c>
      <c r="AB147" s="23">
        <f>EXP(-LN(2)/2)*AB146+(1-EXP(-LN(2)/2))/(LN(2)/2)*V147*Y147*VLOOKUP('Données projet'!$B$9,Paramètres!$A$1:$I$89,3,0)*0.475*44/12</f>
        <v>4.3815028907843699E-19</v>
      </c>
      <c r="AC147" s="24">
        <f t="shared" si="111"/>
        <v>4.6152956059288135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30</v>
      </c>
      <c r="AJ147" s="14">
        <f>AI147*VLOOKUP('Données projet'!$B$10,Paramètres!$A$1:$I$89,3,0)*VLOOKUP('Données projet'!$B$10,Paramètres!$A$1:$I$89,5,0)</f>
        <v>16.473599999999998</v>
      </c>
      <c r="AK147" s="14">
        <f t="shared" si="143"/>
        <v>5.479064311766531</v>
      </c>
      <c r="AL147" s="22">
        <f t="shared" si="112"/>
        <v>38.2342236763267</v>
      </c>
      <c r="AM147" s="62">
        <f t="shared" si="113"/>
        <v>331.56755700965999</v>
      </c>
      <c r="AN147" s="62">
        <f ca="1">AVERAGE(OFFSET($AM$3,0,0,'Données projet'!$E$10+1,1))-AVERAGE(OFFSET($H$3,0,0,'Données projet'!$E$10+1,1))</f>
        <v>72.817281731857122</v>
      </c>
      <c r="AO147" s="62">
        <f t="shared" si="144"/>
        <v>327.78949950303326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4.9473387670614581</v>
      </c>
      <c r="AV147" s="23">
        <f>EXP(-LN(2)/25)*AV146+(1-EXP(-LN(2)/25))/(LN(2)/25)*Calculateur!AQ147*Calculateur!AS147*VLOOKUP('Données projet'!$B$10,Paramètres!$A$1:$I$89,3,0)*0.475*44/12</f>
        <v>0.27640416955250707</v>
      </c>
      <c r="AW147" s="23">
        <f>EXP(-LN(2)/2)*AW146+(1-EXP(-LN(2)/2))/(LN(2)/2)*AQ147*AT147*VLOOKUP('Données projet'!$B$10,Paramètres!$A$1:$I$89,3,0)*0.475*44/12</f>
        <v>4.9591286738138241E-19</v>
      </c>
      <c r="AX147" s="23">
        <f t="shared" si="114"/>
        <v>5.2237429366139656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30</v>
      </c>
      <c r="O148" s="14">
        <f>N148*VLOOKUP('Données projet'!$B$9,Paramètres!$A$1:$I$89,3,0)*VLOOKUP('Données projet'!$B$9,Paramètres!$A$1:$I$89,5,0)</f>
        <v>14.5548</v>
      </c>
      <c r="P148" s="14">
        <f t="shared" si="141"/>
        <v>4.9111633609399075</v>
      </c>
      <c r="Q148" s="22">
        <f t="shared" si="108"/>
        <v>33.903219520303679</v>
      </c>
      <c r="R148" s="62">
        <f t="shared" si="109"/>
        <v>327.23655285363702</v>
      </c>
      <c r="S148" s="62">
        <f ca="1">AVERAGE(OFFSET($R$3,0,0,'Données projet'!$E$9+1,1))-AVERAGE(OFFSET($H$3,0,0,'Données projet'!$E$9+1,1))</f>
        <v>65.585138535467195</v>
      </c>
      <c r="T148" s="62">
        <f t="shared" si="142"/>
        <v>292.56159092613944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4.285371905144939</v>
      </c>
      <c r="AA148" s="23">
        <f>EXP(-LN(2)/25)*AA147+(1-EXP(-LN(2)/25))/(LN(2)/25)*Calculateur!V148*Calculateur!X148*VLOOKUP('Données projet'!$B$9,Paramètres!$A$1:$I$89,3,0)*0.475*44/12</f>
        <v>0.23753144776476184</v>
      </c>
      <c r="AB148" s="23">
        <f>EXP(-LN(2)/2)*AB147+(1-EXP(-LN(2)/2))/(LN(2)/2)*V148*Y148*VLOOKUP('Données projet'!$B$9,Paramètres!$A$1:$I$89,3,0)*0.475*44/12</f>
        <v>3.098190405862089E-19</v>
      </c>
      <c r="AC148" s="24">
        <f t="shared" si="111"/>
        <v>4.5229033529097009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30</v>
      </c>
      <c r="AJ148" s="14">
        <f>AI148*VLOOKUP('Données projet'!$B$10,Paramètres!$A$1:$I$89,3,0)*VLOOKUP('Données projet'!$B$10,Paramètres!$A$1:$I$89,5,0)</f>
        <v>16.473599999999998</v>
      </c>
      <c r="AK148" s="14">
        <f t="shared" si="143"/>
        <v>5.479064311766531</v>
      </c>
      <c r="AL148" s="22">
        <f t="shared" si="112"/>
        <v>38.2342236763267</v>
      </c>
      <c r="AM148" s="62">
        <f t="shared" si="113"/>
        <v>331.56755700965999</v>
      </c>
      <c r="AN148" s="62">
        <f ca="1">AVERAGE(OFFSET($AM$3,0,0,'Données projet'!$E$10+1,1))-AVERAGE(OFFSET($H$3,0,0,'Données projet'!$E$10+1,1))</f>
        <v>72.817281731857122</v>
      </c>
      <c r="AO148" s="62">
        <f t="shared" si="144"/>
        <v>327.78949950303326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4.8503244714180695</v>
      </c>
      <c r="AV148" s="23">
        <f>EXP(-LN(2)/25)*AV147+(1-EXP(-LN(2)/25))/(LN(2)/25)*Calculateur!AQ148*Calculateur!AS148*VLOOKUP('Données projet'!$B$10,Paramètres!$A$1:$I$89,3,0)*0.475*44/12</f>
        <v>0.26884588300063023</v>
      </c>
      <c r="AW148" s="23">
        <f>EXP(-LN(2)/2)*AW147+(1-EXP(-LN(2)/2))/(LN(2)/2)*AQ148*AT148*VLOOKUP('Données projet'!$B$10,Paramètres!$A$1:$I$89,3,0)*0.475*44/12</f>
        <v>3.5066335140304054E-19</v>
      </c>
      <c r="AX148" s="23">
        <f t="shared" si="114"/>
        <v>5.1191703544187002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30</v>
      </c>
      <c r="O149" s="14">
        <f>N149*VLOOKUP('Données projet'!$B$9,Paramètres!$A$1:$I$89,3,0)*VLOOKUP('Données projet'!$B$9,Paramètres!$A$1:$I$89,5,0)</f>
        <v>14.5548</v>
      </c>
      <c r="P149" s="14">
        <f t="shared" si="141"/>
        <v>4.9111633609399075</v>
      </c>
      <c r="Q149" s="22">
        <f t="shared" si="108"/>
        <v>33.903219520303679</v>
      </c>
      <c r="R149" s="62">
        <f t="shared" si="109"/>
        <v>327.23655285363702</v>
      </c>
      <c r="S149" s="62">
        <f ca="1">AVERAGE(OFFSET($R$3,0,0,'Données projet'!$E$9+1,1))-AVERAGE(OFFSET($H$3,0,0,'Données projet'!$E$9+1,1))</f>
        <v>65.585138535467195</v>
      </c>
      <c r="T149" s="62">
        <f t="shared" si="142"/>
        <v>292.56159092613944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4.2013383759038154</v>
      </c>
      <c r="AA149" s="23">
        <f>EXP(-LN(2)/25)*AA148+(1-EXP(-LN(2)/25))/(LN(2)/25)*Calculateur!V149*Calculateur!X149*VLOOKUP('Données projet'!$B$9,Paramètres!$A$1:$I$89,3,0)*0.475*44/12</f>
        <v>0.23103613783439847</v>
      </c>
      <c r="AB149" s="23">
        <f>EXP(-LN(2)/2)*AB148+(1-EXP(-LN(2)/2))/(LN(2)/2)*V149*Y149*VLOOKUP('Données projet'!$B$9,Paramètres!$A$1:$I$89,3,0)*0.475*44/12</f>
        <v>2.190751445392185E-19</v>
      </c>
      <c r="AC149" s="24">
        <f t="shared" si="111"/>
        <v>4.432374513738214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30</v>
      </c>
      <c r="AJ149" s="14">
        <f>AI149*VLOOKUP('Données projet'!$B$10,Paramètres!$A$1:$I$89,3,0)*VLOOKUP('Données projet'!$B$10,Paramètres!$A$1:$I$89,5,0)</f>
        <v>16.473599999999998</v>
      </c>
      <c r="AK149" s="14">
        <f t="shared" si="143"/>
        <v>5.479064311766531</v>
      </c>
      <c r="AL149" s="22">
        <f t="shared" si="112"/>
        <v>38.2342236763267</v>
      </c>
      <c r="AM149" s="62">
        <f t="shared" si="113"/>
        <v>331.56755700965999</v>
      </c>
      <c r="AN149" s="62">
        <f ca="1">AVERAGE(OFFSET($AM$3,0,0,'Données projet'!$E$10+1,1))-AVERAGE(OFFSET($H$3,0,0,'Données projet'!$E$10+1,1))</f>
        <v>72.817281731857122</v>
      </c>
      <c r="AO149" s="62">
        <f t="shared" si="144"/>
        <v>327.78949950303326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4.7552125669393703</v>
      </c>
      <c r="AV149" s="23">
        <f>EXP(-LN(2)/25)*AV148+(1-EXP(-LN(2)/25))/(LN(2)/25)*Calculateur!AQ149*Calculateur!AS149*VLOOKUP('Données projet'!$B$10,Paramètres!$A$1:$I$89,3,0)*0.475*44/12</f>
        <v>0.26149427819198745</v>
      </c>
      <c r="AW149" s="23">
        <f>EXP(-LN(2)/2)*AW148+(1-EXP(-LN(2)/2))/(LN(2)/2)*AQ149*AT149*VLOOKUP('Données projet'!$B$10,Paramètres!$A$1:$I$89,3,0)*0.475*44/12</f>
        <v>2.4795643369069121E-19</v>
      </c>
      <c r="AX149" s="23">
        <f t="shared" si="114"/>
        <v>5.0167068451313579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30</v>
      </c>
      <c r="O150" s="14">
        <f>N150*VLOOKUP('Données projet'!$B$9,Paramètres!$A$1:$I$89,3,0)*VLOOKUP('Données projet'!$B$9,Paramètres!$A$1:$I$89,5,0)</f>
        <v>14.5548</v>
      </c>
      <c r="P150" s="14">
        <f t="shared" si="141"/>
        <v>4.9111633609399075</v>
      </c>
      <c r="Q150" s="22">
        <f t="shared" si="108"/>
        <v>33.903219520303679</v>
      </c>
      <c r="R150" s="62">
        <f t="shared" si="109"/>
        <v>327.23655285363702</v>
      </c>
      <c r="S150" s="62">
        <f ca="1">AVERAGE(OFFSET($R$3,0,0,'Données projet'!$E$9+1,1))-AVERAGE(OFFSET($H$3,0,0,'Données projet'!$E$9+1,1))</f>
        <v>65.585138535467195</v>
      </c>
      <c r="T150" s="62">
        <f t="shared" si="142"/>
        <v>292.56159092613944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4.1189526929157187</v>
      </c>
      <c r="AA150" s="23">
        <f>EXP(-LN(2)/25)*AA149+(1-EXP(-LN(2)/25))/(LN(2)/25)*Calculateur!V150*Calculateur!X150*VLOOKUP('Données projet'!$B$9,Paramètres!$A$1:$I$89,3,0)*0.475*44/12</f>
        <v>0.2247184424956544</v>
      </c>
      <c r="AB150" s="23">
        <f>EXP(-LN(2)/2)*AB149+(1-EXP(-LN(2)/2))/(LN(2)/2)*V150*Y150*VLOOKUP('Données projet'!$B$9,Paramètres!$A$1:$I$89,3,0)*0.475*44/12</f>
        <v>1.5490952029310445E-19</v>
      </c>
      <c r="AC150" s="24">
        <f t="shared" si="111"/>
        <v>4.3436711354113733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30</v>
      </c>
      <c r="AJ150" s="14">
        <f>AI150*VLOOKUP('Données projet'!$B$10,Paramètres!$A$1:$I$89,3,0)*VLOOKUP('Données projet'!$B$10,Paramètres!$A$1:$I$89,5,0)</f>
        <v>16.473599999999998</v>
      </c>
      <c r="AK150" s="14">
        <f t="shared" si="143"/>
        <v>5.479064311766531</v>
      </c>
      <c r="AL150" s="22">
        <f t="shared" si="112"/>
        <v>38.2342236763267</v>
      </c>
      <c r="AM150" s="62">
        <f t="shared" si="113"/>
        <v>331.56755700965999</v>
      </c>
      <c r="AN150" s="62">
        <f ca="1">AVERAGE(OFFSET($AM$3,0,0,'Données projet'!$E$10+1,1))-AVERAGE(OFFSET($H$3,0,0,'Données projet'!$E$10+1,1))</f>
        <v>72.817281731857122</v>
      </c>
      <c r="AO150" s="62">
        <f t="shared" si="144"/>
        <v>327.78949950303326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4.6619657488949651</v>
      </c>
      <c r="AV150" s="23">
        <f>EXP(-LN(2)/25)*AV149+(1-EXP(-LN(2)/25))/(LN(2)/25)*Calculateur!AQ150*Calculateur!AS150*VLOOKUP('Données projet'!$B$10,Paramètres!$A$1:$I$89,3,0)*0.475*44/12</f>
        <v>0.25434370340344109</v>
      </c>
      <c r="AW150" s="23">
        <f>EXP(-LN(2)/2)*AW149+(1-EXP(-LN(2)/2))/(LN(2)/2)*AQ150*AT150*VLOOKUP('Données projet'!$B$10,Paramètres!$A$1:$I$89,3,0)*0.475*44/12</f>
        <v>1.7533167570152027E-19</v>
      </c>
      <c r="AX150" s="23">
        <f t="shared" si="114"/>
        <v>4.9163094522984059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30</v>
      </c>
      <c r="O151" s="14">
        <f>N151*VLOOKUP('Données projet'!$B$9,Paramètres!$A$1:$I$89,3,0)*VLOOKUP('Données projet'!$B$9,Paramètres!$A$1:$I$89,5,0)</f>
        <v>14.5548</v>
      </c>
      <c r="P151" s="14">
        <f t="shared" si="141"/>
        <v>4.9111633609399075</v>
      </c>
      <c r="Q151" s="22">
        <f t="shared" si="108"/>
        <v>33.903219520303679</v>
      </c>
      <c r="R151" s="62">
        <f t="shared" si="109"/>
        <v>327.23655285363702</v>
      </c>
      <c r="S151" s="62">
        <f ca="1">AVERAGE(OFFSET($R$3,0,0,'Données projet'!$E$9+1,1))-AVERAGE(OFFSET($H$3,0,0,'Données projet'!$E$9+1,1))</f>
        <v>65.585138535467195</v>
      </c>
      <c r="T151" s="62">
        <f t="shared" si="142"/>
        <v>292.56159092613944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4.0381825429207137</v>
      </c>
      <c r="AA151" s="23">
        <f>EXP(-LN(2)/25)*AA150+(1-EXP(-LN(2)/25))/(LN(2)/25)*Calculateur!V151*Calculateur!X151*VLOOKUP('Données projet'!$B$9,Paramètres!$A$1:$I$89,3,0)*0.475*44/12</f>
        <v>0.21857350486818145</v>
      </c>
      <c r="AB151" s="23">
        <f>EXP(-LN(2)/2)*AB150+(1-EXP(-LN(2)/2))/(LN(2)/2)*V151*Y151*VLOOKUP('Données projet'!$B$9,Paramètres!$A$1:$I$89,3,0)*0.475*44/12</f>
        <v>1.0953757226960925E-19</v>
      </c>
      <c r="AC151" s="24">
        <f t="shared" si="111"/>
        <v>4.2567560477888948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30</v>
      </c>
      <c r="AJ151" s="14">
        <f>AI151*VLOOKUP('Données projet'!$B$10,Paramètres!$A$1:$I$89,3,0)*VLOOKUP('Données projet'!$B$10,Paramètres!$A$1:$I$89,5,0)</f>
        <v>16.473599999999998</v>
      </c>
      <c r="AK151" s="14">
        <f t="shared" si="143"/>
        <v>5.479064311766531</v>
      </c>
      <c r="AL151" s="22">
        <f t="shared" si="112"/>
        <v>38.2342236763267</v>
      </c>
      <c r="AM151" s="62">
        <f t="shared" si="113"/>
        <v>331.56755700965999</v>
      </c>
      <c r="AN151" s="62">
        <f ca="1">AVERAGE(OFFSET($AM$3,0,0,'Données projet'!$E$10+1,1))-AVERAGE(OFFSET($H$3,0,0,'Données projet'!$E$10+1,1))</f>
        <v>72.817281731857122</v>
      </c>
      <c r="AO151" s="62">
        <f t="shared" si="144"/>
        <v>327.78949950303326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4.5705474440774676</v>
      </c>
      <c r="AV151" s="23">
        <f>EXP(-LN(2)/25)*AV150+(1-EXP(-LN(2)/25))/(LN(2)/25)*Calculateur!AQ151*Calculateur!AS151*VLOOKUP('Données projet'!$B$10,Paramètres!$A$1:$I$89,3,0)*0.475*44/12</f>
        <v>0.24738866145851995</v>
      </c>
      <c r="AW151" s="23">
        <f>EXP(-LN(2)/2)*AW150+(1-EXP(-LN(2)/2))/(LN(2)/2)*AQ151*AT151*VLOOKUP('Données projet'!$B$10,Paramètres!$A$1:$I$89,3,0)*0.475*44/12</f>
        <v>1.239782168453456E-19</v>
      </c>
      <c r="AX151" s="23">
        <f t="shared" si="114"/>
        <v>4.8179361055359875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30</v>
      </c>
      <c r="O152" s="14">
        <f>N152*VLOOKUP('Données projet'!$B$9,Paramètres!$A$1:$I$89,3,0)*VLOOKUP('Données projet'!$B$9,Paramètres!$A$1:$I$89,5,0)</f>
        <v>14.5548</v>
      </c>
      <c r="P152" s="14">
        <f t="shared" si="141"/>
        <v>4.9111633609399075</v>
      </c>
      <c r="Q152" s="22">
        <f t="shared" si="108"/>
        <v>33.903219520303679</v>
      </c>
      <c r="R152" s="62">
        <f t="shared" si="109"/>
        <v>327.23655285363702</v>
      </c>
      <c r="S152" s="62">
        <f ca="1">AVERAGE(OFFSET($R$3,0,0,'Données projet'!$E$9+1,1))-AVERAGE(OFFSET($H$3,0,0,'Données projet'!$E$9+1,1))</f>
        <v>65.585138535467195</v>
      </c>
      <c r="T152" s="62">
        <f t="shared" si="142"/>
        <v>292.56159092613944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3.9589962463021839</v>
      </c>
      <c r="AA152" s="23">
        <f>EXP(-LN(2)/25)*AA151+(1-EXP(-LN(2)/25))/(LN(2)/25)*Calculateur!V152*Calculateur!X152*VLOOKUP('Données projet'!$B$9,Paramètres!$A$1:$I$89,3,0)*0.475*44/12</f>
        <v>0.21259660088327995</v>
      </c>
      <c r="AB152" s="23">
        <f>EXP(-LN(2)/2)*AB151+(1-EXP(-LN(2)/2))/(LN(2)/2)*V152*Y152*VLOOKUP('Données projet'!$B$9,Paramètres!$A$1:$I$89,3,0)*0.475*44/12</f>
        <v>7.7454760146552226E-20</v>
      </c>
      <c r="AC152" s="24">
        <f t="shared" si="111"/>
        <v>4.1715928471854635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30</v>
      </c>
      <c r="AJ152" s="14">
        <f>AI152*VLOOKUP('Données projet'!$B$10,Paramètres!$A$1:$I$89,3,0)*VLOOKUP('Données projet'!$B$10,Paramètres!$A$1:$I$89,5,0)</f>
        <v>16.473599999999998</v>
      </c>
      <c r="AK152" s="14">
        <f t="shared" si="143"/>
        <v>5.479064311766531</v>
      </c>
      <c r="AL152" s="22">
        <f t="shared" si="112"/>
        <v>38.2342236763267</v>
      </c>
      <c r="AM152" s="62">
        <f t="shared" si="113"/>
        <v>331.56755700965999</v>
      </c>
      <c r="AN152" s="62">
        <f ca="1">AVERAGE(OFFSET($AM$3,0,0,'Données projet'!$E$10+1,1))-AVERAGE(OFFSET($H$3,0,0,'Données projet'!$E$10+1,1))</f>
        <v>72.817281731857122</v>
      </c>
      <c r="AO152" s="62">
        <f t="shared" si="144"/>
        <v>327.78949950303326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4.480921796457781</v>
      </c>
      <c r="AV152" s="23">
        <f>EXP(-LN(2)/25)*AV151+(1-EXP(-LN(2)/25))/(LN(2)/25)*Calculateur!AQ152*Calculateur!AS152*VLOOKUP('Données projet'!$B$10,Paramètres!$A$1:$I$89,3,0)*0.475*44/12</f>
        <v>0.24062380550133244</v>
      </c>
      <c r="AW152" s="23">
        <f>EXP(-LN(2)/2)*AW151+(1-EXP(-LN(2)/2))/(LN(2)/2)*AQ152*AT152*VLOOKUP('Données projet'!$B$10,Paramètres!$A$1:$I$89,3,0)*0.475*44/12</f>
        <v>8.7665837850760136E-20</v>
      </c>
      <c r="AX152" s="23">
        <f t="shared" si="114"/>
        <v>4.7215456019591135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30</v>
      </c>
      <c r="O153" s="14">
        <f>N153*VLOOKUP('Données projet'!$B$9,Paramètres!$A$1:$I$89,3,0)*VLOOKUP('Données projet'!$B$9,Paramètres!$A$1:$I$89,5,0)</f>
        <v>14.5548</v>
      </c>
      <c r="P153" s="14">
        <f t="shared" si="141"/>
        <v>4.9111633609399075</v>
      </c>
      <c r="Q153" s="22">
        <f t="shared" si="108"/>
        <v>33.903219520303679</v>
      </c>
      <c r="R153" s="62">
        <f t="shared" si="109"/>
        <v>327.23655285363702</v>
      </c>
      <c r="S153" s="62">
        <f ca="1">AVERAGE(OFFSET($R$3,0,0,'Données projet'!$E$9+1,1))-AVERAGE(OFFSET($H$3,0,0,'Données projet'!$E$9+1,1))</f>
        <v>65.585138535467195</v>
      </c>
      <c r="T153" s="62">
        <f t="shared" si="142"/>
        <v>292.56159092613944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3.8813627446614718</v>
      </c>
      <c r="AA153" s="23">
        <f>EXP(-LN(2)/25)*AA152+(1-EXP(-LN(2)/25))/(LN(2)/25)*Calculateur!V153*Calculateur!X153*VLOOKUP('Données projet'!$B$9,Paramètres!$A$1:$I$89,3,0)*0.475*44/12</f>
        <v>0.20678313565215731</v>
      </c>
      <c r="AB153" s="23">
        <f>EXP(-LN(2)/2)*AB152+(1-EXP(-LN(2)/2))/(LN(2)/2)*V153*Y153*VLOOKUP('Données projet'!$B$9,Paramètres!$A$1:$I$89,3,0)*0.475*44/12</f>
        <v>5.4768786134804624E-20</v>
      </c>
      <c r="AC153" s="24">
        <f t="shared" si="111"/>
        <v>4.088145880313629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30</v>
      </c>
      <c r="AJ153" s="14">
        <f>AI153*VLOOKUP('Données projet'!$B$10,Paramètres!$A$1:$I$89,3,0)*VLOOKUP('Données projet'!$B$10,Paramètres!$A$1:$I$89,5,0)</f>
        <v>16.473599999999998</v>
      </c>
      <c r="AK153" s="14">
        <f t="shared" si="143"/>
        <v>5.479064311766531</v>
      </c>
      <c r="AL153" s="22">
        <f t="shared" si="112"/>
        <v>38.2342236763267</v>
      </c>
      <c r="AM153" s="62">
        <f t="shared" si="113"/>
        <v>331.56755700965999</v>
      </c>
      <c r="AN153" s="62">
        <f ca="1">AVERAGE(OFFSET($AM$3,0,0,'Données projet'!$E$10+1,1))-AVERAGE(OFFSET($H$3,0,0,'Données projet'!$E$10+1,1))</f>
        <v>72.817281731857122</v>
      </c>
      <c r="AO153" s="62">
        <f t="shared" si="144"/>
        <v>327.78949950303326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4.3930536531216688</v>
      </c>
      <c r="AV153" s="23">
        <f>EXP(-LN(2)/25)*AV152+(1-EXP(-LN(2)/25))/(LN(2)/25)*Calculateur!AQ153*Calculateur!AS153*VLOOKUP('Données projet'!$B$10,Paramètres!$A$1:$I$89,3,0)*0.475*44/12</f>
        <v>0.23404393488604253</v>
      </c>
      <c r="AW153" s="23">
        <f>EXP(-LN(2)/2)*AW152+(1-EXP(-LN(2)/2))/(LN(2)/2)*AQ153*AT153*VLOOKUP('Données projet'!$B$10,Paramètres!$A$1:$I$89,3,0)*0.475*44/12</f>
        <v>6.1989108422672802E-20</v>
      </c>
      <c r="AX153" s="23">
        <f t="shared" si="114"/>
        <v>4.627097588007711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30</v>
      </c>
      <c r="O154" s="14">
        <f>N154*VLOOKUP('Données projet'!$B$9,Paramètres!$A$1:$I$89,3,0)*VLOOKUP('Données projet'!$B$9,Paramètres!$A$1:$I$89,5,0)</f>
        <v>14.5548</v>
      </c>
      <c r="P154" s="14">
        <f t="shared" si="141"/>
        <v>4.9111633609399075</v>
      </c>
      <c r="Q154" s="22">
        <f t="shared" ref="Q154:Q203" si="162">(O154+P154)*0.475*44/12</f>
        <v>33.903219520303679</v>
      </c>
      <c r="R154" s="62">
        <f t="shared" si="109"/>
        <v>327.23655285363702</v>
      </c>
      <c r="S154" s="62">
        <f ca="1">AVERAGE(OFFSET($R$3,0,0,'Données projet'!$E$9+1,1))-AVERAGE(OFFSET($H$3,0,0,'Données projet'!$E$9+1,1))</f>
        <v>65.585138535467195</v>
      </c>
      <c r="T154" s="62">
        <f t="shared" si="142"/>
        <v>292.56159092613944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3.8052515886361733</v>
      </c>
      <c r="AA154" s="23">
        <f>EXP(-LN(2)/25)*AA153+(1-EXP(-LN(2)/25))/(LN(2)/25)*Calculateur!V154*Calculateur!X154*VLOOKUP('Données projet'!$B$9,Paramètres!$A$1:$I$89,3,0)*0.475*44/12</f>
        <v>0.20112863993349658</v>
      </c>
      <c r="AB154" s="23">
        <f>EXP(-LN(2)/2)*AB153+(1-EXP(-LN(2)/2))/(LN(2)/2)*V154*Y154*VLOOKUP('Données projet'!$B$9,Paramètres!$A$1:$I$89,3,0)*0.475*44/12</f>
        <v>3.8727380073276113E-20</v>
      </c>
      <c r="AC154" s="24">
        <f t="shared" ref="AC154:AC203" si="163">SUM(Z154:AB154)</f>
        <v>4.0063802285696699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30</v>
      </c>
      <c r="AJ154" s="14">
        <f>AI154*VLOOKUP('Données projet'!$B$10,Paramètres!$A$1:$I$89,3,0)*VLOOKUP('Données projet'!$B$10,Paramètres!$A$1:$I$89,5,0)</f>
        <v>16.473599999999998</v>
      </c>
      <c r="AK154" s="14">
        <f t="shared" ref="AK154:AK203" si="164">EXP(-1.0587+0.8836*LN(AJ154)+0.284)</f>
        <v>5.479064311766531</v>
      </c>
      <c r="AL154" s="22">
        <f t="shared" ref="AL154:AL203" si="165">(AJ154+AK154)*0.475*44/12</f>
        <v>38.2342236763267</v>
      </c>
      <c r="AM154" s="62">
        <f t="shared" si="113"/>
        <v>331.56755700965999</v>
      </c>
      <c r="AN154" s="62">
        <f ca="1">AVERAGE(OFFSET($AM$3,0,0,'Données projet'!$E$10+1,1))-AVERAGE(OFFSET($H$3,0,0,'Données projet'!$E$10+1,1))</f>
        <v>72.817281731857122</v>
      </c>
      <c r="AO154" s="62">
        <f t="shared" si="144"/>
        <v>327.78949950303326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4.3069085504821025</v>
      </c>
      <c r="AV154" s="23">
        <f>EXP(-LN(2)/25)*AV153+(1-EXP(-LN(2)/25))/(LN(2)/25)*Calculateur!AQ154*Calculateur!AS154*VLOOKUP('Données projet'!$B$10,Paramètres!$A$1:$I$89,3,0)*0.475*44/12</f>
        <v>0.22764399117874806</v>
      </c>
      <c r="AW154" s="23">
        <f>EXP(-LN(2)/2)*AW153+(1-EXP(-LN(2)/2))/(LN(2)/2)*AQ154*AT154*VLOOKUP('Données projet'!$B$10,Paramètres!$A$1:$I$89,3,0)*0.475*44/12</f>
        <v>4.3832918925380068E-20</v>
      </c>
      <c r="AX154" s="23">
        <f t="shared" ref="AX154:AX203" si="166">SUM(AU154:AW154)</f>
        <v>4.534552541660851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30</v>
      </c>
      <c r="O155" s="14">
        <f>N155*VLOOKUP('Données projet'!$B$9,Paramètres!$A$1:$I$89,3,0)*VLOOKUP('Données projet'!$B$9,Paramètres!$A$1:$I$89,5,0)</f>
        <v>14.5548</v>
      </c>
      <c r="P155" s="14">
        <f t="shared" si="141"/>
        <v>4.9111633609399075</v>
      </c>
      <c r="Q155" s="22">
        <f t="shared" si="162"/>
        <v>33.903219520303679</v>
      </c>
      <c r="R155" s="62">
        <f t="shared" si="109"/>
        <v>327.23655285363702</v>
      </c>
      <c r="S155" s="62">
        <f ca="1">AVERAGE(OFFSET($R$3,0,0,'Données projet'!$E$9+1,1))-AVERAGE(OFFSET($H$3,0,0,'Données projet'!$E$9+1,1))</f>
        <v>65.585138535467195</v>
      </c>
      <c r="T155" s="62">
        <f t="shared" si="142"/>
        <v>292.56159092613944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3.7306329259573099</v>
      </c>
      <c r="AA155" s="23">
        <f>EXP(-LN(2)/25)*AA154+(1-EXP(-LN(2)/25))/(LN(2)/25)*Calculateur!V155*Calculateur!X155*VLOOKUP('Données projet'!$B$9,Paramètres!$A$1:$I$89,3,0)*0.475*44/12</f>
        <v>0.19562876669761964</v>
      </c>
      <c r="AB155" s="23">
        <f>EXP(-LN(2)/2)*AB154+(1-EXP(-LN(2)/2))/(LN(2)/2)*V155*Y155*VLOOKUP('Données projet'!$B$9,Paramètres!$A$1:$I$89,3,0)*0.475*44/12</f>
        <v>2.7384393067402312E-20</v>
      </c>
      <c r="AC155" s="24">
        <f t="shared" si="163"/>
        <v>3.9262616926549296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30</v>
      </c>
      <c r="AJ155" s="14">
        <f>AI155*VLOOKUP('Données projet'!$B$10,Paramètres!$A$1:$I$89,3,0)*VLOOKUP('Données projet'!$B$10,Paramètres!$A$1:$I$89,5,0)</f>
        <v>16.473599999999998</v>
      </c>
      <c r="AK155" s="14">
        <f t="shared" si="164"/>
        <v>5.479064311766531</v>
      </c>
      <c r="AL155" s="22">
        <f t="shared" si="165"/>
        <v>38.2342236763267</v>
      </c>
      <c r="AM155" s="62">
        <f t="shared" si="113"/>
        <v>331.56755700965999</v>
      </c>
      <c r="AN155" s="62">
        <f ca="1">AVERAGE(OFFSET($AM$3,0,0,'Données projet'!$E$10+1,1))-AVERAGE(OFFSET($H$3,0,0,'Données projet'!$E$10+1,1))</f>
        <v>72.817281731857122</v>
      </c>
      <c r="AO155" s="62">
        <f t="shared" si="144"/>
        <v>327.78949950303326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4.2224527007619743</v>
      </c>
      <c r="AV155" s="23">
        <f>EXP(-LN(2)/25)*AV154+(1-EXP(-LN(2)/25))/(LN(2)/25)*Calculateur!AQ155*Calculateur!AS155*VLOOKUP('Données projet'!$B$10,Paramètres!$A$1:$I$89,3,0)*0.475*44/12</f>
        <v>0.22141905426868799</v>
      </c>
      <c r="AW155" s="23">
        <f>EXP(-LN(2)/2)*AW154+(1-EXP(-LN(2)/2))/(LN(2)/2)*AQ155*AT155*VLOOKUP('Données projet'!$B$10,Paramètres!$A$1:$I$89,3,0)*0.475*44/12</f>
        <v>3.0994554211336401E-20</v>
      </c>
      <c r="AX155" s="23">
        <f t="shared" si="166"/>
        <v>4.4438717550306626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30</v>
      </c>
      <c r="O156" s="14">
        <f>N156*VLOOKUP('Données projet'!$B$9,Paramètres!$A$1:$I$89,3,0)*VLOOKUP('Données projet'!$B$9,Paramètres!$A$1:$I$89,5,0)</f>
        <v>14.5548</v>
      </c>
      <c r="P156" s="14">
        <f t="shared" si="141"/>
        <v>4.9111633609399075</v>
      </c>
      <c r="Q156" s="22">
        <f t="shared" si="162"/>
        <v>33.903219520303679</v>
      </c>
      <c r="R156" s="62">
        <f t="shared" si="109"/>
        <v>327.23655285363702</v>
      </c>
      <c r="S156" s="62">
        <f ca="1">AVERAGE(OFFSET($R$3,0,0,'Données projet'!$E$9+1,1))-AVERAGE(OFFSET($H$3,0,0,'Données projet'!$E$9+1,1))</f>
        <v>65.585138535467195</v>
      </c>
      <c r="T156" s="62">
        <f t="shared" si="142"/>
        <v>292.56159092613944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3.6574774897406885</v>
      </c>
      <c r="AA156" s="23">
        <f>EXP(-LN(2)/25)*AA155+(1-EXP(-LN(2)/25))/(LN(2)/25)*Calculateur!V156*Calculateur!X156*VLOOKUP('Données projet'!$B$9,Paramètres!$A$1:$I$89,3,0)*0.475*44/12</f>
        <v>0.19027928778460351</v>
      </c>
      <c r="AB156" s="23">
        <f>EXP(-LN(2)/2)*AB155+(1-EXP(-LN(2)/2))/(LN(2)/2)*V156*Y156*VLOOKUP('Données projet'!$B$9,Paramètres!$A$1:$I$89,3,0)*0.475*44/12</f>
        <v>1.9363690036638056E-20</v>
      </c>
      <c r="AC156" s="24">
        <f t="shared" si="163"/>
        <v>3.8477567775252921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30</v>
      </c>
      <c r="AJ156" s="14">
        <f>AI156*VLOOKUP('Données projet'!$B$10,Paramètres!$A$1:$I$89,3,0)*VLOOKUP('Données projet'!$B$10,Paramètres!$A$1:$I$89,5,0)</f>
        <v>16.473599999999998</v>
      </c>
      <c r="AK156" s="14">
        <f t="shared" si="164"/>
        <v>5.479064311766531</v>
      </c>
      <c r="AL156" s="22">
        <f t="shared" si="165"/>
        <v>38.2342236763267</v>
      </c>
      <c r="AM156" s="62">
        <f t="shared" si="113"/>
        <v>331.56755700965999</v>
      </c>
      <c r="AN156" s="62">
        <f ca="1">AVERAGE(OFFSET($AM$3,0,0,'Données projet'!$E$10+1,1))-AVERAGE(OFFSET($H$3,0,0,'Données projet'!$E$10+1,1))</f>
        <v>72.817281731857122</v>
      </c>
      <c r="AO156" s="62">
        <f t="shared" si="144"/>
        <v>327.78949950303326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4.1396529787418759</v>
      </c>
      <c r="AV156" s="23">
        <f>EXP(-LN(2)/25)*AV155+(1-EXP(-LN(2)/25))/(LN(2)/25)*Calculateur!AQ156*Calculateur!AS156*VLOOKUP('Données projet'!$B$10,Paramètres!$A$1:$I$89,3,0)*0.475*44/12</f>
        <v>0.21536433858578871</v>
      </c>
      <c r="AW156" s="23">
        <f>EXP(-LN(2)/2)*AW155+(1-EXP(-LN(2)/2))/(LN(2)/2)*AQ156*AT156*VLOOKUP('Données projet'!$B$10,Paramètres!$A$1:$I$89,3,0)*0.475*44/12</f>
        <v>2.1916459462690034E-20</v>
      </c>
      <c r="AX156" s="23">
        <f t="shared" si="166"/>
        <v>4.3550173173276647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30</v>
      </c>
      <c r="O157" s="14">
        <f>N157*VLOOKUP('Données projet'!$B$9,Paramètres!$A$1:$I$89,3,0)*VLOOKUP('Données projet'!$B$9,Paramètres!$A$1:$I$89,5,0)</f>
        <v>14.5548</v>
      </c>
      <c r="P157" s="14">
        <f t="shared" si="141"/>
        <v>4.9111633609399075</v>
      </c>
      <c r="Q157" s="22">
        <f t="shared" si="162"/>
        <v>33.903219520303679</v>
      </c>
      <c r="R157" s="62">
        <f t="shared" si="109"/>
        <v>327.23655285363702</v>
      </c>
      <c r="S157" s="62">
        <f ca="1">AVERAGE(OFFSET($R$3,0,0,'Données projet'!$E$9+1,1))-AVERAGE(OFFSET($H$3,0,0,'Données projet'!$E$9+1,1))</f>
        <v>65.585138535467195</v>
      </c>
      <c r="T157" s="62">
        <f t="shared" si="142"/>
        <v>292.56159092613944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3.5857565870078649</v>
      </c>
      <c r="AA157" s="23">
        <f>EXP(-LN(2)/25)*AA156+(1-EXP(-LN(2)/25))/(LN(2)/25)*Calculateur!V157*Calculateur!X157*VLOOKUP('Données projet'!$B$9,Paramètres!$A$1:$I$89,3,0)*0.475*44/12</f>
        <v>0.18507609065378067</v>
      </c>
      <c r="AB157" s="23">
        <f>EXP(-LN(2)/2)*AB156+(1-EXP(-LN(2)/2))/(LN(2)/2)*V157*Y157*VLOOKUP('Données projet'!$B$9,Paramètres!$A$1:$I$89,3,0)*0.475*44/12</f>
        <v>1.3692196533701156E-20</v>
      </c>
      <c r="AC157" s="24">
        <f t="shared" si="163"/>
        <v>3.7708326776616454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30</v>
      </c>
      <c r="AJ157" s="14">
        <f>AI157*VLOOKUP('Données projet'!$B$10,Paramètres!$A$1:$I$89,3,0)*VLOOKUP('Données projet'!$B$10,Paramètres!$A$1:$I$89,5,0)</f>
        <v>16.473599999999998</v>
      </c>
      <c r="AK157" s="14">
        <f t="shared" si="164"/>
        <v>5.479064311766531</v>
      </c>
      <c r="AL157" s="22">
        <f t="shared" si="165"/>
        <v>38.2342236763267</v>
      </c>
      <c r="AM157" s="62">
        <f t="shared" si="113"/>
        <v>331.56755700965999</v>
      </c>
      <c r="AN157" s="62">
        <f ca="1">AVERAGE(OFFSET($AM$3,0,0,'Données projet'!$E$10+1,1))-AVERAGE(OFFSET($H$3,0,0,'Données projet'!$E$10+1,1))</f>
        <v>72.817281731857122</v>
      </c>
      <c r="AO157" s="62">
        <f t="shared" si="144"/>
        <v>327.78949950303326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4.0584769087677479</v>
      </c>
      <c r="AV157" s="23">
        <f>EXP(-LN(2)/25)*AV156+(1-EXP(-LN(2)/25))/(LN(2)/25)*Calculateur!AQ157*Calculateur!AS157*VLOOKUP('Données projet'!$B$10,Paramètres!$A$1:$I$89,3,0)*0.475*44/12</f>
        <v>0.20947518942164198</v>
      </c>
      <c r="AW157" s="23">
        <f>EXP(-LN(2)/2)*AW156+(1-EXP(-LN(2)/2))/(LN(2)/2)*AQ157*AT157*VLOOKUP('Données projet'!$B$10,Paramètres!$A$1:$I$89,3,0)*0.475*44/12</f>
        <v>1.54972771056682E-20</v>
      </c>
      <c r="AX157" s="23">
        <f t="shared" si="166"/>
        <v>4.2679520981893901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30</v>
      </c>
      <c r="O158" s="14">
        <f>N158*VLOOKUP('Données projet'!$B$9,Paramètres!$A$1:$I$89,3,0)*VLOOKUP('Données projet'!$B$9,Paramètres!$A$1:$I$89,5,0)</f>
        <v>14.5548</v>
      </c>
      <c r="P158" s="14">
        <f t="shared" si="141"/>
        <v>4.9111633609399075</v>
      </c>
      <c r="Q158" s="22">
        <f t="shared" si="162"/>
        <v>33.903219520303679</v>
      </c>
      <c r="R158" s="62">
        <f t="shared" si="109"/>
        <v>327.23655285363702</v>
      </c>
      <c r="S158" s="62">
        <f ca="1">AVERAGE(OFFSET($R$3,0,0,'Données projet'!$E$9+1,1))-AVERAGE(OFFSET($H$3,0,0,'Données projet'!$E$9+1,1))</f>
        <v>65.585138535467195</v>
      </c>
      <c r="T158" s="62">
        <f t="shared" si="142"/>
        <v>292.56159092613944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3.5154420874322012</v>
      </c>
      <c r="AA158" s="23">
        <f>EXP(-LN(2)/25)*AA157+(1-EXP(-LN(2)/25))/(LN(2)/25)*Calculateur!V158*Calculateur!X158*VLOOKUP('Données projet'!$B$9,Paramètres!$A$1:$I$89,3,0)*0.475*44/12</f>
        <v>0.18001517522212443</v>
      </c>
      <c r="AB158" s="23">
        <f>EXP(-LN(2)/2)*AB157+(1-EXP(-LN(2)/2))/(LN(2)/2)*V158*Y158*VLOOKUP('Données projet'!$B$9,Paramètres!$A$1:$I$89,3,0)*0.475*44/12</f>
        <v>9.6818450183190282E-21</v>
      </c>
      <c r="AC158" s="24">
        <f t="shared" si="163"/>
        <v>3.6954572626543256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30</v>
      </c>
      <c r="AJ158" s="14">
        <f>AI158*VLOOKUP('Données projet'!$B$10,Paramètres!$A$1:$I$89,3,0)*VLOOKUP('Données projet'!$B$10,Paramètres!$A$1:$I$89,5,0)</f>
        <v>16.473599999999998</v>
      </c>
      <c r="AK158" s="14">
        <f t="shared" si="164"/>
        <v>5.479064311766531</v>
      </c>
      <c r="AL158" s="22">
        <f t="shared" si="165"/>
        <v>38.2342236763267</v>
      </c>
      <c r="AM158" s="62">
        <f t="shared" si="113"/>
        <v>331.56755700965999</v>
      </c>
      <c r="AN158" s="62">
        <f ca="1">AVERAGE(OFFSET($AM$3,0,0,'Données projet'!$E$10+1,1))-AVERAGE(OFFSET($H$3,0,0,'Données projet'!$E$10+1,1))</f>
        <v>72.817281731857122</v>
      </c>
      <c r="AO158" s="62">
        <f t="shared" si="144"/>
        <v>327.78949950303326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3.9788926520132986</v>
      </c>
      <c r="AV158" s="23">
        <f>EXP(-LN(2)/25)*AV157+(1-EXP(-LN(2)/25))/(LN(2)/25)*Calculateur!AQ158*Calculateur!AS158*VLOOKUP('Données projet'!$B$10,Paramètres!$A$1:$I$89,3,0)*0.475*44/12</f>
        <v>0.20374707935108574</v>
      </c>
      <c r="AW158" s="23">
        <f>EXP(-LN(2)/2)*AW157+(1-EXP(-LN(2)/2))/(LN(2)/2)*AQ158*AT158*VLOOKUP('Données projet'!$B$10,Paramètres!$A$1:$I$89,3,0)*0.475*44/12</f>
        <v>1.0958229731345017E-20</v>
      </c>
      <c r="AX158" s="23">
        <f t="shared" si="166"/>
        <v>4.1826397313643842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30</v>
      </c>
      <c r="O159" s="14">
        <f>N159*VLOOKUP('Données projet'!$B$9,Paramètres!$A$1:$I$89,3,0)*VLOOKUP('Données projet'!$B$9,Paramètres!$A$1:$I$89,5,0)</f>
        <v>14.5548</v>
      </c>
      <c r="P159" s="14">
        <f t="shared" si="141"/>
        <v>4.9111633609399075</v>
      </c>
      <c r="Q159" s="22">
        <f t="shared" si="162"/>
        <v>33.903219520303679</v>
      </c>
      <c r="R159" s="62">
        <f t="shared" si="109"/>
        <v>327.23655285363702</v>
      </c>
      <c r="S159" s="62">
        <f ca="1">AVERAGE(OFFSET($R$3,0,0,'Données projet'!$E$9+1,1))-AVERAGE(OFFSET($H$3,0,0,'Données projet'!$E$9+1,1))</f>
        <v>65.585138535467195</v>
      </c>
      <c r="T159" s="62">
        <f t="shared" si="142"/>
        <v>292.56159092613944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3.4465064123056059</v>
      </c>
      <c r="AA159" s="23">
        <f>EXP(-LN(2)/25)*AA158+(1-EXP(-LN(2)/25))/(LN(2)/25)*Calculateur!V159*Calculateur!X159*VLOOKUP('Données projet'!$B$9,Paramètres!$A$1:$I$89,3,0)*0.475*44/12</f>
        <v>0.17509265078908881</v>
      </c>
      <c r="AB159" s="23">
        <f>EXP(-LN(2)/2)*AB158+(1-EXP(-LN(2)/2))/(LN(2)/2)*V159*Y159*VLOOKUP('Données projet'!$B$9,Paramètres!$A$1:$I$89,3,0)*0.475*44/12</f>
        <v>6.846098266850578E-21</v>
      </c>
      <c r="AC159" s="24">
        <f t="shared" si="163"/>
        <v>3.6215990630946946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30</v>
      </c>
      <c r="AJ159" s="14">
        <f>AI159*VLOOKUP('Données projet'!$B$10,Paramètres!$A$1:$I$89,3,0)*VLOOKUP('Données projet'!$B$10,Paramètres!$A$1:$I$89,5,0)</f>
        <v>16.473599999999998</v>
      </c>
      <c r="AK159" s="14">
        <f t="shared" si="164"/>
        <v>5.479064311766531</v>
      </c>
      <c r="AL159" s="22">
        <f t="shared" si="165"/>
        <v>38.2342236763267</v>
      </c>
      <c r="AM159" s="62">
        <f t="shared" si="113"/>
        <v>331.56755700965999</v>
      </c>
      <c r="AN159" s="62">
        <f ca="1">AVERAGE(OFFSET($AM$3,0,0,'Données projet'!$E$10+1,1))-AVERAGE(OFFSET($H$3,0,0,'Données projet'!$E$10+1,1))</f>
        <v>72.817281731857122</v>
      </c>
      <c r="AO159" s="62">
        <f t="shared" si="144"/>
        <v>327.78949950303326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3.9008689939922006</v>
      </c>
      <c r="AV159" s="23">
        <f>EXP(-LN(2)/25)*AV158+(1-EXP(-LN(2)/25))/(LN(2)/25)*Calculateur!AQ159*Calculateur!AS159*VLOOKUP('Données projet'!$B$10,Paramètres!$A$1:$I$89,3,0)*0.475*44/12</f>
        <v>0.19817560475163706</v>
      </c>
      <c r="AW159" s="23">
        <f>EXP(-LN(2)/2)*AW158+(1-EXP(-LN(2)/2))/(LN(2)/2)*AQ159*AT159*VLOOKUP('Données projet'!$B$10,Paramètres!$A$1:$I$89,3,0)*0.475*44/12</f>
        <v>7.7486385528341002E-21</v>
      </c>
      <c r="AX159" s="23">
        <f t="shared" si="166"/>
        <v>4.0990445987438378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30</v>
      </c>
      <c r="O160" s="14">
        <f>N160*VLOOKUP('Données projet'!$B$9,Paramètres!$A$1:$I$89,3,0)*VLOOKUP('Données projet'!$B$9,Paramètres!$A$1:$I$89,5,0)</f>
        <v>14.5548</v>
      </c>
      <c r="P160" s="14">
        <f t="shared" si="141"/>
        <v>4.9111633609399075</v>
      </c>
      <c r="Q160" s="22">
        <f t="shared" si="162"/>
        <v>33.903219520303679</v>
      </c>
      <c r="R160" s="62">
        <f t="shared" si="109"/>
        <v>327.23655285363702</v>
      </c>
      <c r="S160" s="62">
        <f ca="1">AVERAGE(OFFSET($R$3,0,0,'Données projet'!$E$9+1,1))-AVERAGE(OFFSET($H$3,0,0,'Données projet'!$E$9+1,1))</f>
        <v>65.585138535467195</v>
      </c>
      <c r="T160" s="62">
        <f t="shared" si="142"/>
        <v>292.56159092613944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3.3789225237216334</v>
      </c>
      <c r="AA160" s="23">
        <f>EXP(-LN(2)/25)*AA159+(1-EXP(-LN(2)/25))/(LN(2)/25)*Calculateur!V160*Calculateur!X160*VLOOKUP('Données projet'!$B$9,Paramètres!$A$1:$I$89,3,0)*0.475*44/12</f>
        <v>0.17030473304553886</v>
      </c>
      <c r="AB160" s="23">
        <f>EXP(-LN(2)/2)*AB159+(1-EXP(-LN(2)/2))/(LN(2)/2)*V160*Y160*VLOOKUP('Données projet'!$B$9,Paramètres!$A$1:$I$89,3,0)*0.475*44/12</f>
        <v>4.8409225091595141E-21</v>
      </c>
      <c r="AC160" s="24">
        <f t="shared" si="163"/>
        <v>3.5492272567671721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30</v>
      </c>
      <c r="AJ160" s="14">
        <f>AI160*VLOOKUP('Données projet'!$B$10,Paramètres!$A$1:$I$89,3,0)*VLOOKUP('Données projet'!$B$10,Paramètres!$A$1:$I$89,5,0)</f>
        <v>16.473599999999998</v>
      </c>
      <c r="AK160" s="14">
        <f t="shared" si="164"/>
        <v>5.479064311766531</v>
      </c>
      <c r="AL160" s="22">
        <f t="shared" si="165"/>
        <v>38.2342236763267</v>
      </c>
      <c r="AM160" s="62">
        <f t="shared" si="113"/>
        <v>331.56755700965999</v>
      </c>
      <c r="AN160" s="62">
        <f ca="1">AVERAGE(OFFSET($AM$3,0,0,'Données projet'!$E$10+1,1))-AVERAGE(OFFSET($H$3,0,0,'Données projet'!$E$10+1,1))</f>
        <v>72.817281731857122</v>
      </c>
      <c r="AO160" s="62">
        <f t="shared" si="144"/>
        <v>327.78949950303326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3.8243753323151641</v>
      </c>
      <c r="AV160" s="23">
        <f>EXP(-LN(2)/25)*AV159+(1-EXP(-LN(2)/25))/(LN(2)/25)*Calculateur!AQ160*Calculateur!AS160*VLOOKUP('Données projet'!$B$10,Paramètres!$A$1:$I$89,3,0)*0.475*44/12</f>
        <v>0.19275648241810142</v>
      </c>
      <c r="AW160" s="23">
        <f>EXP(-LN(2)/2)*AW159+(1-EXP(-LN(2)/2))/(LN(2)/2)*AQ160*AT160*VLOOKUP('Données projet'!$B$10,Paramètres!$A$1:$I$89,3,0)*0.475*44/12</f>
        <v>5.4791148656725085E-21</v>
      </c>
      <c r="AX160" s="23">
        <f t="shared" si="166"/>
        <v>4.0171318147332657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30</v>
      </c>
      <c r="O161" s="14">
        <f>N161*VLOOKUP('Données projet'!$B$9,Paramètres!$A$1:$I$89,3,0)*VLOOKUP('Données projet'!$B$9,Paramètres!$A$1:$I$89,5,0)</f>
        <v>14.5548</v>
      </c>
      <c r="P161" s="14">
        <f t="shared" si="141"/>
        <v>4.9111633609399075</v>
      </c>
      <c r="Q161" s="22">
        <f t="shared" si="162"/>
        <v>33.903219520303679</v>
      </c>
      <c r="R161" s="62">
        <f t="shared" si="109"/>
        <v>327.23655285363702</v>
      </c>
      <c r="S161" s="62">
        <f ca="1">AVERAGE(OFFSET($R$3,0,0,'Données projet'!$E$9+1,1))-AVERAGE(OFFSET($H$3,0,0,'Données projet'!$E$9+1,1))</f>
        <v>65.585138535467195</v>
      </c>
      <c r="T161" s="62">
        <f t="shared" si="142"/>
        <v>292.56159092613944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3.3126639139706908</v>
      </c>
      <c r="AA161" s="23">
        <f>EXP(-LN(2)/25)*AA160+(1-EXP(-LN(2)/25))/(LN(2)/25)*Calculateur!V161*Calculateur!X161*VLOOKUP('Données projet'!$B$9,Paramètres!$A$1:$I$89,3,0)*0.475*44/12</f>
        <v>0.16564774116447192</v>
      </c>
      <c r="AB161" s="23">
        <f>EXP(-LN(2)/2)*AB160+(1-EXP(-LN(2)/2))/(LN(2)/2)*V161*Y161*VLOOKUP('Données projet'!$B$9,Paramètres!$A$1:$I$89,3,0)*0.475*44/12</f>
        <v>3.423049133425289E-21</v>
      </c>
      <c r="AC161" s="24">
        <f t="shared" si="163"/>
        <v>3.4783116551351627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30</v>
      </c>
      <c r="AJ161" s="14">
        <f>AI161*VLOOKUP('Données projet'!$B$10,Paramètres!$A$1:$I$89,3,0)*VLOOKUP('Données projet'!$B$10,Paramètres!$A$1:$I$89,5,0)</f>
        <v>16.473599999999998</v>
      </c>
      <c r="AK161" s="14">
        <f t="shared" si="164"/>
        <v>5.479064311766531</v>
      </c>
      <c r="AL161" s="22">
        <f t="shared" si="165"/>
        <v>38.2342236763267</v>
      </c>
      <c r="AM161" s="62">
        <f t="shared" si="113"/>
        <v>331.56755700965999</v>
      </c>
      <c r="AN161" s="62">
        <f ca="1">AVERAGE(OFFSET($AM$3,0,0,'Données projet'!$E$10+1,1))-AVERAGE(OFFSET($H$3,0,0,'Données projet'!$E$10+1,1))</f>
        <v>72.817281731857122</v>
      </c>
      <c r="AO161" s="62">
        <f t="shared" si="144"/>
        <v>327.78949950303326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3.7493816646870877</v>
      </c>
      <c r="AV161" s="23">
        <f>EXP(-LN(2)/25)*AV160+(1-EXP(-LN(2)/25))/(LN(2)/25)*Calculateur!AQ161*Calculateur!AS161*VLOOKUP('Données projet'!$B$10,Paramètres!$A$1:$I$89,3,0)*0.475*44/12</f>
        <v>0.18748554626975558</v>
      </c>
      <c r="AW161" s="23">
        <f>EXP(-LN(2)/2)*AW160+(1-EXP(-LN(2)/2))/(LN(2)/2)*AQ161*AT161*VLOOKUP('Données projet'!$B$10,Paramètres!$A$1:$I$89,3,0)*0.475*44/12</f>
        <v>3.8743192764170501E-21</v>
      </c>
      <c r="AX161" s="23">
        <f t="shared" si="166"/>
        <v>3.9368672109568434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30</v>
      </c>
      <c r="O162" s="14">
        <f>N162*VLOOKUP('Données projet'!$B$9,Paramètres!$A$1:$I$89,3,0)*VLOOKUP('Données projet'!$B$9,Paramètres!$A$1:$I$89,5,0)</f>
        <v>14.5548</v>
      </c>
      <c r="P162" s="14">
        <f t="shared" si="141"/>
        <v>4.9111633609399075</v>
      </c>
      <c r="Q162" s="22">
        <f t="shared" si="162"/>
        <v>33.903219520303679</v>
      </c>
      <c r="R162" s="62">
        <f t="shared" si="109"/>
        <v>327.23655285363702</v>
      </c>
      <c r="S162" s="62">
        <f ca="1">AVERAGE(OFFSET($R$3,0,0,'Données projet'!$E$9+1,1))-AVERAGE(OFFSET($H$3,0,0,'Données projet'!$E$9+1,1))</f>
        <v>65.585138535467195</v>
      </c>
      <c r="T162" s="62">
        <f t="shared" si="142"/>
        <v>292.56159092613944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3.2477045951432029</v>
      </c>
      <c r="AA162" s="23">
        <f>EXP(-LN(2)/25)*AA161+(1-EXP(-LN(2)/25))/(LN(2)/25)*Calculateur!V162*Calculateur!X162*VLOOKUP('Données projet'!$B$9,Paramètres!$A$1:$I$89,3,0)*0.475*44/12</f>
        <v>0.16111809497129331</v>
      </c>
      <c r="AB162" s="23">
        <f>EXP(-LN(2)/2)*AB161+(1-EXP(-LN(2)/2))/(LN(2)/2)*V162*Y162*VLOOKUP('Données projet'!$B$9,Paramètres!$A$1:$I$89,3,0)*0.475*44/12</f>
        <v>2.4204612545797571E-21</v>
      </c>
      <c r="AC162" s="24">
        <f t="shared" si="163"/>
        <v>3.408822690114496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30</v>
      </c>
      <c r="AJ162" s="14">
        <f>AI162*VLOOKUP('Données projet'!$B$10,Paramètres!$A$1:$I$89,3,0)*VLOOKUP('Données projet'!$B$10,Paramètres!$A$1:$I$89,5,0)</f>
        <v>16.473599999999998</v>
      </c>
      <c r="AK162" s="14">
        <f t="shared" si="164"/>
        <v>5.479064311766531</v>
      </c>
      <c r="AL162" s="22">
        <f t="shared" si="165"/>
        <v>38.2342236763267</v>
      </c>
      <c r="AM162" s="62">
        <f t="shared" si="113"/>
        <v>331.56755700965999</v>
      </c>
      <c r="AN162" s="62">
        <f ca="1">AVERAGE(OFFSET($AM$3,0,0,'Données projet'!$E$10+1,1))-AVERAGE(OFFSET($H$3,0,0,'Données projet'!$E$10+1,1))</f>
        <v>72.817281731857122</v>
      </c>
      <c r="AO162" s="62">
        <f t="shared" si="144"/>
        <v>327.78949950303326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3.6758585771395769</v>
      </c>
      <c r="AV162" s="23">
        <f>EXP(-LN(2)/25)*AV161+(1-EXP(-LN(2)/25))/(LN(2)/25)*Calculateur!AQ162*Calculateur!AS162*VLOOKUP('Données projet'!$B$10,Paramètres!$A$1:$I$89,3,0)*0.475*44/12</f>
        <v>0.18235874414757275</v>
      </c>
      <c r="AW162" s="23">
        <f>EXP(-LN(2)/2)*AW161+(1-EXP(-LN(2)/2))/(LN(2)/2)*AQ162*AT162*VLOOKUP('Données projet'!$B$10,Paramètres!$A$1:$I$89,3,0)*0.475*44/12</f>
        <v>2.7395574328362542E-21</v>
      </c>
      <c r="AX162" s="23">
        <f t="shared" si="166"/>
        <v>3.8582173212871496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30</v>
      </c>
      <c r="O163" s="14">
        <f>N163*VLOOKUP('Données projet'!$B$9,Paramètres!$A$1:$I$89,3,0)*VLOOKUP('Données projet'!$B$9,Paramètres!$A$1:$I$89,5,0)</f>
        <v>14.5548</v>
      </c>
      <c r="P163" s="14">
        <f t="shared" si="141"/>
        <v>4.9111633609399075</v>
      </c>
      <c r="Q163" s="22">
        <f t="shared" si="162"/>
        <v>33.903219520303679</v>
      </c>
      <c r="R163" s="62">
        <f t="shared" si="109"/>
        <v>327.23655285363702</v>
      </c>
      <c r="S163" s="62">
        <f ca="1">AVERAGE(OFFSET($R$3,0,0,'Données projet'!$E$9+1,1))-AVERAGE(OFFSET($H$3,0,0,'Données projet'!$E$9+1,1))</f>
        <v>65.585138535467195</v>
      </c>
      <c r="T163" s="62">
        <f t="shared" si="142"/>
        <v>292.56159092613944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3.1840190889366498</v>
      </c>
      <c r="AA163" s="23">
        <f>EXP(-LN(2)/25)*AA162+(1-EXP(-LN(2)/25))/(LN(2)/25)*Calculateur!V163*Calculateur!X163*VLOOKUP('Données projet'!$B$9,Paramètres!$A$1:$I$89,3,0)*0.475*44/12</f>
        <v>0.15671231219147091</v>
      </c>
      <c r="AB163" s="23">
        <f>EXP(-LN(2)/2)*AB162+(1-EXP(-LN(2)/2))/(LN(2)/2)*V163*Y163*VLOOKUP('Données projet'!$B$9,Paramètres!$A$1:$I$89,3,0)*0.475*44/12</f>
        <v>1.7115245667126445E-21</v>
      </c>
      <c r="AC163" s="24">
        <f t="shared" si="163"/>
        <v>3.3407314011281208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30</v>
      </c>
      <c r="AJ163" s="14">
        <f>AI163*VLOOKUP('Données projet'!$B$10,Paramètres!$A$1:$I$89,3,0)*VLOOKUP('Données projet'!$B$10,Paramètres!$A$1:$I$89,5,0)</f>
        <v>16.473599999999998</v>
      </c>
      <c r="AK163" s="14">
        <f t="shared" si="164"/>
        <v>5.479064311766531</v>
      </c>
      <c r="AL163" s="22">
        <f t="shared" si="165"/>
        <v>38.2342236763267</v>
      </c>
      <c r="AM163" s="62">
        <f t="shared" si="113"/>
        <v>331.56755700965999</v>
      </c>
      <c r="AN163" s="62">
        <f ca="1">AVERAGE(OFFSET($AM$3,0,0,'Données projet'!$E$10+1,1))-AVERAGE(OFFSET($H$3,0,0,'Données projet'!$E$10+1,1))</f>
        <v>72.817281731857122</v>
      </c>
      <c r="AO163" s="62">
        <f t="shared" si="144"/>
        <v>327.78949950303326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3.6037772324942177</v>
      </c>
      <c r="AV163" s="23">
        <f>EXP(-LN(2)/25)*AV162+(1-EXP(-LN(2)/25))/(LN(2)/25)*Calculateur!AQ163*Calculateur!AS163*VLOOKUP('Données projet'!$B$10,Paramètres!$A$1:$I$89,3,0)*0.475*44/12</f>
        <v>0.17737213469902779</v>
      </c>
      <c r="AW163" s="23">
        <f>EXP(-LN(2)/2)*AW162+(1-EXP(-LN(2)/2))/(LN(2)/2)*AQ163*AT163*VLOOKUP('Données projet'!$B$10,Paramètres!$A$1:$I$89,3,0)*0.475*44/12</f>
        <v>1.9371596382085251E-21</v>
      </c>
      <c r="AX163" s="23">
        <f t="shared" si="166"/>
        <v>3.7811493671932457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30</v>
      </c>
      <c r="O164" s="14">
        <f>N164*VLOOKUP('Données projet'!$B$9,Paramètres!$A$1:$I$89,3,0)*VLOOKUP('Données projet'!$B$9,Paramètres!$A$1:$I$89,5,0)</f>
        <v>14.5548</v>
      </c>
      <c r="P164" s="14">
        <f t="shared" si="141"/>
        <v>4.9111633609399075</v>
      </c>
      <c r="Q164" s="22">
        <f t="shared" si="162"/>
        <v>33.903219520303679</v>
      </c>
      <c r="R164" s="62">
        <f t="shared" si="109"/>
        <v>327.23655285363702</v>
      </c>
      <c r="S164" s="62">
        <f ca="1">AVERAGE(OFFSET($R$3,0,0,'Données projet'!$E$9+1,1))-AVERAGE(OFFSET($H$3,0,0,'Données projet'!$E$9+1,1))</f>
        <v>65.585138535467195</v>
      </c>
      <c r="T164" s="62">
        <f t="shared" si="142"/>
        <v>292.56159092613944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3.1215824166624837</v>
      </c>
      <c r="AA164" s="23">
        <f>EXP(-LN(2)/25)*AA163+(1-EXP(-LN(2)/25))/(LN(2)/25)*Calculateur!V164*Calculateur!X164*VLOOKUP('Données projet'!$B$9,Paramètres!$A$1:$I$89,3,0)*0.475*44/12</f>
        <v>0.15242700577345281</v>
      </c>
      <c r="AB164" s="23">
        <f>EXP(-LN(2)/2)*AB163+(1-EXP(-LN(2)/2))/(LN(2)/2)*V164*Y164*VLOOKUP('Données projet'!$B$9,Paramètres!$A$1:$I$89,3,0)*0.475*44/12</f>
        <v>1.2102306272898785E-21</v>
      </c>
      <c r="AC164" s="24">
        <f t="shared" si="163"/>
        <v>3.2740094224359364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30</v>
      </c>
      <c r="AJ164" s="14">
        <f>AI164*VLOOKUP('Données projet'!$B$10,Paramètres!$A$1:$I$89,3,0)*VLOOKUP('Données projet'!$B$10,Paramètres!$A$1:$I$89,5,0)</f>
        <v>16.473599999999998</v>
      </c>
      <c r="AK164" s="14">
        <f t="shared" si="164"/>
        <v>5.479064311766531</v>
      </c>
      <c r="AL164" s="22">
        <f t="shared" si="165"/>
        <v>38.2342236763267</v>
      </c>
      <c r="AM164" s="62">
        <f t="shared" si="113"/>
        <v>331.56755700965999</v>
      </c>
      <c r="AN164" s="62">
        <f ca="1">AVERAGE(OFFSET($AM$3,0,0,'Données projet'!$E$10+1,1))-AVERAGE(OFFSET($H$3,0,0,'Données projet'!$E$10+1,1))</f>
        <v>72.817281731857122</v>
      </c>
      <c r="AO164" s="62">
        <f t="shared" si="144"/>
        <v>327.78949950303326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3.5331093590520748</v>
      </c>
      <c r="AV164" s="23">
        <f>EXP(-LN(2)/25)*AV163+(1-EXP(-LN(2)/25))/(LN(2)/25)*Calculateur!AQ164*Calculateur!AS164*VLOOKUP('Données projet'!$B$10,Paramètres!$A$1:$I$89,3,0)*0.475*44/12</f>
        <v>0.17252188434808771</v>
      </c>
      <c r="AW164" s="23">
        <f>EXP(-LN(2)/2)*AW163+(1-EXP(-LN(2)/2))/(LN(2)/2)*AQ164*AT164*VLOOKUP('Données projet'!$B$10,Paramètres!$A$1:$I$89,3,0)*0.475*44/12</f>
        <v>1.3697787164181271E-21</v>
      </c>
      <c r="AX164" s="23">
        <f t="shared" si="166"/>
        <v>3.7056312434001626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30</v>
      </c>
      <c r="O165" s="14">
        <f>N165*VLOOKUP('Données projet'!$B$9,Paramètres!$A$1:$I$89,3,0)*VLOOKUP('Données projet'!$B$9,Paramètres!$A$1:$I$89,5,0)</f>
        <v>14.5548</v>
      </c>
      <c r="P165" s="14">
        <f t="shared" si="141"/>
        <v>4.9111633609399075</v>
      </c>
      <c r="Q165" s="22">
        <f t="shared" si="162"/>
        <v>33.903219520303679</v>
      </c>
      <c r="R165" s="62">
        <f t="shared" si="109"/>
        <v>327.23655285363702</v>
      </c>
      <c r="S165" s="62">
        <f ca="1">AVERAGE(OFFSET($R$3,0,0,'Données projet'!$E$9+1,1))-AVERAGE(OFFSET($H$3,0,0,'Données projet'!$E$9+1,1))</f>
        <v>65.585138535467195</v>
      </c>
      <c r="T165" s="62">
        <f t="shared" si="142"/>
        <v>292.56159092613944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3.0603700894490045</v>
      </c>
      <c r="AA165" s="23">
        <f>EXP(-LN(2)/25)*AA164+(1-EXP(-LN(2)/25))/(LN(2)/25)*Calculateur!V165*Calculateur!X165*VLOOKUP('Données projet'!$B$9,Paramètres!$A$1:$I$89,3,0)*0.475*44/12</f>
        <v>0.1482588812847899</v>
      </c>
      <c r="AB165" s="23">
        <f>EXP(-LN(2)/2)*AB164+(1-EXP(-LN(2)/2))/(LN(2)/2)*V165*Y165*VLOOKUP('Données projet'!$B$9,Paramètres!$A$1:$I$89,3,0)*0.475*44/12</f>
        <v>8.5576228335632225E-22</v>
      </c>
      <c r="AC165" s="24">
        <f t="shared" si="163"/>
        <v>3.2086289707337943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30</v>
      </c>
      <c r="AJ165" s="14">
        <f>AI165*VLOOKUP('Données projet'!$B$10,Paramètres!$A$1:$I$89,3,0)*VLOOKUP('Données projet'!$B$10,Paramètres!$A$1:$I$89,5,0)</f>
        <v>16.473599999999998</v>
      </c>
      <c r="AK165" s="14">
        <f t="shared" si="164"/>
        <v>5.479064311766531</v>
      </c>
      <c r="AL165" s="22">
        <f t="shared" si="165"/>
        <v>38.2342236763267</v>
      </c>
      <c r="AM165" s="62">
        <f t="shared" si="113"/>
        <v>331.56755700965999</v>
      </c>
      <c r="AN165" s="62">
        <f ca="1">AVERAGE(OFFSET($AM$3,0,0,'Données projet'!$E$10+1,1))-AVERAGE(OFFSET($H$3,0,0,'Données projet'!$E$10+1,1))</f>
        <v>72.817281731857122</v>
      </c>
      <c r="AO165" s="62">
        <f t="shared" si="144"/>
        <v>327.78949950303326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3.4638272395049858</v>
      </c>
      <c r="AV165" s="23">
        <f>EXP(-LN(2)/25)*AV164+(1-EXP(-LN(2)/25))/(LN(2)/25)*Calculateur!AQ165*Calculateur!AS165*VLOOKUP('Données projet'!$B$10,Paramètres!$A$1:$I$89,3,0)*0.475*44/12</f>
        <v>0.16780426434805765</v>
      </c>
      <c r="AW165" s="23">
        <f>EXP(-LN(2)/2)*AW164+(1-EXP(-LN(2)/2))/(LN(2)/2)*AQ165*AT165*VLOOKUP('Données projet'!$B$10,Paramètres!$A$1:$I$89,3,0)*0.475*44/12</f>
        <v>9.6857981910426253E-22</v>
      </c>
      <c r="AX165" s="23">
        <f t="shared" si="166"/>
        <v>3.6316315038530433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30</v>
      </c>
      <c r="O166" s="14">
        <f>N166*VLOOKUP('Données projet'!$B$9,Paramètres!$A$1:$I$89,3,0)*VLOOKUP('Données projet'!$B$9,Paramètres!$A$1:$I$89,5,0)</f>
        <v>14.5548</v>
      </c>
      <c r="P166" s="14">
        <f t="shared" si="141"/>
        <v>4.9111633609399075</v>
      </c>
      <c r="Q166" s="22">
        <f t="shared" si="162"/>
        <v>33.903219520303679</v>
      </c>
      <c r="R166" s="62">
        <f t="shared" si="109"/>
        <v>327.23655285363702</v>
      </c>
      <c r="S166" s="62">
        <f ca="1">AVERAGE(OFFSET($R$3,0,0,'Données projet'!$E$9+1,1))-AVERAGE(OFFSET($H$3,0,0,'Données projet'!$E$9+1,1))</f>
        <v>65.585138535467195</v>
      </c>
      <c r="T166" s="62">
        <f t="shared" si="142"/>
        <v>292.56159092613944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3.0003580986363487</v>
      </c>
      <c r="AA166" s="23">
        <f>EXP(-LN(2)/25)*AA165+(1-EXP(-LN(2)/25))/(LN(2)/25)*Calculateur!V166*Calculateur!X166*VLOOKUP('Données projet'!$B$9,Paramètres!$A$1:$I$89,3,0)*0.475*44/12</f>
        <v>0.1442047343794616</v>
      </c>
      <c r="AB166" s="23">
        <f>EXP(-LN(2)/2)*AB165+(1-EXP(-LN(2)/2))/(LN(2)/2)*V166*Y166*VLOOKUP('Données projet'!$B$9,Paramètres!$A$1:$I$89,3,0)*0.475*44/12</f>
        <v>6.0511531364493926E-22</v>
      </c>
      <c r="AC166" s="24">
        <f t="shared" si="163"/>
        <v>3.1445628330158102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30</v>
      </c>
      <c r="AJ166" s="14">
        <f>AI166*VLOOKUP('Données projet'!$B$10,Paramètres!$A$1:$I$89,3,0)*VLOOKUP('Données projet'!$B$10,Paramètres!$A$1:$I$89,5,0)</f>
        <v>16.473599999999998</v>
      </c>
      <c r="AK166" s="14">
        <f t="shared" si="164"/>
        <v>5.479064311766531</v>
      </c>
      <c r="AL166" s="22">
        <f t="shared" si="165"/>
        <v>38.2342236763267</v>
      </c>
      <c r="AM166" s="62">
        <f t="shared" si="113"/>
        <v>331.56755700965999</v>
      </c>
      <c r="AN166" s="62">
        <f ca="1">AVERAGE(OFFSET($AM$3,0,0,'Données projet'!$E$10+1,1))-AVERAGE(OFFSET($H$3,0,0,'Données projet'!$E$10+1,1))</f>
        <v>72.817281731857122</v>
      </c>
      <c r="AO166" s="62">
        <f t="shared" si="144"/>
        <v>327.78949950303326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3.3959037000642947</v>
      </c>
      <c r="AV166" s="23">
        <f>EXP(-LN(2)/25)*AV165+(1-EXP(-LN(2)/25))/(LN(2)/25)*Calculateur!AQ166*Calculateur!AS166*VLOOKUP('Données projet'!$B$10,Paramètres!$A$1:$I$89,3,0)*0.475*44/12</f>
        <v>0.16321564791501728</v>
      </c>
      <c r="AW166" s="23">
        <f>EXP(-LN(2)/2)*AW165+(1-EXP(-LN(2)/2))/(LN(2)/2)*AQ166*AT166*VLOOKUP('Données projet'!$B$10,Paramètres!$A$1:$I$89,3,0)*0.475*44/12</f>
        <v>6.8488935820906356E-22</v>
      </c>
      <c r="AX166" s="23">
        <f t="shared" si="166"/>
        <v>3.559119347979312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30</v>
      </c>
      <c r="O167" s="14">
        <f>N167*VLOOKUP('Données projet'!$B$9,Paramètres!$A$1:$I$89,3,0)*VLOOKUP('Données projet'!$B$9,Paramètres!$A$1:$I$89,5,0)</f>
        <v>14.5548</v>
      </c>
      <c r="P167" s="14">
        <f t="shared" si="141"/>
        <v>4.9111633609399075</v>
      </c>
      <c r="Q167" s="22">
        <f t="shared" si="162"/>
        <v>33.903219520303679</v>
      </c>
      <c r="R167" s="62">
        <f t="shared" si="109"/>
        <v>327.23655285363702</v>
      </c>
      <c r="S167" s="62">
        <f ca="1">AVERAGE(OFFSET($R$3,0,0,'Données projet'!$E$9+1,1))-AVERAGE(OFFSET($H$3,0,0,'Données projet'!$E$9+1,1))</f>
        <v>65.585138535467195</v>
      </c>
      <c r="T167" s="62">
        <f t="shared" si="142"/>
        <v>292.56159092613944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2.9415229063598289</v>
      </c>
      <c r="AA167" s="23">
        <f>EXP(-LN(2)/25)*AA166+(1-EXP(-LN(2)/25))/(LN(2)/25)*Calculateur!V167*Calculateur!X167*VLOOKUP('Données projet'!$B$9,Paramètres!$A$1:$I$89,3,0)*0.475*44/12</f>
        <v>0.14026144833445783</v>
      </c>
      <c r="AB167" s="23">
        <f>EXP(-LN(2)/2)*AB166+(1-EXP(-LN(2)/2))/(LN(2)/2)*V167*Y167*VLOOKUP('Données projet'!$B$9,Paramètres!$A$1:$I$89,3,0)*0.475*44/12</f>
        <v>4.2788114167816113E-22</v>
      </c>
      <c r="AC167" s="24">
        <f t="shared" si="163"/>
        <v>3.0817843546942867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30</v>
      </c>
      <c r="AJ167" s="14">
        <f>AI167*VLOOKUP('Données projet'!$B$10,Paramètres!$A$1:$I$89,3,0)*VLOOKUP('Données projet'!$B$10,Paramètres!$A$1:$I$89,5,0)</f>
        <v>16.473599999999998</v>
      </c>
      <c r="AK167" s="14">
        <f t="shared" si="164"/>
        <v>5.479064311766531</v>
      </c>
      <c r="AL167" s="22">
        <f t="shared" si="165"/>
        <v>38.2342236763267</v>
      </c>
      <c r="AM167" s="62">
        <f t="shared" si="113"/>
        <v>331.56755700965999</v>
      </c>
      <c r="AN167" s="62">
        <f ca="1">AVERAGE(OFFSET($AM$3,0,0,'Données projet'!$E$10+1,1))-AVERAGE(OFFSET($H$3,0,0,'Données projet'!$E$10+1,1))</f>
        <v>72.817281731857122</v>
      </c>
      <c r="AO167" s="62">
        <f t="shared" si="144"/>
        <v>327.78949950303326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3.3293120998027672</v>
      </c>
      <c r="AV167" s="23">
        <f>EXP(-LN(2)/25)*AV166+(1-EXP(-LN(2)/25))/(LN(2)/25)*Calculateur!AQ167*Calculateur!AS167*VLOOKUP('Données projet'!$B$10,Paramètres!$A$1:$I$89,3,0)*0.475*44/12</f>
        <v>0.15875250743964323</v>
      </c>
      <c r="AW167" s="23">
        <f>EXP(-LN(2)/2)*AW166+(1-EXP(-LN(2)/2))/(LN(2)/2)*AQ167*AT167*VLOOKUP('Données projet'!$B$10,Paramètres!$A$1:$I$89,3,0)*0.475*44/12</f>
        <v>4.8428990955213126E-22</v>
      </c>
      <c r="AX167" s="23">
        <f t="shared" si="166"/>
        <v>3.4880646072424106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30</v>
      </c>
      <c r="O168" s="14">
        <f>N168*VLOOKUP('Données projet'!$B$9,Paramètres!$A$1:$I$89,3,0)*VLOOKUP('Données projet'!$B$9,Paramètres!$A$1:$I$89,5,0)</f>
        <v>14.5548</v>
      </c>
      <c r="P168" s="14">
        <f t="shared" si="141"/>
        <v>4.9111633609399075</v>
      </c>
      <c r="Q168" s="22">
        <f t="shared" si="162"/>
        <v>33.903219520303679</v>
      </c>
      <c r="R168" s="62">
        <f t="shared" si="109"/>
        <v>327.23655285363702</v>
      </c>
      <c r="S168" s="62">
        <f ca="1">AVERAGE(OFFSET($R$3,0,0,'Données projet'!$E$9+1,1))-AVERAGE(OFFSET($H$3,0,0,'Données projet'!$E$9+1,1))</f>
        <v>65.585138535467195</v>
      </c>
      <c r="T168" s="62">
        <f t="shared" si="142"/>
        <v>292.56159092613944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2.8838414363179279</v>
      </c>
      <c r="AA168" s="23">
        <f>EXP(-LN(2)/25)*AA167+(1-EXP(-LN(2)/25))/(LN(2)/25)*Calculateur!V168*Calculateur!X168*VLOOKUP('Données projet'!$B$9,Paramètres!$A$1:$I$89,3,0)*0.475*44/12</f>
        <v>0.1364259916537231</v>
      </c>
      <c r="AB168" s="23">
        <f>EXP(-LN(2)/2)*AB167+(1-EXP(-LN(2)/2))/(LN(2)/2)*V168*Y168*VLOOKUP('Données projet'!$B$9,Paramètres!$A$1:$I$89,3,0)*0.475*44/12</f>
        <v>3.0255765682246963E-22</v>
      </c>
      <c r="AC168" s="24">
        <f t="shared" si="163"/>
        <v>3.020267427971651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30</v>
      </c>
      <c r="AJ168" s="14">
        <f>AI168*VLOOKUP('Données projet'!$B$10,Paramètres!$A$1:$I$89,3,0)*VLOOKUP('Données projet'!$B$10,Paramètres!$A$1:$I$89,5,0)</f>
        <v>16.473599999999998</v>
      </c>
      <c r="AK168" s="14">
        <f t="shared" si="164"/>
        <v>5.479064311766531</v>
      </c>
      <c r="AL168" s="22">
        <f t="shared" si="165"/>
        <v>38.2342236763267</v>
      </c>
      <c r="AM168" s="62">
        <f t="shared" si="113"/>
        <v>331.56755700965999</v>
      </c>
      <c r="AN168" s="62">
        <f ca="1">AVERAGE(OFFSET($AM$3,0,0,'Données projet'!$E$10+1,1))-AVERAGE(OFFSET($H$3,0,0,'Données projet'!$E$10+1,1))</f>
        <v>72.817281731857122</v>
      </c>
      <c r="AO168" s="62">
        <f t="shared" si="144"/>
        <v>327.78949950303326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3.2640263202055029</v>
      </c>
      <c r="AV168" s="23">
        <f>EXP(-LN(2)/25)*AV167+(1-EXP(-LN(2)/25))/(LN(2)/25)*Calculateur!AQ168*Calculateur!AS168*VLOOKUP('Données projet'!$B$10,Paramètres!$A$1:$I$89,3,0)*0.475*44/12</f>
        <v>0.15441141177527465</v>
      </c>
      <c r="AW168" s="23">
        <f>EXP(-LN(2)/2)*AW167+(1-EXP(-LN(2)/2))/(LN(2)/2)*AQ168*AT168*VLOOKUP('Données projet'!$B$10,Paramètres!$A$1:$I$89,3,0)*0.475*44/12</f>
        <v>3.4244467910453178E-22</v>
      </c>
      <c r="AX168" s="23">
        <f t="shared" si="166"/>
        <v>3.4184377319807777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30</v>
      </c>
      <c r="O169" s="14">
        <f>N169*VLOOKUP('Données projet'!$B$9,Paramètres!$A$1:$I$89,3,0)*VLOOKUP('Données projet'!$B$9,Paramètres!$A$1:$I$89,5,0)</f>
        <v>14.5548</v>
      </c>
      <c r="P169" s="14">
        <f t="shared" si="141"/>
        <v>4.9111633609399075</v>
      </c>
      <c r="Q169" s="22">
        <f t="shared" si="162"/>
        <v>33.903219520303679</v>
      </c>
      <c r="R169" s="62">
        <f t="shared" si="109"/>
        <v>327.23655285363702</v>
      </c>
      <c r="S169" s="62">
        <f ca="1">AVERAGE(OFFSET($R$3,0,0,'Données projet'!$E$9+1,1))-AVERAGE(OFFSET($H$3,0,0,'Données projet'!$E$9+1,1))</f>
        <v>65.585138535467195</v>
      </c>
      <c r="T169" s="62">
        <f t="shared" si="142"/>
        <v>292.56159092613944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2.8272910647213259</v>
      </c>
      <c r="AA169" s="23">
        <f>EXP(-LN(2)/25)*AA168+(1-EXP(-LN(2)/25))/(LN(2)/25)*Calculateur!V169*Calculateur!X169*VLOOKUP('Données projet'!$B$9,Paramètres!$A$1:$I$89,3,0)*0.475*44/12</f>
        <v>0.13269541573762095</v>
      </c>
      <c r="AB169" s="23">
        <f>EXP(-LN(2)/2)*AB168+(1-EXP(-LN(2)/2))/(LN(2)/2)*V169*Y169*VLOOKUP('Données projet'!$B$9,Paramètres!$A$1:$I$89,3,0)*0.475*44/12</f>
        <v>2.1394057083908056E-22</v>
      </c>
      <c r="AC169" s="24">
        <f t="shared" si="163"/>
        <v>2.9599864804589466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30</v>
      </c>
      <c r="AJ169" s="14">
        <f>AI169*VLOOKUP('Données projet'!$B$10,Paramètres!$A$1:$I$89,3,0)*VLOOKUP('Données projet'!$B$10,Paramètres!$A$1:$I$89,5,0)</f>
        <v>16.473599999999998</v>
      </c>
      <c r="AK169" s="14">
        <f t="shared" si="164"/>
        <v>5.479064311766531</v>
      </c>
      <c r="AL169" s="22">
        <f t="shared" si="165"/>
        <v>38.2342236763267</v>
      </c>
      <c r="AM169" s="62">
        <f t="shared" si="113"/>
        <v>331.56755700965999</v>
      </c>
      <c r="AN169" s="62">
        <f ca="1">AVERAGE(OFFSET($AM$3,0,0,'Données projet'!$E$10+1,1))-AVERAGE(OFFSET($H$3,0,0,'Données projet'!$E$10+1,1))</f>
        <v>72.817281731857122</v>
      </c>
      <c r="AO169" s="62">
        <f t="shared" si="144"/>
        <v>327.78949950303326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3.2000207549257471</v>
      </c>
      <c r="AV169" s="23">
        <f>EXP(-LN(2)/25)*AV168+(1-EXP(-LN(2)/25))/(LN(2)/25)*Calculateur!AQ169*Calculateur!AS169*VLOOKUP('Données projet'!$B$10,Paramètres!$A$1:$I$89,3,0)*0.475*44/12</f>
        <v>0.15018902360013653</v>
      </c>
      <c r="AW169" s="23">
        <f>EXP(-LN(2)/2)*AW168+(1-EXP(-LN(2)/2))/(LN(2)/2)*AQ169*AT169*VLOOKUP('Données projet'!$B$10,Paramètres!$A$1:$I$89,3,0)*0.475*44/12</f>
        <v>2.4214495477606563E-22</v>
      </c>
      <c r="AX169" s="23">
        <f t="shared" si="166"/>
        <v>3.3502097785258838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30</v>
      </c>
      <c r="O170" s="14">
        <f>N170*VLOOKUP('Données projet'!$B$9,Paramètres!$A$1:$I$89,3,0)*VLOOKUP('Données projet'!$B$9,Paramètres!$A$1:$I$89,5,0)</f>
        <v>14.5548</v>
      </c>
      <c r="P170" s="14">
        <f t="shared" si="141"/>
        <v>4.9111633609399075</v>
      </c>
      <c r="Q170" s="22">
        <f t="shared" si="162"/>
        <v>33.903219520303679</v>
      </c>
      <c r="R170" s="62">
        <f t="shared" si="109"/>
        <v>327.23655285363702</v>
      </c>
      <c r="S170" s="62">
        <f ca="1">AVERAGE(OFFSET($R$3,0,0,'Données projet'!$E$9+1,1))-AVERAGE(OFFSET($H$3,0,0,'Données projet'!$E$9+1,1))</f>
        <v>65.585138535467195</v>
      </c>
      <c r="T170" s="62">
        <f t="shared" si="142"/>
        <v>292.56159092613944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2.771849611419412</v>
      </c>
      <c r="AA170" s="23">
        <f>EXP(-LN(2)/25)*AA169+(1-EXP(-LN(2)/25))/(LN(2)/25)*Calculateur!V170*Calculateur!X170*VLOOKUP('Données projet'!$B$9,Paramètres!$A$1:$I$89,3,0)*0.475*44/12</f>
        <v>0.12906685261612708</v>
      </c>
      <c r="AB170" s="23">
        <f>EXP(-LN(2)/2)*AB169+(1-EXP(-LN(2)/2))/(LN(2)/2)*V170*Y170*VLOOKUP('Données projet'!$B$9,Paramètres!$A$1:$I$89,3,0)*0.475*44/12</f>
        <v>1.5127882841123482E-22</v>
      </c>
      <c r="AC170" s="24">
        <f t="shared" si="163"/>
        <v>2.9009164640355389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30</v>
      </c>
      <c r="AJ170" s="14">
        <f>AI170*VLOOKUP('Données projet'!$B$10,Paramètres!$A$1:$I$89,3,0)*VLOOKUP('Données projet'!$B$10,Paramètres!$A$1:$I$89,5,0)</f>
        <v>16.473599999999998</v>
      </c>
      <c r="AK170" s="14">
        <f t="shared" si="164"/>
        <v>5.479064311766531</v>
      </c>
      <c r="AL170" s="22">
        <f t="shared" si="165"/>
        <v>38.2342236763267</v>
      </c>
      <c r="AM170" s="62">
        <f t="shared" si="113"/>
        <v>331.56755700965999</v>
      </c>
      <c r="AN170" s="62">
        <f ca="1">AVERAGE(OFFSET($AM$3,0,0,'Données projet'!$E$10+1,1))-AVERAGE(OFFSET($H$3,0,0,'Données projet'!$E$10+1,1))</f>
        <v>72.817281731857122</v>
      </c>
      <c r="AO170" s="62">
        <f t="shared" si="144"/>
        <v>327.78949950303326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3.1372702997415876</v>
      </c>
      <c r="AV170" s="23">
        <f>EXP(-LN(2)/25)*AV169+(1-EXP(-LN(2)/25))/(LN(2)/25)*Calculateur!AQ170*Calculateur!AS170*VLOOKUP('Données projet'!$B$10,Paramètres!$A$1:$I$89,3,0)*0.475*44/12</f>
        <v>0.14608209685169329</v>
      </c>
      <c r="AW170" s="23">
        <f>EXP(-LN(2)/2)*AW169+(1-EXP(-LN(2)/2))/(LN(2)/2)*AQ170*AT170*VLOOKUP('Données projet'!$B$10,Paramètres!$A$1:$I$89,3,0)*0.475*44/12</f>
        <v>1.7122233955226589E-22</v>
      </c>
      <c r="AX170" s="23">
        <f t="shared" si="166"/>
        <v>3.2833523965932807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30</v>
      </c>
      <c r="O171" s="14">
        <f>N171*VLOOKUP('Données projet'!$B$9,Paramètres!$A$1:$I$89,3,0)*VLOOKUP('Données projet'!$B$9,Paramètres!$A$1:$I$89,5,0)</f>
        <v>14.5548</v>
      </c>
      <c r="P171" s="14">
        <f t="shared" si="141"/>
        <v>4.9111633609399075</v>
      </c>
      <c r="Q171" s="22">
        <f t="shared" si="162"/>
        <v>33.903219520303679</v>
      </c>
      <c r="R171" s="62">
        <f t="shared" si="109"/>
        <v>327.23655285363702</v>
      </c>
      <c r="S171" s="62">
        <f ca="1">AVERAGE(OFFSET($R$3,0,0,'Données projet'!$E$9+1,1))-AVERAGE(OFFSET($H$3,0,0,'Données projet'!$E$9+1,1))</f>
        <v>65.585138535467195</v>
      </c>
      <c r="T171" s="62">
        <f t="shared" si="142"/>
        <v>292.56159092613944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2.7174953312008014</v>
      </c>
      <c r="AA171" s="23">
        <f>EXP(-LN(2)/25)*AA170+(1-EXP(-LN(2)/25))/(LN(2)/25)*Calculateur!V171*Calculateur!X171*VLOOKUP('Données projet'!$B$9,Paramètres!$A$1:$I$89,3,0)*0.475*44/12</f>
        <v>0.12553751274400829</v>
      </c>
      <c r="AB171" s="23">
        <f>EXP(-LN(2)/2)*AB170+(1-EXP(-LN(2)/2))/(LN(2)/2)*V171*Y171*VLOOKUP('Données projet'!$B$9,Paramètres!$A$1:$I$89,3,0)*0.475*44/12</f>
        <v>1.0697028541954028E-22</v>
      </c>
      <c r="AC171" s="24">
        <f t="shared" si="163"/>
        <v>2.8430328439448096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30</v>
      </c>
      <c r="AJ171" s="14">
        <f>AI171*VLOOKUP('Données projet'!$B$10,Paramètres!$A$1:$I$89,3,0)*VLOOKUP('Données projet'!$B$10,Paramètres!$A$1:$I$89,5,0)</f>
        <v>16.473599999999998</v>
      </c>
      <c r="AK171" s="14">
        <f t="shared" si="164"/>
        <v>5.479064311766531</v>
      </c>
      <c r="AL171" s="22">
        <f t="shared" si="165"/>
        <v>38.2342236763267</v>
      </c>
      <c r="AM171" s="62">
        <f t="shared" si="113"/>
        <v>331.56755700965999</v>
      </c>
      <c r="AN171" s="62">
        <f ca="1">AVERAGE(OFFSET($AM$3,0,0,'Données projet'!$E$10+1,1))-AVERAGE(OFFSET($H$3,0,0,'Données projet'!$E$10+1,1))</f>
        <v>72.817281731857122</v>
      </c>
      <c r="AO171" s="62">
        <f t="shared" si="144"/>
        <v>327.78949950303326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3.0757503427095907</v>
      </c>
      <c r="AV171" s="23">
        <f>EXP(-LN(2)/25)*AV170+(1-EXP(-LN(2)/25))/(LN(2)/25)*Calculateur!AQ171*Calculateur!AS171*VLOOKUP('Données projet'!$B$10,Paramètres!$A$1:$I$89,3,0)*0.475*44/12</f>
        <v>0.14208747423116014</v>
      </c>
      <c r="AW171" s="23">
        <f>EXP(-LN(2)/2)*AW170+(1-EXP(-LN(2)/2))/(LN(2)/2)*AQ171*AT171*VLOOKUP('Données projet'!$B$10,Paramètres!$A$1:$I$89,3,0)*0.475*44/12</f>
        <v>1.2107247738803282E-22</v>
      </c>
      <c r="AX171" s="23">
        <f t="shared" si="166"/>
        <v>3.2178378169407509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30</v>
      </c>
      <c r="O172" s="14">
        <f>N172*VLOOKUP('Données projet'!$B$9,Paramètres!$A$1:$I$89,3,0)*VLOOKUP('Données projet'!$B$9,Paramètres!$A$1:$I$89,5,0)</f>
        <v>14.5548</v>
      </c>
      <c r="P172" s="14">
        <f t="shared" si="141"/>
        <v>4.9111633609399075</v>
      </c>
      <c r="Q172" s="22">
        <f t="shared" si="162"/>
        <v>33.903219520303679</v>
      </c>
      <c r="R172" s="62">
        <f t="shared" si="109"/>
        <v>327.23655285363702</v>
      </c>
      <c r="S172" s="62">
        <f ca="1">AVERAGE(OFFSET($R$3,0,0,'Données projet'!$E$9+1,1))-AVERAGE(OFFSET($H$3,0,0,'Données projet'!$E$9+1,1))</f>
        <v>65.585138535467195</v>
      </c>
      <c r="T172" s="62">
        <f t="shared" si="142"/>
        <v>292.56159092613944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2.6642069052644404</v>
      </c>
      <c r="AA172" s="23">
        <f>EXP(-LN(2)/25)*AA171+(1-EXP(-LN(2)/25))/(LN(2)/25)*Calculateur!V172*Calculateur!X172*VLOOKUP('Données projet'!$B$9,Paramètres!$A$1:$I$89,3,0)*0.475*44/12</f>
        <v>0.1221046828562925</v>
      </c>
      <c r="AB172" s="23">
        <f>EXP(-LN(2)/2)*AB171+(1-EXP(-LN(2)/2))/(LN(2)/2)*V172*Y172*VLOOKUP('Données projet'!$B$9,Paramètres!$A$1:$I$89,3,0)*0.475*44/12</f>
        <v>7.5639414205617408E-23</v>
      </c>
      <c r="AC172" s="24">
        <f t="shared" si="163"/>
        <v>2.786311588120733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30</v>
      </c>
      <c r="AJ172" s="14">
        <f>AI172*VLOOKUP('Données projet'!$B$10,Paramètres!$A$1:$I$89,3,0)*VLOOKUP('Données projet'!$B$10,Paramètres!$A$1:$I$89,5,0)</f>
        <v>16.473599999999998</v>
      </c>
      <c r="AK172" s="14">
        <f t="shared" si="164"/>
        <v>5.479064311766531</v>
      </c>
      <c r="AL172" s="22">
        <f t="shared" si="165"/>
        <v>38.2342236763267</v>
      </c>
      <c r="AM172" s="62">
        <f t="shared" si="113"/>
        <v>331.56755700965999</v>
      </c>
      <c r="AN172" s="62">
        <f ca="1">AVERAGE(OFFSET($AM$3,0,0,'Données projet'!$E$10+1,1))-AVERAGE(OFFSET($H$3,0,0,'Données projet'!$E$10+1,1))</f>
        <v>72.817281731857122</v>
      </c>
      <c r="AO172" s="62">
        <f t="shared" si="144"/>
        <v>327.78949950303326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3.0154367545115228</v>
      </c>
      <c r="AV172" s="23">
        <f>EXP(-LN(2)/25)*AV171+(1-EXP(-LN(2)/25))/(LN(2)/25)*Calculateur!AQ172*Calculateur!AS172*VLOOKUP('Données projet'!$B$10,Paramètres!$A$1:$I$89,3,0)*0.475*44/12</f>
        <v>0.13820208477625354</v>
      </c>
      <c r="AW172" s="23">
        <f>EXP(-LN(2)/2)*AW171+(1-EXP(-LN(2)/2))/(LN(2)/2)*AQ172*AT172*VLOOKUP('Données projet'!$B$10,Paramètres!$A$1:$I$89,3,0)*0.475*44/12</f>
        <v>8.5611169776132945E-23</v>
      </c>
      <c r="AX172" s="23">
        <f t="shared" si="166"/>
        <v>3.1536388392877766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30</v>
      </c>
      <c r="O173" s="14">
        <f>N173*VLOOKUP('Données projet'!$B$9,Paramètres!$A$1:$I$89,3,0)*VLOOKUP('Données projet'!$B$9,Paramètres!$A$1:$I$89,5,0)</f>
        <v>14.5548</v>
      </c>
      <c r="P173" s="14">
        <f t="shared" si="141"/>
        <v>4.9111633609399075</v>
      </c>
      <c r="Q173" s="22">
        <f t="shared" si="162"/>
        <v>33.903219520303679</v>
      </c>
      <c r="R173" s="62">
        <f t="shared" si="109"/>
        <v>327.23655285363702</v>
      </c>
      <c r="S173" s="62">
        <f ca="1">AVERAGE(OFFSET($R$3,0,0,'Données projet'!$E$9+1,1))-AVERAGE(OFFSET($H$3,0,0,'Données projet'!$E$9+1,1))</f>
        <v>65.585138535467195</v>
      </c>
      <c r="T173" s="62">
        <f t="shared" si="142"/>
        <v>292.56159092613944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2.6119634328579608</v>
      </c>
      <c r="AA173" s="23">
        <f>EXP(-LN(2)/25)*AA172+(1-EXP(-LN(2)/25))/(LN(2)/25)*Calculateur!V173*Calculateur!X173*VLOOKUP('Données projet'!$B$9,Paramètres!$A$1:$I$89,3,0)*0.475*44/12</f>
        <v>0.11876572388238099</v>
      </c>
      <c r="AB173" s="23">
        <f>EXP(-LN(2)/2)*AB172+(1-EXP(-LN(2)/2))/(LN(2)/2)*V173*Y173*VLOOKUP('Données projet'!$B$9,Paramètres!$A$1:$I$89,3,0)*0.475*44/12</f>
        <v>5.3485142709770141E-23</v>
      </c>
      <c r="AC173" s="24">
        <f t="shared" si="163"/>
        <v>2.7307291567403418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30</v>
      </c>
      <c r="AJ173" s="14">
        <f>AI173*VLOOKUP('Données projet'!$B$10,Paramètres!$A$1:$I$89,3,0)*VLOOKUP('Données projet'!$B$10,Paramètres!$A$1:$I$89,5,0)</f>
        <v>16.473599999999998</v>
      </c>
      <c r="AK173" s="14">
        <f t="shared" si="164"/>
        <v>5.479064311766531</v>
      </c>
      <c r="AL173" s="22">
        <f t="shared" si="165"/>
        <v>38.2342236763267</v>
      </c>
      <c r="AM173" s="62">
        <f t="shared" si="113"/>
        <v>331.56755700965999</v>
      </c>
      <c r="AN173" s="62">
        <f ca="1">AVERAGE(OFFSET($AM$3,0,0,'Données projet'!$E$10+1,1))-AVERAGE(OFFSET($H$3,0,0,'Données projet'!$E$10+1,1))</f>
        <v>72.817281731857122</v>
      </c>
      <c r="AO173" s="62">
        <f t="shared" si="144"/>
        <v>327.78949950303326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2.9563058789903627</v>
      </c>
      <c r="AV173" s="23">
        <f>EXP(-LN(2)/25)*AV172+(1-EXP(-LN(2)/25))/(LN(2)/25)*Calculateur!AQ173*Calculateur!AS173*VLOOKUP('Données projet'!$B$10,Paramètres!$A$1:$I$89,3,0)*0.475*44/12</f>
        <v>0.13442294150031511</v>
      </c>
      <c r="AW173" s="23">
        <f>EXP(-LN(2)/2)*AW172+(1-EXP(-LN(2)/2))/(LN(2)/2)*AQ173*AT173*VLOOKUP('Données projet'!$B$10,Paramètres!$A$1:$I$89,3,0)*0.475*44/12</f>
        <v>6.0536238694016408E-23</v>
      </c>
      <c r="AX173" s="23">
        <f t="shared" si="166"/>
        <v>3.090728820490678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30</v>
      </c>
      <c r="O174" s="14">
        <f>N174*VLOOKUP('Données projet'!$B$9,Paramètres!$A$1:$I$89,3,0)*VLOOKUP('Données projet'!$B$9,Paramètres!$A$1:$I$89,5,0)</f>
        <v>14.5548</v>
      </c>
      <c r="P174" s="14">
        <f t="shared" si="141"/>
        <v>4.9111633609399075</v>
      </c>
      <c r="Q174" s="22">
        <f t="shared" si="162"/>
        <v>33.903219520303679</v>
      </c>
      <c r="R174" s="62">
        <f t="shared" si="109"/>
        <v>327.23655285363702</v>
      </c>
      <c r="S174" s="62">
        <f ca="1">AVERAGE(OFFSET($R$3,0,0,'Données projet'!$E$9+1,1))-AVERAGE(OFFSET($H$3,0,0,'Données projet'!$E$9+1,1))</f>
        <v>65.585138535467195</v>
      </c>
      <c r="T174" s="62">
        <f t="shared" si="142"/>
        <v>292.56159092613944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2.5607444230800009</v>
      </c>
      <c r="AA174" s="23">
        <f>EXP(-LN(2)/25)*AA173+(1-EXP(-LN(2)/25))/(LN(2)/25)*Calculateur!V174*Calculateur!X174*VLOOKUP('Données projet'!$B$9,Paramètres!$A$1:$I$89,3,0)*0.475*44/12</f>
        <v>0.1155180689171993</v>
      </c>
      <c r="AB174" s="23">
        <f>EXP(-LN(2)/2)*AB173+(1-EXP(-LN(2)/2))/(LN(2)/2)*V174*Y174*VLOOKUP('Données projet'!$B$9,Paramètres!$A$1:$I$89,3,0)*0.475*44/12</f>
        <v>3.7819707102808704E-23</v>
      </c>
      <c r="AC174" s="24">
        <f t="shared" si="163"/>
        <v>2.6762624919972002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30</v>
      </c>
      <c r="AJ174" s="14">
        <f>AI174*VLOOKUP('Données projet'!$B$10,Paramètres!$A$1:$I$89,3,0)*VLOOKUP('Données projet'!$B$10,Paramètres!$A$1:$I$89,5,0)</f>
        <v>16.473599999999998</v>
      </c>
      <c r="AK174" s="14">
        <f t="shared" si="164"/>
        <v>5.479064311766531</v>
      </c>
      <c r="AL174" s="22">
        <f t="shared" si="165"/>
        <v>38.2342236763267</v>
      </c>
      <c r="AM174" s="62">
        <f t="shared" si="113"/>
        <v>331.56755700965999</v>
      </c>
      <c r="AN174" s="62">
        <f ca="1">AVERAGE(OFFSET($AM$3,0,0,'Données projet'!$E$10+1,1))-AVERAGE(OFFSET($H$3,0,0,'Données projet'!$E$10+1,1))</f>
        <v>72.817281731857122</v>
      </c>
      <c r="AO174" s="62">
        <f t="shared" si="144"/>
        <v>327.78949950303326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2.8983345238718998</v>
      </c>
      <c r="AV174" s="23">
        <f>EXP(-LN(2)/25)*AV173+(1-EXP(-LN(2)/25))/(LN(2)/25)*Calculateur!AQ174*Calculateur!AS174*VLOOKUP('Données projet'!$B$10,Paramètres!$A$1:$I$89,3,0)*0.475*44/12</f>
        <v>0.13074713909599373</v>
      </c>
      <c r="AW174" s="23">
        <f>EXP(-LN(2)/2)*AW173+(1-EXP(-LN(2)/2))/(LN(2)/2)*AQ174*AT174*VLOOKUP('Données projet'!$B$10,Paramètres!$A$1:$I$89,3,0)*0.475*44/12</f>
        <v>4.2805584888066472E-23</v>
      </c>
      <c r="AX174" s="23">
        <f t="shared" si="166"/>
        <v>3.0290816629678936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30</v>
      </c>
      <c r="O175" s="14">
        <f>N175*VLOOKUP('Données projet'!$B$9,Paramètres!$A$1:$I$89,3,0)*VLOOKUP('Données projet'!$B$9,Paramètres!$A$1:$I$89,5,0)</f>
        <v>14.5548</v>
      </c>
      <c r="P175" s="14">
        <f t="shared" si="141"/>
        <v>4.9111633609399075</v>
      </c>
      <c r="Q175" s="22">
        <f t="shared" si="162"/>
        <v>33.903219520303679</v>
      </c>
      <c r="R175" s="62">
        <f t="shared" si="109"/>
        <v>327.23655285363702</v>
      </c>
      <c r="S175" s="62">
        <f ca="1">AVERAGE(OFFSET($R$3,0,0,'Données projet'!$E$9+1,1))-AVERAGE(OFFSET($H$3,0,0,'Données projet'!$E$9+1,1))</f>
        <v>65.585138535467195</v>
      </c>
      <c r="T175" s="62">
        <f t="shared" si="142"/>
        <v>292.56159092613944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2.5105297868432754</v>
      </c>
      <c r="AA175" s="23">
        <f>EXP(-LN(2)/25)*AA174+(1-EXP(-LN(2)/25))/(LN(2)/25)*Calculateur!V175*Calculateur!X175*VLOOKUP('Données projet'!$B$9,Paramètres!$A$1:$I$89,3,0)*0.475*44/12</f>
        <v>0.11235922124782727</v>
      </c>
      <c r="AB175" s="23">
        <f>EXP(-LN(2)/2)*AB174+(1-EXP(-LN(2)/2))/(LN(2)/2)*V175*Y175*VLOOKUP('Données projet'!$B$9,Paramètres!$A$1:$I$89,3,0)*0.475*44/12</f>
        <v>2.674257135488507E-23</v>
      </c>
      <c r="AC175" s="24">
        <f t="shared" si="163"/>
        <v>2.6228890080911027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30</v>
      </c>
      <c r="AJ175" s="14">
        <f>AI175*VLOOKUP('Données projet'!$B$10,Paramètres!$A$1:$I$89,3,0)*VLOOKUP('Données projet'!$B$10,Paramètres!$A$1:$I$89,5,0)</f>
        <v>16.473599999999998</v>
      </c>
      <c r="AK175" s="14">
        <f t="shared" si="164"/>
        <v>5.479064311766531</v>
      </c>
      <c r="AL175" s="22">
        <f t="shared" si="165"/>
        <v>38.2342236763267</v>
      </c>
      <c r="AM175" s="62">
        <f t="shared" si="113"/>
        <v>331.56755700965999</v>
      </c>
      <c r="AN175" s="62">
        <f ca="1">AVERAGE(OFFSET($AM$3,0,0,'Données projet'!$E$10+1,1))-AVERAGE(OFFSET($H$3,0,0,'Données projet'!$E$10+1,1))</f>
        <v>72.817281731857122</v>
      </c>
      <c r="AO175" s="62">
        <f t="shared" si="144"/>
        <v>327.78949950303326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2.8414999516682746</v>
      </c>
      <c r="AV175" s="23">
        <f>EXP(-LN(2)/25)*AV174+(1-EXP(-LN(2)/25))/(LN(2)/25)*Calculateur!AQ175*Calculateur!AS175*VLOOKUP('Données projet'!$B$10,Paramètres!$A$1:$I$89,3,0)*0.475*44/12</f>
        <v>0.12717185170172055</v>
      </c>
      <c r="AW175" s="23">
        <f>EXP(-LN(2)/2)*AW174+(1-EXP(-LN(2)/2))/(LN(2)/2)*AQ175*AT175*VLOOKUP('Données projet'!$B$10,Paramètres!$A$1:$I$89,3,0)*0.475*44/12</f>
        <v>3.0268119347008204E-23</v>
      </c>
      <c r="AX175" s="23">
        <f t="shared" si="166"/>
        <v>2.968671803369995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30</v>
      </c>
      <c r="O176" s="14">
        <f>N176*VLOOKUP('Données projet'!$B$9,Paramètres!$A$1:$I$89,3,0)*VLOOKUP('Données projet'!$B$9,Paramètres!$A$1:$I$89,5,0)</f>
        <v>14.5548</v>
      </c>
      <c r="P176" s="14">
        <f t="shared" si="141"/>
        <v>4.9111633609399075</v>
      </c>
      <c r="Q176" s="22">
        <f t="shared" si="162"/>
        <v>33.903219520303679</v>
      </c>
      <c r="R176" s="62">
        <f t="shared" si="109"/>
        <v>327.23655285363702</v>
      </c>
      <c r="S176" s="62">
        <f ca="1">AVERAGE(OFFSET($R$3,0,0,'Données projet'!$E$9+1,1))-AVERAGE(OFFSET($H$3,0,0,'Données projet'!$E$9+1,1))</f>
        <v>65.585138535467195</v>
      </c>
      <c r="T176" s="62">
        <f t="shared" si="142"/>
        <v>292.56159092613944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2.4612998289952484</v>
      </c>
      <c r="AA176" s="23">
        <f>EXP(-LN(2)/25)*AA175+(1-EXP(-LN(2)/25))/(LN(2)/25)*Calculateur!V176*Calculateur!X176*VLOOKUP('Données projet'!$B$9,Paramètres!$A$1:$I$89,3,0)*0.475*44/12</f>
        <v>0.10928675243409079</v>
      </c>
      <c r="AB176" s="23">
        <f>EXP(-LN(2)/2)*AB175+(1-EXP(-LN(2)/2))/(LN(2)/2)*V176*Y176*VLOOKUP('Données projet'!$B$9,Paramètres!$A$1:$I$89,3,0)*0.475*44/12</f>
        <v>1.8909853551404352E-23</v>
      </c>
      <c r="AC176" s="24">
        <f t="shared" si="163"/>
        <v>2.5705865814293389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30</v>
      </c>
      <c r="AJ176" s="14">
        <f>AI176*VLOOKUP('Données projet'!$B$10,Paramètres!$A$1:$I$89,3,0)*VLOOKUP('Données projet'!$B$10,Paramètres!$A$1:$I$89,5,0)</f>
        <v>16.473599999999998</v>
      </c>
      <c r="AK176" s="14">
        <f t="shared" si="164"/>
        <v>5.479064311766531</v>
      </c>
      <c r="AL176" s="22">
        <f t="shared" si="165"/>
        <v>38.2342236763267</v>
      </c>
      <c r="AM176" s="62">
        <f t="shared" si="113"/>
        <v>331.56755700965999</v>
      </c>
      <c r="AN176" s="62">
        <f ca="1">AVERAGE(OFFSET($AM$3,0,0,'Données projet'!$E$10+1,1))-AVERAGE(OFFSET($H$3,0,0,'Données projet'!$E$10+1,1))</f>
        <v>72.817281731857122</v>
      </c>
      <c r="AO176" s="62">
        <f t="shared" si="144"/>
        <v>327.78949950303326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2.7857798707598964</v>
      </c>
      <c r="AV176" s="23">
        <f>EXP(-LN(2)/25)*AV175+(1-EXP(-LN(2)/25))/(LN(2)/25)*Calculateur!AQ176*Calculateur!AS176*VLOOKUP('Données projet'!$B$10,Paramètres!$A$1:$I$89,3,0)*0.475*44/12</f>
        <v>0.12369433072925998</v>
      </c>
      <c r="AW176" s="23">
        <f>EXP(-LN(2)/2)*AW175+(1-EXP(-LN(2)/2))/(LN(2)/2)*AQ176*AT176*VLOOKUP('Données projet'!$B$10,Paramètres!$A$1:$I$89,3,0)*0.475*44/12</f>
        <v>2.1402792444033236E-23</v>
      </c>
      <c r="AX176" s="23">
        <f t="shared" si="166"/>
        <v>2.9094742014891564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30</v>
      </c>
      <c r="O177" s="14">
        <f>N177*VLOOKUP('Données projet'!$B$9,Paramètres!$A$1:$I$89,3,0)*VLOOKUP('Données projet'!$B$9,Paramètres!$A$1:$I$89,5,0)</f>
        <v>14.5548</v>
      </c>
      <c r="P177" s="14">
        <f t="shared" si="141"/>
        <v>4.9111633609399075</v>
      </c>
      <c r="Q177" s="22">
        <f t="shared" si="162"/>
        <v>33.903219520303679</v>
      </c>
      <c r="R177" s="62">
        <f t="shared" si="109"/>
        <v>327.23655285363702</v>
      </c>
      <c r="S177" s="62">
        <f ca="1">AVERAGE(OFFSET($R$3,0,0,'Données projet'!$E$9+1,1))-AVERAGE(OFFSET($H$3,0,0,'Données projet'!$E$9+1,1))</f>
        <v>65.585138535467195</v>
      </c>
      <c r="T177" s="62">
        <f t="shared" si="142"/>
        <v>292.56159092613944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2.4130352405933118</v>
      </c>
      <c r="AA177" s="23">
        <f>EXP(-LN(2)/25)*AA176+(1-EXP(-LN(2)/25))/(LN(2)/25)*Calculateur!V177*Calculateur!X177*VLOOKUP('Données projet'!$B$9,Paramètres!$A$1:$I$89,3,0)*0.475*44/12</f>
        <v>0.10629830044164004</v>
      </c>
      <c r="AB177" s="23">
        <f>EXP(-LN(2)/2)*AB176+(1-EXP(-LN(2)/2))/(LN(2)/2)*V177*Y177*VLOOKUP('Données projet'!$B$9,Paramètres!$A$1:$I$89,3,0)*0.475*44/12</f>
        <v>1.3371285677442535E-23</v>
      </c>
      <c r="AC177" s="24">
        <f t="shared" si="163"/>
        <v>2.519333541034952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30</v>
      </c>
      <c r="AJ177" s="14">
        <f>AI177*VLOOKUP('Données projet'!$B$10,Paramètres!$A$1:$I$89,3,0)*VLOOKUP('Données projet'!$B$10,Paramètres!$A$1:$I$89,5,0)</f>
        <v>16.473599999999998</v>
      </c>
      <c r="AK177" s="14">
        <f t="shared" si="164"/>
        <v>5.479064311766531</v>
      </c>
      <c r="AL177" s="22">
        <f t="shared" si="165"/>
        <v>38.2342236763267</v>
      </c>
      <c r="AM177" s="62">
        <f t="shared" si="113"/>
        <v>331.56755700965999</v>
      </c>
      <c r="AN177" s="62">
        <f ca="1">AVERAGE(OFFSET($AM$3,0,0,'Données projet'!$E$10+1,1))-AVERAGE(OFFSET($H$3,0,0,'Données projet'!$E$10+1,1))</f>
        <v>72.817281731857122</v>
      </c>
      <c r="AO177" s="62">
        <f t="shared" si="144"/>
        <v>327.78949950303326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2.7311524266522382</v>
      </c>
      <c r="AV177" s="23">
        <f>EXP(-LN(2)/25)*AV176+(1-EXP(-LN(2)/25))/(LN(2)/25)*Calculateur!AQ177*Calculateur!AS177*VLOOKUP('Données projet'!$B$10,Paramètres!$A$1:$I$89,3,0)*0.475*44/12</f>
        <v>0.12031190275066622</v>
      </c>
      <c r="AW177" s="23">
        <f>EXP(-LN(2)/2)*AW176+(1-EXP(-LN(2)/2))/(LN(2)/2)*AQ177*AT177*VLOOKUP('Données projet'!$B$10,Paramètres!$A$1:$I$89,3,0)*0.475*44/12</f>
        <v>1.5134059673504102E-23</v>
      </c>
      <c r="AX177" s="23">
        <f t="shared" si="166"/>
        <v>2.8514643294029045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30</v>
      </c>
      <c r="O178" s="14">
        <f>N178*VLOOKUP('Données projet'!$B$9,Paramètres!$A$1:$I$89,3,0)*VLOOKUP('Données projet'!$B$9,Paramètres!$A$1:$I$89,5,0)</f>
        <v>14.5548</v>
      </c>
      <c r="P178" s="14">
        <f t="shared" si="141"/>
        <v>4.9111633609399075</v>
      </c>
      <c r="Q178" s="22">
        <f t="shared" si="162"/>
        <v>33.903219520303679</v>
      </c>
      <c r="R178" s="62">
        <f t="shared" si="109"/>
        <v>327.23655285363702</v>
      </c>
      <c r="S178" s="62">
        <f ca="1">AVERAGE(OFFSET($R$3,0,0,'Données projet'!$E$9+1,1))-AVERAGE(OFFSET($H$3,0,0,'Données projet'!$E$9+1,1))</f>
        <v>65.585138535467195</v>
      </c>
      <c r="T178" s="62">
        <f t="shared" si="142"/>
        <v>292.56159092613944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2.3657170913314447</v>
      </c>
      <c r="AA178" s="23">
        <f>EXP(-LN(2)/25)*AA177+(1-EXP(-LN(2)/25))/(LN(2)/25)*Calculateur!V178*Calculateur!X178*VLOOKUP('Données projet'!$B$9,Paramètres!$A$1:$I$89,3,0)*0.475*44/12</f>
        <v>0.10339156782607872</v>
      </c>
      <c r="AB178" s="23">
        <f>EXP(-LN(2)/2)*AB177+(1-EXP(-LN(2)/2))/(LN(2)/2)*V178*Y178*VLOOKUP('Données projet'!$B$9,Paramètres!$A$1:$I$89,3,0)*0.475*44/12</f>
        <v>9.454926775702176E-24</v>
      </c>
      <c r="AC178" s="24">
        <f t="shared" si="163"/>
        <v>2.4691086591575235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30</v>
      </c>
      <c r="AJ178" s="14">
        <f>AI178*VLOOKUP('Données projet'!$B$10,Paramètres!$A$1:$I$89,3,0)*VLOOKUP('Données projet'!$B$10,Paramètres!$A$1:$I$89,5,0)</f>
        <v>16.473599999999998</v>
      </c>
      <c r="AK178" s="14">
        <f t="shared" si="164"/>
        <v>5.479064311766531</v>
      </c>
      <c r="AL178" s="22">
        <f t="shared" si="165"/>
        <v>38.2342236763267</v>
      </c>
      <c r="AM178" s="62">
        <f t="shared" si="113"/>
        <v>331.56755700965999</v>
      </c>
      <c r="AN178" s="62">
        <f ca="1">AVERAGE(OFFSET($AM$3,0,0,'Données projet'!$E$10+1,1))-AVERAGE(OFFSET($H$3,0,0,'Données projet'!$E$10+1,1))</f>
        <v>72.817281731857122</v>
      </c>
      <c r="AO178" s="62">
        <f t="shared" si="144"/>
        <v>327.78949950303326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2.6775961934040802</v>
      </c>
      <c r="AV178" s="23">
        <f>EXP(-LN(2)/25)*AV177+(1-EXP(-LN(2)/25))/(LN(2)/25)*Calculateur!AQ178*Calculateur!AS178*VLOOKUP('Données projet'!$B$10,Paramètres!$A$1:$I$89,3,0)*0.475*44/12</f>
        <v>0.11702196744302126</v>
      </c>
      <c r="AW178" s="23">
        <f>EXP(-LN(2)/2)*AW177+(1-EXP(-LN(2)/2))/(LN(2)/2)*AQ178*AT178*VLOOKUP('Données projet'!$B$10,Paramètres!$A$1:$I$89,3,0)*0.475*44/12</f>
        <v>1.0701396222016618E-23</v>
      </c>
      <c r="AX178" s="23">
        <f t="shared" si="166"/>
        <v>2.7946181608471012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30</v>
      </c>
      <c r="O179" s="14">
        <f>N179*VLOOKUP('Données projet'!$B$9,Paramètres!$A$1:$I$89,3,0)*VLOOKUP('Données projet'!$B$9,Paramètres!$A$1:$I$89,5,0)</f>
        <v>14.5548</v>
      </c>
      <c r="P179" s="14">
        <f t="shared" si="141"/>
        <v>4.9111633609399075</v>
      </c>
      <c r="Q179" s="22">
        <f t="shared" si="162"/>
        <v>33.903219520303679</v>
      </c>
      <c r="R179" s="62">
        <f t="shared" si="109"/>
        <v>327.23655285363702</v>
      </c>
      <c r="S179" s="62">
        <f ca="1">AVERAGE(OFFSET($R$3,0,0,'Données projet'!$E$9+1,1))-AVERAGE(OFFSET($H$3,0,0,'Données projet'!$E$9+1,1))</f>
        <v>65.585138535467195</v>
      </c>
      <c r="T179" s="62">
        <f t="shared" si="142"/>
        <v>292.56159092613944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2.3193268221153818</v>
      </c>
      <c r="AA179" s="23">
        <f>EXP(-LN(2)/25)*AA178+(1-EXP(-LN(2)/25))/(LN(2)/25)*Calculateur!V179*Calculateur!X179*VLOOKUP('Données projet'!$B$9,Paramètres!$A$1:$I$89,3,0)*0.475*44/12</f>
        <v>0.10056431996674835</v>
      </c>
      <c r="AB179" s="23">
        <f>EXP(-LN(2)/2)*AB178+(1-EXP(-LN(2)/2))/(LN(2)/2)*V179*Y179*VLOOKUP('Données projet'!$B$9,Paramètres!$A$1:$I$89,3,0)*0.475*44/12</f>
        <v>6.6856428387212676E-24</v>
      </c>
      <c r="AC179" s="24">
        <f t="shared" si="163"/>
        <v>2.4198911420821303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30</v>
      </c>
      <c r="AJ179" s="14">
        <f>AI179*VLOOKUP('Données projet'!$B$10,Paramètres!$A$1:$I$89,3,0)*VLOOKUP('Données projet'!$B$10,Paramètres!$A$1:$I$89,5,0)</f>
        <v>16.473599999999998</v>
      </c>
      <c r="AK179" s="14">
        <f t="shared" si="164"/>
        <v>5.479064311766531</v>
      </c>
      <c r="AL179" s="22">
        <f t="shared" si="165"/>
        <v>38.2342236763267</v>
      </c>
      <c r="AM179" s="62">
        <f t="shared" si="113"/>
        <v>331.56755700965999</v>
      </c>
      <c r="AN179" s="62">
        <f ca="1">AVERAGE(OFFSET($AM$3,0,0,'Données projet'!$E$10+1,1))-AVERAGE(OFFSET($H$3,0,0,'Données projet'!$E$10+1,1))</f>
        <v>72.817281731857122</v>
      </c>
      <c r="AO179" s="62">
        <f t="shared" si="144"/>
        <v>327.78949950303326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2.6250901652238419</v>
      </c>
      <c r="AV179" s="23">
        <f>EXP(-LN(2)/25)*AV178+(1-EXP(-LN(2)/25))/(LN(2)/25)*Calculateur!AQ179*Calculateur!AS179*VLOOKUP('Données projet'!$B$10,Paramètres!$A$1:$I$89,3,0)*0.475*44/12</f>
        <v>0.11382199558937403</v>
      </c>
      <c r="AW179" s="23">
        <f>EXP(-LN(2)/2)*AW178+(1-EXP(-LN(2)/2))/(LN(2)/2)*AQ179*AT179*VLOOKUP('Données projet'!$B$10,Paramètres!$A$1:$I$89,3,0)*0.475*44/12</f>
        <v>7.567029836752051E-24</v>
      </c>
      <c r="AX179" s="23">
        <f t="shared" si="166"/>
        <v>2.7389121608132161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30</v>
      </c>
      <c r="O180" s="14">
        <f>N180*VLOOKUP('Données projet'!$B$9,Paramètres!$A$1:$I$89,3,0)*VLOOKUP('Données projet'!$B$9,Paramètres!$A$1:$I$89,5,0)</f>
        <v>14.5548</v>
      </c>
      <c r="P180" s="14">
        <f t="shared" si="141"/>
        <v>4.9111633609399075</v>
      </c>
      <c r="Q180" s="22">
        <f t="shared" si="162"/>
        <v>33.903219520303679</v>
      </c>
      <c r="R180" s="62">
        <f t="shared" si="109"/>
        <v>327.23655285363702</v>
      </c>
      <c r="S180" s="62">
        <f ca="1">AVERAGE(OFFSET($R$3,0,0,'Données projet'!$E$9+1,1))-AVERAGE(OFFSET($H$3,0,0,'Données projet'!$E$9+1,1))</f>
        <v>65.585138535467195</v>
      </c>
      <c r="T180" s="62">
        <f t="shared" si="142"/>
        <v>292.56159092613944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2.2738462377833755</v>
      </c>
      <c r="AA180" s="23">
        <f>EXP(-LN(2)/25)*AA179+(1-EXP(-LN(2)/25))/(LN(2)/25)*Calculateur!V180*Calculateur!X180*VLOOKUP('Données projet'!$B$9,Paramètres!$A$1:$I$89,3,0)*0.475*44/12</f>
        <v>9.7814383348809875E-2</v>
      </c>
      <c r="AB180" s="23">
        <f>EXP(-LN(2)/2)*AB179+(1-EXP(-LN(2)/2))/(LN(2)/2)*V180*Y180*VLOOKUP('Données projet'!$B$9,Paramètres!$A$1:$I$89,3,0)*0.475*44/12</f>
        <v>4.727463387851088E-24</v>
      </c>
      <c r="AC180" s="24">
        <f t="shared" si="163"/>
        <v>2.3716606211321851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30</v>
      </c>
      <c r="AJ180" s="14">
        <f>AI180*VLOOKUP('Données projet'!$B$10,Paramètres!$A$1:$I$89,3,0)*VLOOKUP('Données projet'!$B$10,Paramètres!$A$1:$I$89,5,0)</f>
        <v>16.473599999999998</v>
      </c>
      <c r="AK180" s="14">
        <f t="shared" si="164"/>
        <v>5.479064311766531</v>
      </c>
      <c r="AL180" s="22">
        <f t="shared" si="165"/>
        <v>38.2342236763267</v>
      </c>
      <c r="AM180" s="62">
        <f t="shared" si="113"/>
        <v>331.56755700965999</v>
      </c>
      <c r="AN180" s="62">
        <f ca="1">AVERAGE(OFFSET($AM$3,0,0,'Données projet'!$E$10+1,1))-AVERAGE(OFFSET($H$3,0,0,'Données projet'!$E$10+1,1))</f>
        <v>72.817281731857122</v>
      </c>
      <c r="AO180" s="62">
        <f t="shared" si="144"/>
        <v>327.78949950303326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2.5736137482307031</v>
      </c>
      <c r="AV180" s="23">
        <f>EXP(-LN(2)/25)*AV179+(1-EXP(-LN(2)/25))/(LN(2)/25)*Calculateur!AQ180*Calculateur!AS180*VLOOKUP('Données projet'!$B$10,Paramètres!$A$1:$I$89,3,0)*0.475*44/12</f>
        <v>0.110709527134344</v>
      </c>
      <c r="AW180" s="23">
        <f>EXP(-LN(2)/2)*AW179+(1-EXP(-LN(2)/2))/(LN(2)/2)*AQ180*AT180*VLOOKUP('Données projet'!$B$10,Paramètres!$A$1:$I$89,3,0)*0.475*44/12</f>
        <v>5.3506981110083091E-24</v>
      </c>
      <c r="AX180" s="23">
        <f t="shared" si="166"/>
        <v>2.6843232753650472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30</v>
      </c>
      <c r="O181" s="14">
        <f>N181*VLOOKUP('Données projet'!$B$9,Paramètres!$A$1:$I$89,3,0)*VLOOKUP('Données projet'!$B$9,Paramètres!$A$1:$I$89,5,0)</f>
        <v>14.5548</v>
      </c>
      <c r="P181" s="14">
        <f t="shared" si="141"/>
        <v>4.9111633609399075</v>
      </c>
      <c r="Q181" s="22">
        <f t="shared" si="162"/>
        <v>33.903219520303679</v>
      </c>
      <c r="R181" s="62">
        <f t="shared" si="109"/>
        <v>327.23655285363702</v>
      </c>
      <c r="S181" s="62">
        <f ca="1">AVERAGE(OFFSET($R$3,0,0,'Données projet'!$E$9+1,1))-AVERAGE(OFFSET($H$3,0,0,'Données projet'!$E$9+1,1))</f>
        <v>65.585138535467195</v>
      </c>
      <c r="T181" s="62">
        <f t="shared" si="142"/>
        <v>292.56159092613944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2.2292574999697026</v>
      </c>
      <c r="AA181" s="23">
        <f>EXP(-LN(2)/25)*AA180+(1-EXP(-LN(2)/25))/(LN(2)/25)*Calculateur!V181*Calculateur!X181*VLOOKUP('Données projet'!$B$9,Paramètres!$A$1:$I$89,3,0)*0.475*44/12</f>
        <v>9.5139643892301812E-2</v>
      </c>
      <c r="AB181" s="23">
        <f>EXP(-LN(2)/2)*AB180+(1-EXP(-LN(2)/2))/(LN(2)/2)*V181*Y181*VLOOKUP('Données projet'!$B$9,Paramètres!$A$1:$I$89,3,0)*0.475*44/12</f>
        <v>3.3428214193606338E-24</v>
      </c>
      <c r="AC181" s="24">
        <f t="shared" si="163"/>
        <v>2.3243971438620044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30</v>
      </c>
      <c r="AJ181" s="14">
        <f>AI181*VLOOKUP('Données projet'!$B$10,Paramètres!$A$1:$I$89,3,0)*VLOOKUP('Données projet'!$B$10,Paramètres!$A$1:$I$89,5,0)</f>
        <v>16.473599999999998</v>
      </c>
      <c r="AK181" s="14">
        <f t="shared" si="164"/>
        <v>5.479064311766531</v>
      </c>
      <c r="AL181" s="22">
        <f t="shared" si="165"/>
        <v>38.2342236763267</v>
      </c>
      <c r="AM181" s="62">
        <f t="shared" si="113"/>
        <v>331.56755700965999</v>
      </c>
      <c r="AN181" s="62">
        <f ca="1">AVERAGE(OFFSET($AM$3,0,0,'Données projet'!$E$10+1,1))-AVERAGE(OFFSET($H$3,0,0,'Données projet'!$E$10+1,1))</f>
        <v>72.817281731857122</v>
      </c>
      <c r="AO181" s="62">
        <f t="shared" si="144"/>
        <v>327.78949950303326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2.5231467523772855</v>
      </c>
      <c r="AV181" s="23">
        <f>EXP(-LN(2)/25)*AV180+(1-EXP(-LN(2)/25))/(LN(2)/25)*Calculateur!AQ181*Calculateur!AS181*VLOOKUP('Données projet'!$B$10,Paramètres!$A$1:$I$89,3,0)*0.475*44/12</f>
        <v>0.10768216929289436</v>
      </c>
      <c r="AW181" s="23">
        <f>EXP(-LN(2)/2)*AW180+(1-EXP(-LN(2)/2))/(LN(2)/2)*AQ181*AT181*VLOOKUP('Données projet'!$B$10,Paramètres!$A$1:$I$89,3,0)*0.475*44/12</f>
        <v>3.7835149183760255E-24</v>
      </c>
      <c r="AX181" s="23">
        <f t="shared" si="166"/>
        <v>2.6308289216701799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30</v>
      </c>
      <c r="O182" s="14">
        <f>N182*VLOOKUP('Données projet'!$B$9,Paramètres!$A$1:$I$89,3,0)*VLOOKUP('Données projet'!$B$9,Paramètres!$A$1:$I$89,5,0)</f>
        <v>14.5548</v>
      </c>
      <c r="P182" s="14">
        <f t="shared" si="141"/>
        <v>4.9111633609399075</v>
      </c>
      <c r="Q182" s="22">
        <f t="shared" si="162"/>
        <v>33.903219520303679</v>
      </c>
      <c r="R182" s="62">
        <f t="shared" si="109"/>
        <v>327.23655285363702</v>
      </c>
      <c r="S182" s="62">
        <f ca="1">AVERAGE(OFFSET($R$3,0,0,'Données projet'!$E$9+1,1))-AVERAGE(OFFSET($H$3,0,0,'Données projet'!$E$9+1,1))</f>
        <v>65.585138535467195</v>
      </c>
      <c r="T182" s="62">
        <f t="shared" si="142"/>
        <v>292.56159092613944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2.185543120108111</v>
      </c>
      <c r="AA182" s="23">
        <f>EXP(-LN(2)/25)*AA181+(1-EXP(-LN(2)/25))/(LN(2)/25)*Calculateur!V182*Calculateur!X182*VLOOKUP('Données projet'!$B$9,Paramètres!$A$1:$I$89,3,0)*0.475*44/12</f>
        <v>9.2538045326890389E-2</v>
      </c>
      <c r="AB182" s="23">
        <f>EXP(-LN(2)/2)*AB181+(1-EXP(-LN(2)/2))/(LN(2)/2)*V182*Y182*VLOOKUP('Données projet'!$B$9,Paramètres!$A$1:$I$89,3,0)*0.475*44/12</f>
        <v>2.363731693925544E-24</v>
      </c>
      <c r="AC182" s="24">
        <f t="shared" si="163"/>
        <v>2.2780811654350015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30</v>
      </c>
      <c r="AJ182" s="14">
        <f>AI182*VLOOKUP('Données projet'!$B$10,Paramètres!$A$1:$I$89,3,0)*VLOOKUP('Données projet'!$B$10,Paramètres!$A$1:$I$89,5,0)</f>
        <v>16.473599999999998</v>
      </c>
      <c r="AK182" s="14">
        <f t="shared" si="164"/>
        <v>5.479064311766531</v>
      </c>
      <c r="AL182" s="22">
        <f t="shared" si="165"/>
        <v>38.2342236763267</v>
      </c>
      <c r="AM182" s="62">
        <f t="shared" si="113"/>
        <v>331.56755700965999</v>
      </c>
      <c r="AN182" s="62">
        <f ca="1">AVERAGE(OFFSET($AM$3,0,0,'Données projet'!$E$10+1,1))-AVERAGE(OFFSET($H$3,0,0,'Données projet'!$E$10+1,1))</f>
        <v>72.817281731857122</v>
      </c>
      <c r="AO182" s="62">
        <f t="shared" si="144"/>
        <v>327.78949950303326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2.4736693835307255</v>
      </c>
      <c r="AV182" s="23">
        <f>EXP(-LN(2)/25)*AV181+(1-EXP(-LN(2)/25))/(LN(2)/25)*Calculateur!AQ182*Calculateur!AS182*VLOOKUP('Données projet'!$B$10,Paramètres!$A$1:$I$89,3,0)*0.475*44/12</f>
        <v>0.10473759471082099</v>
      </c>
      <c r="AW182" s="23">
        <f>EXP(-LN(2)/2)*AW181+(1-EXP(-LN(2)/2))/(LN(2)/2)*AQ182*AT182*VLOOKUP('Données projet'!$B$10,Paramètres!$A$1:$I$89,3,0)*0.475*44/12</f>
        <v>2.6753490555041545E-24</v>
      </c>
      <c r="AX182" s="23">
        <f t="shared" si="166"/>
        <v>2.5784069782415466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30</v>
      </c>
      <c r="O183" s="14">
        <f>N183*VLOOKUP('Données projet'!$B$9,Paramètres!$A$1:$I$89,3,0)*VLOOKUP('Données projet'!$B$9,Paramètres!$A$1:$I$89,5,0)</f>
        <v>14.5548</v>
      </c>
      <c r="P183" s="14">
        <f t="shared" si="141"/>
        <v>4.9111633609399075</v>
      </c>
      <c r="Q183" s="22">
        <f t="shared" si="162"/>
        <v>33.903219520303679</v>
      </c>
      <c r="R183" s="62">
        <f t="shared" si="109"/>
        <v>327.23655285363702</v>
      </c>
      <c r="S183" s="62">
        <f ca="1">AVERAGE(OFFSET($R$3,0,0,'Données projet'!$E$9+1,1))-AVERAGE(OFFSET($H$3,0,0,'Données projet'!$E$9+1,1))</f>
        <v>65.585138535467195</v>
      </c>
      <c r="T183" s="62">
        <f t="shared" si="142"/>
        <v>292.56159092613944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2.1426859525724664</v>
      </c>
      <c r="AA183" s="23">
        <f>EXP(-LN(2)/25)*AA182+(1-EXP(-LN(2)/25))/(LN(2)/25)*Calculateur!V183*Calculateur!X183*VLOOKUP('Données projet'!$B$9,Paramètres!$A$1:$I$89,3,0)*0.475*44/12</f>
        <v>9.000758761106227E-2</v>
      </c>
      <c r="AB183" s="23">
        <f>EXP(-LN(2)/2)*AB182+(1-EXP(-LN(2)/2))/(LN(2)/2)*V183*Y183*VLOOKUP('Données projet'!$B$9,Paramètres!$A$1:$I$89,3,0)*0.475*44/12</f>
        <v>1.6714107096803169E-24</v>
      </c>
      <c r="AC183" s="24">
        <f t="shared" si="163"/>
        <v>2.2326935401835288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30</v>
      </c>
      <c r="AJ183" s="14">
        <f>AI183*VLOOKUP('Données projet'!$B$10,Paramètres!$A$1:$I$89,3,0)*VLOOKUP('Données projet'!$B$10,Paramètres!$A$1:$I$89,5,0)</f>
        <v>16.473599999999998</v>
      </c>
      <c r="AK183" s="14">
        <f t="shared" si="164"/>
        <v>5.479064311766531</v>
      </c>
      <c r="AL183" s="22">
        <f t="shared" si="165"/>
        <v>38.2342236763267</v>
      </c>
      <c r="AM183" s="62">
        <f t="shared" si="113"/>
        <v>331.56755700965999</v>
      </c>
      <c r="AN183" s="62">
        <f ca="1">AVERAGE(OFFSET($AM$3,0,0,'Données projet'!$E$10+1,1))-AVERAGE(OFFSET($H$3,0,0,'Données projet'!$E$10+1,1))</f>
        <v>72.817281731857122</v>
      </c>
      <c r="AO183" s="62">
        <f t="shared" si="144"/>
        <v>327.78949950303326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2.4251622357090312</v>
      </c>
      <c r="AV183" s="23">
        <f>EXP(-LN(2)/25)*AV182+(1-EXP(-LN(2)/25))/(LN(2)/25)*Calculateur!AQ183*Calculateur!AS183*VLOOKUP('Données projet'!$B$10,Paramètres!$A$1:$I$89,3,0)*0.475*44/12</f>
        <v>0.10187353967554287</v>
      </c>
      <c r="AW183" s="23">
        <f>EXP(-LN(2)/2)*AW182+(1-EXP(-LN(2)/2))/(LN(2)/2)*AQ183*AT183*VLOOKUP('Données projet'!$B$10,Paramètres!$A$1:$I$89,3,0)*0.475*44/12</f>
        <v>1.8917574591880127E-24</v>
      </c>
      <c r="AX183" s="23">
        <f t="shared" si="166"/>
        <v>2.527035775384574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30</v>
      </c>
      <c r="O184" s="14">
        <f>N184*VLOOKUP('Données projet'!$B$9,Paramètres!$A$1:$I$89,3,0)*VLOOKUP('Données projet'!$B$9,Paramètres!$A$1:$I$89,5,0)</f>
        <v>14.5548</v>
      </c>
      <c r="P184" s="14">
        <f t="shared" si="141"/>
        <v>4.9111633609399075</v>
      </c>
      <c r="Q184" s="22">
        <f t="shared" si="162"/>
        <v>33.903219520303679</v>
      </c>
      <c r="R184" s="62">
        <f t="shared" si="109"/>
        <v>327.23655285363702</v>
      </c>
      <c r="S184" s="62">
        <f ca="1">AVERAGE(OFFSET($R$3,0,0,'Données projet'!$E$9+1,1))-AVERAGE(OFFSET($H$3,0,0,'Données projet'!$E$9+1,1))</f>
        <v>65.585138535467195</v>
      </c>
      <c r="T184" s="62">
        <f t="shared" si="142"/>
        <v>292.56159092613944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2.100669187951905</v>
      </c>
      <c r="AA184" s="23">
        <f>EXP(-LN(2)/25)*AA183+(1-EXP(-LN(2)/25))/(LN(2)/25)*Calculateur!V184*Calculateur!X184*VLOOKUP('Données projet'!$B$9,Paramètres!$A$1:$I$89,3,0)*0.475*44/12</f>
        <v>8.7546325394544461E-2</v>
      </c>
      <c r="AB184" s="23">
        <f>EXP(-LN(2)/2)*AB183+(1-EXP(-LN(2)/2))/(LN(2)/2)*V184*Y184*VLOOKUP('Données projet'!$B$9,Paramètres!$A$1:$I$89,3,0)*0.475*44/12</f>
        <v>1.181865846962772E-24</v>
      </c>
      <c r="AC184" s="24">
        <f t="shared" si="163"/>
        <v>2.1882155133464494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30</v>
      </c>
      <c r="AJ184" s="14">
        <f>AI184*VLOOKUP('Données projet'!$B$10,Paramètres!$A$1:$I$89,3,0)*VLOOKUP('Données projet'!$B$10,Paramètres!$A$1:$I$89,5,0)</f>
        <v>16.473599999999998</v>
      </c>
      <c r="AK184" s="14">
        <f t="shared" si="164"/>
        <v>5.479064311766531</v>
      </c>
      <c r="AL184" s="22">
        <f t="shared" si="165"/>
        <v>38.2342236763267</v>
      </c>
      <c r="AM184" s="62">
        <f t="shared" si="113"/>
        <v>331.56755700965999</v>
      </c>
      <c r="AN184" s="62">
        <f ca="1">AVERAGE(OFFSET($AM$3,0,0,'Données projet'!$E$10+1,1))-AVERAGE(OFFSET($H$3,0,0,'Données projet'!$E$10+1,1))</f>
        <v>72.817281731857122</v>
      </c>
      <c r="AO184" s="62">
        <f t="shared" si="144"/>
        <v>327.78949950303326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2.3776062834696816</v>
      </c>
      <c r="AV184" s="23">
        <f>EXP(-LN(2)/25)*AV183+(1-EXP(-LN(2)/25))/(LN(2)/25)*Calculateur!AQ184*Calculateur!AS184*VLOOKUP('Données projet'!$B$10,Paramètres!$A$1:$I$89,3,0)*0.475*44/12</f>
        <v>9.9087802375818532E-2</v>
      </c>
      <c r="AW184" s="23">
        <f>EXP(-LN(2)/2)*AW183+(1-EXP(-LN(2)/2))/(LN(2)/2)*AQ184*AT184*VLOOKUP('Données projet'!$B$10,Paramètres!$A$1:$I$89,3,0)*0.475*44/12</f>
        <v>1.3376745277520773E-24</v>
      </c>
      <c r="AX184" s="23">
        <f t="shared" si="166"/>
        <v>2.4766940858455002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30</v>
      </c>
      <c r="O185" s="14">
        <f>N185*VLOOKUP('Données projet'!$B$9,Paramètres!$A$1:$I$89,3,0)*VLOOKUP('Données projet'!$B$9,Paramètres!$A$1:$I$89,5,0)</f>
        <v>14.5548</v>
      </c>
      <c r="P185" s="14">
        <f t="shared" si="141"/>
        <v>4.9111633609399075</v>
      </c>
      <c r="Q185" s="22">
        <f t="shared" si="162"/>
        <v>33.903219520303679</v>
      </c>
      <c r="R185" s="62">
        <f t="shared" si="109"/>
        <v>327.23655285363702</v>
      </c>
      <c r="S185" s="62">
        <f ca="1">AVERAGE(OFFSET($R$3,0,0,'Données projet'!$E$9+1,1))-AVERAGE(OFFSET($H$3,0,0,'Données projet'!$E$9+1,1))</f>
        <v>65.585138535467195</v>
      </c>
      <c r="T185" s="62">
        <f t="shared" si="142"/>
        <v>292.56159092613944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2.0594763464578567</v>
      </c>
      <c r="AA185" s="23">
        <f>EXP(-LN(2)/25)*AA184+(1-EXP(-LN(2)/25))/(LN(2)/25)*Calculateur!V185*Calculateur!X185*VLOOKUP('Données projet'!$B$9,Paramètres!$A$1:$I$89,3,0)*0.475*44/12</f>
        <v>8.5152366522769474E-2</v>
      </c>
      <c r="AB185" s="23">
        <f>EXP(-LN(2)/2)*AB184+(1-EXP(-LN(2)/2))/(LN(2)/2)*V185*Y185*VLOOKUP('Données projet'!$B$9,Paramètres!$A$1:$I$89,3,0)*0.475*44/12</f>
        <v>8.3570535484015845E-25</v>
      </c>
      <c r="AC185" s="24">
        <f t="shared" si="163"/>
        <v>2.1446287129806261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30</v>
      </c>
      <c r="AJ185" s="14">
        <f>AI185*VLOOKUP('Données projet'!$B$10,Paramètres!$A$1:$I$89,3,0)*VLOOKUP('Données projet'!$B$10,Paramètres!$A$1:$I$89,5,0)</f>
        <v>16.473599999999998</v>
      </c>
      <c r="AK185" s="14">
        <f t="shared" si="164"/>
        <v>5.479064311766531</v>
      </c>
      <c r="AL185" s="22">
        <f t="shared" si="165"/>
        <v>38.2342236763267</v>
      </c>
      <c r="AM185" s="62">
        <f t="shared" si="113"/>
        <v>331.56755700965999</v>
      </c>
      <c r="AN185" s="62">
        <f ca="1">AVERAGE(OFFSET($AM$3,0,0,'Données projet'!$E$10+1,1))-AVERAGE(OFFSET($H$3,0,0,'Données projet'!$E$10+1,1))</f>
        <v>72.817281731857122</v>
      </c>
      <c r="AO185" s="62">
        <f t="shared" si="144"/>
        <v>327.78949950303326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2.330982874447479</v>
      </c>
      <c r="AV185" s="23">
        <f>EXP(-LN(2)/25)*AV184+(1-EXP(-LN(2)/25))/(LN(2)/25)*Calculateur!AQ185*Calculateur!AS185*VLOOKUP('Données projet'!$B$10,Paramètres!$A$1:$I$89,3,0)*0.475*44/12</f>
        <v>9.6378241209050711E-2</v>
      </c>
      <c r="AW185" s="23">
        <f>EXP(-LN(2)/2)*AW184+(1-EXP(-LN(2)/2))/(LN(2)/2)*AQ185*AT185*VLOOKUP('Données projet'!$B$10,Paramètres!$A$1:$I$89,3,0)*0.475*44/12</f>
        <v>9.4587872959400637E-25</v>
      </c>
      <c r="AX185" s="23">
        <f t="shared" si="166"/>
        <v>2.4273611156565296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30</v>
      </c>
      <c r="O186" s="14">
        <f>N186*VLOOKUP('Données projet'!$B$9,Paramètres!$A$1:$I$89,3,0)*VLOOKUP('Données projet'!$B$9,Paramètres!$A$1:$I$89,5,0)</f>
        <v>14.5548</v>
      </c>
      <c r="P186" s="14">
        <f t="shared" si="141"/>
        <v>4.9111633609399075</v>
      </c>
      <c r="Q186" s="22">
        <f t="shared" si="162"/>
        <v>33.903219520303679</v>
      </c>
      <c r="R186" s="62">
        <f t="shared" si="109"/>
        <v>327.23655285363702</v>
      </c>
      <c r="S186" s="62">
        <f ca="1">AVERAGE(OFFSET($R$3,0,0,'Données projet'!$E$9+1,1))-AVERAGE(OFFSET($H$3,0,0,'Données projet'!$E$9+1,1))</f>
        <v>65.585138535467195</v>
      </c>
      <c r="T186" s="62">
        <f t="shared" si="142"/>
        <v>292.56159092613944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2.0190912714603542</v>
      </c>
      <c r="AA186" s="23">
        <f>EXP(-LN(2)/25)*AA185+(1-EXP(-LN(2)/25))/(LN(2)/25)*Calculateur!V186*Calculateur!X186*VLOOKUP('Données projet'!$B$9,Paramètres!$A$1:$I$89,3,0)*0.475*44/12</f>
        <v>8.2823870582236003E-2</v>
      </c>
      <c r="AB186" s="23">
        <f>EXP(-LN(2)/2)*AB185+(1-EXP(-LN(2)/2))/(LN(2)/2)*V186*Y186*VLOOKUP('Données projet'!$B$9,Paramètres!$A$1:$I$89,3,0)*0.475*44/12</f>
        <v>5.90932923481386E-25</v>
      </c>
      <c r="AC186" s="24">
        <f t="shared" si="163"/>
        <v>2.1019151420425901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30</v>
      </c>
      <c r="AJ186" s="14">
        <f>AI186*VLOOKUP('Données projet'!$B$10,Paramètres!$A$1:$I$89,3,0)*VLOOKUP('Données projet'!$B$10,Paramètres!$A$1:$I$89,5,0)</f>
        <v>16.473599999999998</v>
      </c>
      <c r="AK186" s="14">
        <f t="shared" si="164"/>
        <v>5.479064311766531</v>
      </c>
      <c r="AL186" s="22">
        <f t="shared" si="165"/>
        <v>38.2342236763267</v>
      </c>
      <c r="AM186" s="62">
        <f t="shared" si="113"/>
        <v>331.56755700965999</v>
      </c>
      <c r="AN186" s="62">
        <f ca="1">AVERAGE(OFFSET($AM$3,0,0,'Données projet'!$E$10+1,1))-AVERAGE(OFFSET($H$3,0,0,'Données projet'!$E$10+1,1))</f>
        <v>72.817281731857122</v>
      </c>
      <c r="AO186" s="62">
        <f t="shared" si="144"/>
        <v>327.78949950303326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2.2852737220387302</v>
      </c>
      <c r="AV186" s="23">
        <f>EXP(-LN(2)/25)*AV185+(1-EXP(-LN(2)/25))/(LN(2)/25)*Calculateur!AQ186*Calculateur!AS186*VLOOKUP('Données projet'!$B$10,Paramètres!$A$1:$I$89,3,0)*0.475*44/12</f>
        <v>9.3742773134877791E-2</v>
      </c>
      <c r="AW186" s="23">
        <f>EXP(-LN(2)/2)*AW185+(1-EXP(-LN(2)/2))/(LN(2)/2)*AQ186*AT186*VLOOKUP('Données projet'!$B$10,Paramètres!$A$1:$I$89,3,0)*0.475*44/12</f>
        <v>6.6883726387603863E-25</v>
      </c>
      <c r="AX186" s="23">
        <f t="shared" si="166"/>
        <v>2.3790164951736079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30</v>
      </c>
      <c r="O187" s="14">
        <f>N187*VLOOKUP('Données projet'!$B$9,Paramètres!$A$1:$I$89,3,0)*VLOOKUP('Données projet'!$B$9,Paramètres!$A$1:$I$89,5,0)</f>
        <v>14.5548</v>
      </c>
      <c r="P187" s="14">
        <f t="shared" si="141"/>
        <v>4.9111633609399075</v>
      </c>
      <c r="Q187" s="22">
        <f t="shared" si="162"/>
        <v>33.903219520303679</v>
      </c>
      <c r="R187" s="62">
        <f t="shared" si="109"/>
        <v>327.23655285363702</v>
      </c>
      <c r="S187" s="62">
        <f ca="1">AVERAGE(OFFSET($R$3,0,0,'Données projet'!$E$9+1,1))-AVERAGE(OFFSET($H$3,0,0,'Données projet'!$E$9+1,1))</f>
        <v>65.585138535467195</v>
      </c>
      <c r="T187" s="62">
        <f t="shared" si="142"/>
        <v>292.56159092613944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1.9794981231510893</v>
      </c>
      <c r="AA187" s="23">
        <f>EXP(-LN(2)/25)*AA186+(1-EXP(-LN(2)/25))/(LN(2)/25)*Calculateur!V187*Calculateur!X187*VLOOKUP('Données projet'!$B$9,Paramètres!$A$1:$I$89,3,0)*0.475*44/12</f>
        <v>8.0559047485646698E-2</v>
      </c>
      <c r="AB187" s="23">
        <f>EXP(-LN(2)/2)*AB186+(1-EXP(-LN(2)/2))/(LN(2)/2)*V187*Y187*VLOOKUP('Données projet'!$B$9,Paramètres!$A$1:$I$89,3,0)*0.475*44/12</f>
        <v>4.1785267742007923E-25</v>
      </c>
      <c r="AC187" s="24">
        <f t="shared" si="163"/>
        <v>2.0600571706367359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30</v>
      </c>
      <c r="AJ187" s="14">
        <f>AI187*VLOOKUP('Données projet'!$B$10,Paramètres!$A$1:$I$89,3,0)*VLOOKUP('Données projet'!$B$10,Paramètres!$A$1:$I$89,5,0)</f>
        <v>16.473599999999998</v>
      </c>
      <c r="AK187" s="14">
        <f t="shared" si="164"/>
        <v>5.479064311766531</v>
      </c>
      <c r="AL187" s="22">
        <f t="shared" si="165"/>
        <v>38.2342236763267</v>
      </c>
      <c r="AM187" s="62">
        <f t="shared" si="113"/>
        <v>331.56755700965999</v>
      </c>
      <c r="AN187" s="62">
        <f ca="1">AVERAGE(OFFSET($AM$3,0,0,'Données projet'!$E$10+1,1))-AVERAGE(OFFSET($H$3,0,0,'Données projet'!$E$10+1,1))</f>
        <v>72.817281731857122</v>
      </c>
      <c r="AO187" s="62">
        <f t="shared" si="144"/>
        <v>327.78949950303326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2.2404608982288869</v>
      </c>
      <c r="AV187" s="23">
        <f>EXP(-LN(2)/25)*AV186+(1-EXP(-LN(2)/25))/(LN(2)/25)*Calculateur!AQ187*Calculateur!AS187*VLOOKUP('Données projet'!$B$10,Paramètres!$A$1:$I$89,3,0)*0.475*44/12</f>
        <v>9.1179372073786374E-2</v>
      </c>
      <c r="AW187" s="23">
        <f>EXP(-LN(2)/2)*AW186+(1-EXP(-LN(2)/2))/(LN(2)/2)*AQ187*AT187*VLOOKUP('Données projet'!$B$10,Paramètres!$A$1:$I$89,3,0)*0.475*44/12</f>
        <v>4.7293936479700319E-25</v>
      </c>
      <c r="AX187" s="23">
        <f t="shared" si="166"/>
        <v>2.3316402703026733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30</v>
      </c>
      <c r="O188" s="14">
        <f>N188*VLOOKUP('Données projet'!$B$9,Paramètres!$A$1:$I$89,3,0)*VLOOKUP('Données projet'!$B$9,Paramètres!$A$1:$I$89,5,0)</f>
        <v>14.5548</v>
      </c>
      <c r="P188" s="14">
        <f t="shared" si="141"/>
        <v>4.9111633609399075</v>
      </c>
      <c r="Q188" s="22">
        <f t="shared" si="162"/>
        <v>33.903219520303679</v>
      </c>
      <c r="R188" s="62">
        <f t="shared" si="109"/>
        <v>327.23655285363702</v>
      </c>
      <c r="S188" s="62">
        <f ca="1">AVERAGE(OFFSET($R$3,0,0,'Données projet'!$E$9+1,1))-AVERAGE(OFFSET($H$3,0,0,'Données projet'!$E$9+1,1))</f>
        <v>65.585138535467195</v>
      </c>
      <c r="T188" s="62">
        <f t="shared" si="142"/>
        <v>292.56159092613944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1.9406813723307332</v>
      </c>
      <c r="AA188" s="23">
        <f>EXP(-LN(2)/25)*AA187+(1-EXP(-LN(2)/25))/(LN(2)/25)*Calculateur!V188*Calculateur!X188*VLOOKUP('Données projet'!$B$9,Paramètres!$A$1:$I$89,3,0)*0.475*44/12</f>
        <v>7.8356156095735499E-2</v>
      </c>
      <c r="AB188" s="23">
        <f>EXP(-LN(2)/2)*AB187+(1-EXP(-LN(2)/2))/(LN(2)/2)*V188*Y188*VLOOKUP('Données projet'!$B$9,Paramètres!$A$1:$I$89,3,0)*0.475*44/12</f>
        <v>2.95466461740693E-25</v>
      </c>
      <c r="AC188" s="24">
        <f t="shared" si="163"/>
        <v>2.0190375284264688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30</v>
      </c>
      <c r="AJ188" s="14">
        <f>AI188*VLOOKUP('Données projet'!$B$10,Paramètres!$A$1:$I$89,3,0)*VLOOKUP('Données projet'!$B$10,Paramètres!$A$1:$I$89,5,0)</f>
        <v>16.473599999999998</v>
      </c>
      <c r="AK188" s="14">
        <f t="shared" si="164"/>
        <v>5.479064311766531</v>
      </c>
      <c r="AL188" s="22">
        <f t="shared" si="165"/>
        <v>38.2342236763267</v>
      </c>
      <c r="AM188" s="62">
        <f t="shared" si="113"/>
        <v>331.56755700965999</v>
      </c>
      <c r="AN188" s="62">
        <f ca="1">AVERAGE(OFFSET($AM$3,0,0,'Données projet'!$E$10+1,1))-AVERAGE(OFFSET($H$3,0,0,'Données projet'!$E$10+1,1))</f>
        <v>72.817281731857122</v>
      </c>
      <c r="AO188" s="62">
        <f t="shared" si="144"/>
        <v>327.78949950303326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2.1965268265608313</v>
      </c>
      <c r="AV188" s="23">
        <f>EXP(-LN(2)/25)*AV187+(1-EXP(-LN(2)/25))/(LN(2)/25)*Calculateur!AQ188*Calculateur!AS188*VLOOKUP('Données projet'!$B$10,Paramètres!$A$1:$I$89,3,0)*0.475*44/12</f>
        <v>8.8686067349513897E-2</v>
      </c>
      <c r="AW188" s="23">
        <f>EXP(-LN(2)/2)*AW187+(1-EXP(-LN(2)/2))/(LN(2)/2)*AQ188*AT188*VLOOKUP('Données projet'!$B$10,Paramètres!$A$1:$I$89,3,0)*0.475*44/12</f>
        <v>3.3441863193801932E-25</v>
      </c>
      <c r="AX188" s="23">
        <f t="shared" si="166"/>
        <v>2.2852128939103453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30</v>
      </c>
      <c r="O189" s="14">
        <f>N189*VLOOKUP('Données projet'!$B$9,Paramètres!$A$1:$I$89,3,0)*VLOOKUP('Données projet'!$B$9,Paramètres!$A$1:$I$89,5,0)</f>
        <v>14.5548</v>
      </c>
      <c r="P189" s="14">
        <f t="shared" si="141"/>
        <v>4.9111633609399075</v>
      </c>
      <c r="Q189" s="22">
        <f t="shared" si="162"/>
        <v>33.903219520303679</v>
      </c>
      <c r="R189" s="62">
        <f t="shared" si="109"/>
        <v>327.23655285363702</v>
      </c>
      <c r="S189" s="62">
        <f ca="1">AVERAGE(OFFSET($R$3,0,0,'Données projet'!$E$9+1,1))-AVERAGE(OFFSET($H$3,0,0,'Données projet'!$E$9+1,1))</f>
        <v>65.585138535467195</v>
      </c>
      <c r="T189" s="62">
        <f t="shared" si="142"/>
        <v>292.56159092613944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1.9026257943180842</v>
      </c>
      <c r="AA189" s="23">
        <f>EXP(-LN(2)/25)*AA188+(1-EXP(-LN(2)/25))/(LN(2)/25)*Calculateur!V189*Calculateur!X189*VLOOKUP('Données projet'!$B$9,Paramètres!$A$1:$I$89,3,0)*0.475*44/12</f>
        <v>7.6213502886726445E-2</v>
      </c>
      <c r="AB189" s="23">
        <f>EXP(-LN(2)/2)*AB188+(1-EXP(-LN(2)/2))/(LN(2)/2)*V189*Y189*VLOOKUP('Données projet'!$B$9,Paramètres!$A$1:$I$89,3,0)*0.475*44/12</f>
        <v>2.0892633871003961E-25</v>
      </c>
      <c r="AC189" s="24">
        <f t="shared" si="163"/>
        <v>1.9788392972048106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30</v>
      </c>
      <c r="AJ189" s="14">
        <f>AI189*VLOOKUP('Données projet'!$B$10,Paramètres!$A$1:$I$89,3,0)*VLOOKUP('Données projet'!$B$10,Paramètres!$A$1:$I$89,5,0)</f>
        <v>16.473599999999998</v>
      </c>
      <c r="AK189" s="14">
        <f t="shared" si="164"/>
        <v>5.479064311766531</v>
      </c>
      <c r="AL189" s="22">
        <f t="shared" si="165"/>
        <v>38.2342236763267</v>
      </c>
      <c r="AM189" s="62">
        <f t="shared" si="113"/>
        <v>331.56755700965999</v>
      </c>
      <c r="AN189" s="62">
        <f ca="1">AVERAGE(OFFSET($AM$3,0,0,'Données projet'!$E$10+1,1))-AVERAGE(OFFSET($H$3,0,0,'Données projet'!$E$10+1,1))</f>
        <v>72.817281731857122</v>
      </c>
      <c r="AO189" s="62">
        <f t="shared" si="144"/>
        <v>327.78949950303326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2.1534542752410486</v>
      </c>
      <c r="AV189" s="23">
        <f>EXP(-LN(2)/25)*AV188+(1-EXP(-LN(2)/25))/(LN(2)/25)*Calculateur!AQ189*Calculateur!AS189*VLOOKUP('Données projet'!$B$10,Paramètres!$A$1:$I$89,3,0)*0.475*44/12</f>
        <v>8.6260942174043856E-2</v>
      </c>
      <c r="AW189" s="23">
        <f>EXP(-LN(2)/2)*AW188+(1-EXP(-LN(2)/2))/(LN(2)/2)*AQ189*AT189*VLOOKUP('Données projet'!$B$10,Paramètres!$A$1:$I$89,3,0)*0.475*44/12</f>
        <v>2.3646968239850159E-25</v>
      </c>
      <c r="AX189" s="23">
        <f t="shared" si="166"/>
        <v>2.2397152174150925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30</v>
      </c>
      <c r="O190" s="14">
        <f>N190*VLOOKUP('Données projet'!$B$9,Paramètres!$A$1:$I$89,3,0)*VLOOKUP('Données projet'!$B$9,Paramètres!$A$1:$I$89,5,0)</f>
        <v>14.5548</v>
      </c>
      <c r="P190" s="14">
        <f t="shared" si="141"/>
        <v>4.9111633609399075</v>
      </c>
      <c r="Q190" s="22">
        <f t="shared" si="162"/>
        <v>33.903219520303679</v>
      </c>
      <c r="R190" s="62">
        <f t="shared" si="109"/>
        <v>327.23655285363702</v>
      </c>
      <c r="S190" s="62">
        <f ca="1">AVERAGE(OFFSET($R$3,0,0,'Données projet'!$E$9+1,1))-AVERAGE(OFFSET($H$3,0,0,'Données projet'!$E$9+1,1))</f>
        <v>65.585138535467195</v>
      </c>
      <c r="T190" s="62">
        <f t="shared" si="142"/>
        <v>292.56159092613944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1.8653164629786525</v>
      </c>
      <c r="AA190" s="23">
        <f>EXP(-LN(2)/25)*AA189+(1-EXP(-LN(2)/25))/(LN(2)/25)*Calculateur!V190*Calculateur!X190*VLOOKUP('Données projet'!$B$9,Paramètres!$A$1:$I$89,3,0)*0.475*44/12</f>
        <v>7.4129440642394975E-2</v>
      </c>
      <c r="AB190" s="23">
        <f>EXP(-LN(2)/2)*AB189+(1-EXP(-LN(2)/2))/(LN(2)/2)*V190*Y190*VLOOKUP('Données projet'!$B$9,Paramètres!$A$1:$I$89,3,0)*0.475*44/12</f>
        <v>1.477332308703465E-25</v>
      </c>
      <c r="AC190" s="24">
        <f t="shared" si="163"/>
        <v>1.9394459036210474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30</v>
      </c>
      <c r="AJ190" s="14">
        <f>AI190*VLOOKUP('Données projet'!$B$10,Paramètres!$A$1:$I$89,3,0)*VLOOKUP('Données projet'!$B$10,Paramètres!$A$1:$I$89,5,0)</f>
        <v>16.473599999999998</v>
      </c>
      <c r="AK190" s="14">
        <f t="shared" si="164"/>
        <v>5.479064311766531</v>
      </c>
      <c r="AL190" s="22">
        <f t="shared" si="165"/>
        <v>38.2342236763267</v>
      </c>
      <c r="AM190" s="62">
        <f t="shared" si="113"/>
        <v>331.56755700965999</v>
      </c>
      <c r="AN190" s="62">
        <f ca="1">AVERAGE(OFFSET($AM$3,0,0,'Données projet'!$E$10+1,1))-AVERAGE(OFFSET($H$3,0,0,'Données projet'!$E$10+1,1))</f>
        <v>72.817281731857122</v>
      </c>
      <c r="AO190" s="62">
        <f t="shared" si="144"/>
        <v>327.78949950303326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2.1112263503809845</v>
      </c>
      <c r="AV190" s="23">
        <f>EXP(-LN(2)/25)*AV189+(1-EXP(-LN(2)/25))/(LN(2)/25)*Calculateur!AQ190*Calculateur!AS190*VLOOKUP('Données projet'!$B$10,Paramètres!$A$1:$I$89,3,0)*0.475*44/12</f>
        <v>8.3902132174028823E-2</v>
      </c>
      <c r="AW190" s="23">
        <f>EXP(-LN(2)/2)*AW189+(1-EXP(-LN(2)/2))/(LN(2)/2)*AQ190*AT190*VLOOKUP('Données projet'!$B$10,Paramètres!$A$1:$I$89,3,0)*0.475*44/12</f>
        <v>1.6720931596900966E-25</v>
      </c>
      <c r="AX190" s="23">
        <f t="shared" si="166"/>
        <v>2.1951284825550132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30</v>
      </c>
      <c r="O191" s="14">
        <f>N191*VLOOKUP('Données projet'!$B$9,Paramètres!$A$1:$I$89,3,0)*VLOOKUP('Données projet'!$B$9,Paramètres!$A$1:$I$89,5,0)</f>
        <v>14.5548</v>
      </c>
      <c r="P191" s="14">
        <f t="shared" si="141"/>
        <v>4.9111633609399075</v>
      </c>
      <c r="Q191" s="22">
        <f t="shared" si="162"/>
        <v>33.903219520303679</v>
      </c>
      <c r="R191" s="62">
        <f t="shared" si="109"/>
        <v>327.23655285363702</v>
      </c>
      <c r="S191" s="62">
        <f ca="1">AVERAGE(OFFSET($R$3,0,0,'Données projet'!$E$9+1,1))-AVERAGE(OFFSET($H$3,0,0,'Données projet'!$E$9+1,1))</f>
        <v>65.585138535467195</v>
      </c>
      <c r="T191" s="62">
        <f t="shared" si="142"/>
        <v>292.56159092613944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1.828738744870342</v>
      </c>
      <c r="AA191" s="23">
        <f>EXP(-LN(2)/25)*AA190+(1-EXP(-LN(2)/25))/(LN(2)/25)*Calculateur!V191*Calculateur!X191*VLOOKUP('Données projet'!$B$9,Paramètres!$A$1:$I$89,3,0)*0.475*44/12</f>
        <v>7.2102367189730829E-2</v>
      </c>
      <c r="AB191" s="23">
        <f>EXP(-LN(2)/2)*AB190+(1-EXP(-LN(2)/2))/(LN(2)/2)*V191*Y191*VLOOKUP('Données projet'!$B$9,Paramètres!$A$1:$I$89,3,0)*0.475*44/12</f>
        <v>1.0446316935501981E-25</v>
      </c>
      <c r="AC191" s="24">
        <f t="shared" si="163"/>
        <v>1.9008411120600728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30</v>
      </c>
      <c r="AJ191" s="14">
        <f>AI191*VLOOKUP('Données projet'!$B$10,Paramètres!$A$1:$I$89,3,0)*VLOOKUP('Données projet'!$B$10,Paramètres!$A$1:$I$89,5,0)</f>
        <v>16.473599999999998</v>
      </c>
      <c r="AK191" s="14">
        <f t="shared" si="164"/>
        <v>5.479064311766531</v>
      </c>
      <c r="AL191" s="22">
        <f t="shared" si="165"/>
        <v>38.2342236763267</v>
      </c>
      <c r="AM191" s="62">
        <f t="shared" si="113"/>
        <v>331.56755700965999</v>
      </c>
      <c r="AN191" s="62">
        <f ca="1">AVERAGE(OFFSET($AM$3,0,0,'Données projet'!$E$10+1,1))-AVERAGE(OFFSET($H$3,0,0,'Données projet'!$E$10+1,1))</f>
        <v>72.817281731857122</v>
      </c>
      <c r="AO191" s="62">
        <f t="shared" si="144"/>
        <v>327.78949950303326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2.0698264893709353</v>
      </c>
      <c r="AV191" s="23">
        <f>EXP(-LN(2)/25)*AV190+(1-EXP(-LN(2)/25))/(LN(2)/25)*Calculateur!AQ191*Calculateur!AS191*VLOOKUP('Données projet'!$B$10,Paramètres!$A$1:$I$89,3,0)*0.475*44/12</f>
        <v>8.1607823957508638E-2</v>
      </c>
      <c r="AW191" s="23">
        <f>EXP(-LN(2)/2)*AW190+(1-EXP(-LN(2)/2))/(LN(2)/2)*AQ191*AT191*VLOOKUP('Données projet'!$B$10,Paramètres!$A$1:$I$89,3,0)*0.475*44/12</f>
        <v>1.182348411992508E-25</v>
      </c>
      <c r="AX191" s="23">
        <f t="shared" si="166"/>
        <v>2.1514343133284437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30</v>
      </c>
      <c r="O192" s="14">
        <f>N192*VLOOKUP('Données projet'!$B$9,Paramètres!$A$1:$I$89,3,0)*VLOOKUP('Données projet'!$B$9,Paramètres!$A$1:$I$89,5,0)</f>
        <v>14.5548</v>
      </c>
      <c r="P192" s="14">
        <f t="shared" si="141"/>
        <v>4.9111633609399075</v>
      </c>
      <c r="Q192" s="22">
        <f t="shared" si="162"/>
        <v>33.903219520303679</v>
      </c>
      <c r="R192" s="62">
        <f t="shared" si="109"/>
        <v>327.23655285363702</v>
      </c>
      <c r="S192" s="62">
        <f ca="1">AVERAGE(OFFSET($R$3,0,0,'Données projet'!$E$9+1,1))-AVERAGE(OFFSET($H$3,0,0,'Données projet'!$E$9+1,1))</f>
        <v>65.585138535467195</v>
      </c>
      <c r="T192" s="62">
        <f t="shared" si="142"/>
        <v>292.56159092613944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1.7928782935039305</v>
      </c>
      <c r="AA192" s="23">
        <f>EXP(-LN(2)/25)*AA191+(1-EXP(-LN(2)/25))/(LN(2)/25)*Calculateur!V192*Calculateur!X192*VLOOKUP('Données projet'!$B$9,Paramètres!$A$1:$I$89,3,0)*0.475*44/12</f>
        <v>7.0130724167228944E-2</v>
      </c>
      <c r="AB192" s="23">
        <f>EXP(-LN(2)/2)*AB191+(1-EXP(-LN(2)/2))/(LN(2)/2)*V192*Y192*VLOOKUP('Données projet'!$B$9,Paramètres!$A$1:$I$89,3,0)*0.475*44/12</f>
        <v>7.386661543517325E-26</v>
      </c>
      <c r="AC192" s="24">
        <f t="shared" si="163"/>
        <v>1.8630090176711593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30</v>
      </c>
      <c r="AJ192" s="14">
        <f>AI192*VLOOKUP('Données projet'!$B$10,Paramètres!$A$1:$I$89,3,0)*VLOOKUP('Données projet'!$B$10,Paramètres!$A$1:$I$89,5,0)</f>
        <v>16.473599999999998</v>
      </c>
      <c r="AK192" s="14">
        <f t="shared" si="164"/>
        <v>5.479064311766531</v>
      </c>
      <c r="AL192" s="22">
        <f t="shared" si="165"/>
        <v>38.2342236763267</v>
      </c>
      <c r="AM192" s="62">
        <f t="shared" si="113"/>
        <v>331.56755700965999</v>
      </c>
      <c r="AN192" s="62">
        <f ca="1">AVERAGE(OFFSET($AM$3,0,0,'Données projet'!$E$10+1,1))-AVERAGE(OFFSET($H$3,0,0,'Données projet'!$E$10+1,1))</f>
        <v>72.817281731857122</v>
      </c>
      <c r="AO192" s="62">
        <f t="shared" si="144"/>
        <v>327.78949950303326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2.0292384543838713</v>
      </c>
      <c r="AV192" s="23">
        <f>EXP(-LN(2)/25)*AV191+(1-EXP(-LN(2)/25))/(LN(2)/25)*Calculateur!AQ192*Calculateur!AS192*VLOOKUP('Données projet'!$B$10,Paramètres!$A$1:$I$89,3,0)*0.475*44/12</f>
        <v>7.9376253719821613E-2</v>
      </c>
      <c r="AW192" s="23">
        <f>EXP(-LN(2)/2)*AW191+(1-EXP(-LN(2)/2))/(LN(2)/2)*AQ192*AT192*VLOOKUP('Données projet'!$B$10,Paramètres!$A$1:$I$89,3,0)*0.475*44/12</f>
        <v>8.3604657984504829E-26</v>
      </c>
      <c r="AX192" s="23">
        <f t="shared" si="166"/>
        <v>2.1086147081036928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30</v>
      </c>
      <c r="O193" s="14">
        <f>N193*VLOOKUP('Données projet'!$B$9,Paramètres!$A$1:$I$89,3,0)*VLOOKUP('Données projet'!$B$9,Paramètres!$A$1:$I$89,5,0)</f>
        <v>14.5548</v>
      </c>
      <c r="P193" s="14">
        <f t="shared" si="141"/>
        <v>4.9111633609399075</v>
      </c>
      <c r="Q193" s="22">
        <f t="shared" si="162"/>
        <v>33.903219520303679</v>
      </c>
      <c r="R193" s="62">
        <f t="shared" si="109"/>
        <v>327.23655285363702</v>
      </c>
      <c r="S193" s="62">
        <f ca="1">AVERAGE(OFFSET($R$3,0,0,'Données projet'!$E$9+1,1))-AVERAGE(OFFSET($H$3,0,0,'Données projet'!$E$9+1,1))</f>
        <v>65.585138535467195</v>
      </c>
      <c r="T193" s="62">
        <f t="shared" si="142"/>
        <v>292.56159092613944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1.7577210437160986</v>
      </c>
      <c r="AA193" s="23">
        <f>EXP(-LN(2)/25)*AA192+(1-EXP(-LN(2)/25))/(LN(2)/25)*Calculateur!V193*Calculateur!X193*VLOOKUP('Données projet'!$B$9,Paramètres!$A$1:$I$89,3,0)*0.475*44/12</f>
        <v>6.8212995826861578E-2</v>
      </c>
      <c r="AB193" s="23">
        <f>EXP(-LN(2)/2)*AB192+(1-EXP(-LN(2)/2))/(LN(2)/2)*V193*Y193*VLOOKUP('Données projet'!$B$9,Paramètres!$A$1:$I$89,3,0)*0.475*44/12</f>
        <v>5.2231584677509903E-26</v>
      </c>
      <c r="AC193" s="24">
        <f t="shared" si="163"/>
        <v>1.8259340395429602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30</v>
      </c>
      <c r="AJ193" s="14">
        <f>AI193*VLOOKUP('Données projet'!$B$10,Paramètres!$A$1:$I$89,3,0)*VLOOKUP('Données projet'!$B$10,Paramètres!$A$1:$I$89,5,0)</f>
        <v>16.473599999999998</v>
      </c>
      <c r="AK193" s="14">
        <f t="shared" si="164"/>
        <v>5.479064311766531</v>
      </c>
      <c r="AL193" s="22">
        <f t="shared" si="165"/>
        <v>38.2342236763267</v>
      </c>
      <c r="AM193" s="62">
        <f t="shared" si="113"/>
        <v>331.56755700965999</v>
      </c>
      <c r="AN193" s="62">
        <f ca="1">AVERAGE(OFFSET($AM$3,0,0,'Données projet'!$E$10+1,1))-AVERAGE(OFFSET($H$3,0,0,'Données projet'!$E$10+1,1))</f>
        <v>72.817281731857122</v>
      </c>
      <c r="AO193" s="62">
        <f t="shared" si="144"/>
        <v>327.78949950303326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1.9894463260066466</v>
      </c>
      <c r="AV193" s="23">
        <f>EXP(-LN(2)/25)*AV192+(1-EXP(-LN(2)/25))/(LN(2)/25)*Calculateur!AQ193*Calculateur!AS193*VLOOKUP('Données projet'!$B$10,Paramètres!$A$1:$I$89,3,0)*0.475*44/12</f>
        <v>7.7205705887637324E-2</v>
      </c>
      <c r="AW193" s="23">
        <f>EXP(-LN(2)/2)*AW192+(1-EXP(-LN(2)/2))/(LN(2)/2)*AQ193*AT193*VLOOKUP('Données projet'!$B$10,Paramètres!$A$1:$I$89,3,0)*0.475*44/12</f>
        <v>5.9117420599625398E-26</v>
      </c>
      <c r="AX193" s="23">
        <f t="shared" si="166"/>
        <v>2.066652031894284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30</v>
      </c>
      <c r="O194" s="14">
        <f>N194*VLOOKUP('Données projet'!$B$9,Paramètres!$A$1:$I$89,3,0)*VLOOKUP('Données projet'!$B$9,Paramètres!$A$1:$I$89,5,0)</f>
        <v>14.5548</v>
      </c>
      <c r="P194" s="14">
        <f t="shared" si="141"/>
        <v>4.9111633609399075</v>
      </c>
      <c r="Q194" s="22">
        <f t="shared" si="162"/>
        <v>33.903219520303679</v>
      </c>
      <c r="R194" s="62">
        <f t="shared" si="109"/>
        <v>327.23655285363702</v>
      </c>
      <c r="S194" s="62">
        <f ca="1">AVERAGE(OFFSET($R$3,0,0,'Données projet'!$E$9+1,1))-AVERAGE(OFFSET($H$3,0,0,'Données projet'!$E$9+1,1))</f>
        <v>65.585138535467195</v>
      </c>
      <c r="T194" s="62">
        <f t="shared" si="142"/>
        <v>292.56159092613944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1.7232532061528012</v>
      </c>
      <c r="AA194" s="23">
        <f>EXP(-LN(2)/25)*AA193+(1-EXP(-LN(2)/25))/(LN(2)/25)*Calculateur!V194*Calculateur!X194*VLOOKUP('Données projet'!$B$9,Paramètres!$A$1:$I$89,3,0)*0.475*44/12</f>
        <v>6.6347707868810502E-2</v>
      </c>
      <c r="AB194" s="23">
        <f>EXP(-LN(2)/2)*AB193+(1-EXP(-LN(2)/2))/(LN(2)/2)*V194*Y194*VLOOKUP('Données projet'!$B$9,Paramètres!$A$1:$I$89,3,0)*0.475*44/12</f>
        <v>3.6933307717586625E-26</v>
      </c>
      <c r="AC194" s="24">
        <f t="shared" si="163"/>
        <v>1.7896009140216118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30</v>
      </c>
      <c r="AJ194" s="14">
        <f>AI194*VLOOKUP('Données projet'!$B$10,Paramètres!$A$1:$I$89,3,0)*VLOOKUP('Données projet'!$B$10,Paramètres!$A$1:$I$89,5,0)</f>
        <v>16.473599999999998</v>
      </c>
      <c r="AK194" s="14">
        <f t="shared" si="164"/>
        <v>5.479064311766531</v>
      </c>
      <c r="AL194" s="22">
        <f t="shared" si="165"/>
        <v>38.2342236763267</v>
      </c>
      <c r="AM194" s="62">
        <f t="shared" si="113"/>
        <v>331.56755700965999</v>
      </c>
      <c r="AN194" s="62">
        <f ca="1">AVERAGE(OFFSET($AM$3,0,0,'Données projet'!$E$10+1,1))-AVERAGE(OFFSET($H$3,0,0,'Données projet'!$E$10+1,1))</f>
        <v>72.817281731857122</v>
      </c>
      <c r="AO194" s="62">
        <f t="shared" si="144"/>
        <v>327.78949950303326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1.9504344969960976</v>
      </c>
      <c r="AV194" s="23">
        <f>EXP(-LN(2)/25)*AV193+(1-EXP(-LN(2)/25))/(LN(2)/25)*Calculateur!AQ194*Calculateur!AS194*VLOOKUP('Données projet'!$B$10,Paramètres!$A$1:$I$89,3,0)*0.475*44/12</f>
        <v>7.5094511800068264E-2</v>
      </c>
      <c r="AW194" s="23">
        <f>EXP(-LN(2)/2)*AW193+(1-EXP(-LN(2)/2))/(LN(2)/2)*AQ194*AT194*VLOOKUP('Données projet'!$B$10,Paramètres!$A$1:$I$89,3,0)*0.475*44/12</f>
        <v>4.1802328992252415E-26</v>
      </c>
      <c r="AX194" s="23">
        <f t="shared" si="166"/>
        <v>2.0255290087961657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30</v>
      </c>
      <c r="O195" s="14">
        <f>N195*VLOOKUP('Données projet'!$B$9,Paramètres!$A$1:$I$89,3,0)*VLOOKUP('Données projet'!$B$9,Paramètres!$A$1:$I$89,5,0)</f>
        <v>14.5548</v>
      </c>
      <c r="P195" s="14">
        <f t="shared" si="141"/>
        <v>4.9111633609399075</v>
      </c>
      <c r="Q195" s="22">
        <f t="shared" si="162"/>
        <v>33.903219520303679</v>
      </c>
      <c r="R195" s="62">
        <f t="shared" ref="R195:R203" si="191">Q195+(I195+J195)*44/12</f>
        <v>327.23655285363702</v>
      </c>
      <c r="S195" s="62">
        <f ca="1">AVERAGE(OFFSET($R$3,0,0,'Données projet'!$E$9+1,1))-AVERAGE(OFFSET($H$3,0,0,'Données projet'!$E$9+1,1))</f>
        <v>65.585138535467195</v>
      </c>
      <c r="T195" s="62">
        <f t="shared" si="142"/>
        <v>292.56159092613944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1.6894612618608149</v>
      </c>
      <c r="AA195" s="23">
        <f>EXP(-LN(2)/25)*AA194+(1-EXP(-LN(2)/25))/(LN(2)/25)*Calculateur!V195*Calculateur!X195*VLOOKUP('Données projet'!$B$9,Paramètres!$A$1:$I$89,3,0)*0.475*44/12</f>
        <v>6.4533426308063566E-2</v>
      </c>
      <c r="AB195" s="23">
        <f>EXP(-LN(2)/2)*AB194+(1-EXP(-LN(2)/2))/(LN(2)/2)*V195*Y195*VLOOKUP('Données projet'!$B$9,Paramètres!$A$1:$I$89,3,0)*0.475*44/12</f>
        <v>2.6115792338754952E-26</v>
      </c>
      <c r="AC195" s="24">
        <f t="shared" si="163"/>
        <v>1.7539946881688784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30</v>
      </c>
      <c r="AJ195" s="14">
        <f>AI195*VLOOKUP('Données projet'!$B$10,Paramètres!$A$1:$I$89,3,0)*VLOOKUP('Données projet'!$B$10,Paramètres!$A$1:$I$89,5,0)</f>
        <v>16.473599999999998</v>
      </c>
      <c r="AK195" s="14">
        <f t="shared" si="164"/>
        <v>5.479064311766531</v>
      </c>
      <c r="AL195" s="22">
        <f t="shared" si="165"/>
        <v>38.2342236763267</v>
      </c>
      <c r="AM195" s="62">
        <f t="shared" si="113"/>
        <v>331.56755700965999</v>
      </c>
      <c r="AN195" s="62">
        <f ca="1">AVERAGE(OFFSET($AM$3,0,0,'Données projet'!$E$10+1,1))-AVERAGE(OFFSET($H$3,0,0,'Données projet'!$E$10+1,1))</f>
        <v>72.817281731857122</v>
      </c>
      <c r="AO195" s="62">
        <f t="shared" si="144"/>
        <v>327.78949950303326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1.9121876661575794</v>
      </c>
      <c r="AV195" s="23">
        <f>EXP(-LN(2)/25)*AV194+(1-EXP(-LN(2)/25))/(LN(2)/25)*Calculateur!AQ195*Calculateur!AS195*VLOOKUP('Données projet'!$B$10,Paramètres!$A$1:$I$89,3,0)*0.475*44/12</f>
        <v>7.3041048425846647E-2</v>
      </c>
      <c r="AW195" s="23">
        <f>EXP(-LN(2)/2)*AW194+(1-EXP(-LN(2)/2))/(LN(2)/2)*AQ195*AT195*VLOOKUP('Données projet'!$B$10,Paramètres!$A$1:$I$89,3,0)*0.475*44/12</f>
        <v>2.9558710299812699E-26</v>
      </c>
      <c r="AX195" s="23">
        <f t="shared" si="166"/>
        <v>1.985228714583426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30</v>
      </c>
      <c r="O196" s="14">
        <f>N196*VLOOKUP('Données projet'!$B$9,Paramètres!$A$1:$I$89,3,0)*VLOOKUP('Données projet'!$B$9,Paramètres!$A$1:$I$89,5,0)</f>
        <v>14.5548</v>
      </c>
      <c r="P196" s="14">
        <f t="shared" si="141"/>
        <v>4.9111633609399075</v>
      </c>
      <c r="Q196" s="22">
        <f t="shared" si="162"/>
        <v>33.903219520303679</v>
      </c>
      <c r="R196" s="62">
        <f t="shared" si="191"/>
        <v>327.23655285363702</v>
      </c>
      <c r="S196" s="62">
        <f ca="1">AVERAGE(OFFSET($R$3,0,0,'Données projet'!$E$9+1,1))-AVERAGE(OFFSET($H$3,0,0,'Données projet'!$E$9+1,1))</f>
        <v>65.585138535467195</v>
      </c>
      <c r="T196" s="62">
        <f t="shared" si="142"/>
        <v>292.56159092613944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1.6563319569853436</v>
      </c>
      <c r="AA196" s="23">
        <f>EXP(-LN(2)/25)*AA195+(1-EXP(-LN(2)/25))/(LN(2)/25)*Calculateur!V196*Calculateur!X196*VLOOKUP('Données projet'!$B$9,Paramètres!$A$1:$I$89,3,0)*0.475*44/12</f>
        <v>6.2768756372004172E-2</v>
      </c>
      <c r="AB196" s="23">
        <f>EXP(-LN(2)/2)*AB195+(1-EXP(-LN(2)/2))/(LN(2)/2)*V196*Y196*VLOOKUP('Données projet'!$B$9,Paramètres!$A$1:$I$89,3,0)*0.475*44/12</f>
        <v>1.8466653858793313E-26</v>
      </c>
      <c r="AC196" s="24">
        <f t="shared" si="163"/>
        <v>1.7191007133573477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30</v>
      </c>
      <c r="AJ196" s="14">
        <f>AI196*VLOOKUP('Données projet'!$B$10,Paramètres!$A$1:$I$89,3,0)*VLOOKUP('Données projet'!$B$10,Paramètres!$A$1:$I$89,5,0)</f>
        <v>16.473599999999998</v>
      </c>
      <c r="AK196" s="14">
        <f t="shared" si="164"/>
        <v>5.479064311766531</v>
      </c>
      <c r="AL196" s="22">
        <f t="shared" si="165"/>
        <v>38.2342236763267</v>
      </c>
      <c r="AM196" s="62">
        <f t="shared" ref="AM196:AM203" si="193">AL196+(AD196+AE196)*44/12</f>
        <v>331.56755700965999</v>
      </c>
      <c r="AN196" s="62">
        <f ca="1">AVERAGE(OFFSET($AM$3,0,0,'Données projet'!$E$10+1,1))-AVERAGE(OFFSET($H$3,0,0,'Données projet'!$E$10+1,1))</f>
        <v>72.817281731857122</v>
      </c>
      <c r="AO196" s="62">
        <f t="shared" si="144"/>
        <v>327.78949950303326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1.8746908323435412</v>
      </c>
      <c r="AV196" s="23">
        <f>EXP(-LN(2)/25)*AV195+(1-EXP(-LN(2)/25))/(LN(2)/25)*Calculateur!AQ196*Calculateur!AS196*VLOOKUP('Données projet'!$B$10,Paramètres!$A$1:$I$89,3,0)*0.475*44/12</f>
        <v>7.1043737115580069E-2</v>
      </c>
      <c r="AW196" s="23">
        <f>EXP(-LN(2)/2)*AW195+(1-EXP(-LN(2)/2))/(LN(2)/2)*AQ196*AT196*VLOOKUP('Données projet'!$B$10,Paramètres!$A$1:$I$89,3,0)*0.475*44/12</f>
        <v>2.0901164496126207E-26</v>
      </c>
      <c r="AX196" s="23">
        <f t="shared" si="166"/>
        <v>1.9457345694591213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30</v>
      </c>
      <c r="O197" s="14">
        <f>N197*VLOOKUP('Données projet'!$B$9,Paramètres!$A$1:$I$89,3,0)*VLOOKUP('Données projet'!$B$9,Paramètres!$A$1:$I$89,5,0)</f>
        <v>14.5548</v>
      </c>
      <c r="P197" s="14">
        <f t="shared" ref="P197:P203" si="203">EXP(-1.0587+0.8836*LN(O197)+0.284)</f>
        <v>4.9111633609399075</v>
      </c>
      <c r="Q197" s="22">
        <f t="shared" si="162"/>
        <v>33.903219520303679</v>
      </c>
      <c r="R197" s="62">
        <f t="shared" si="191"/>
        <v>327.23655285363702</v>
      </c>
      <c r="S197" s="62">
        <f ca="1">AVERAGE(OFFSET($R$3,0,0,'Données projet'!$E$9+1,1))-AVERAGE(OFFSET($H$3,0,0,'Données projet'!$E$9+1,1))</f>
        <v>65.585138535467195</v>
      </c>
      <c r="T197" s="62">
        <f t="shared" ref="T197:T203" si="204">$T$3</f>
        <v>292.56159092613944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1.6238522975715997</v>
      </c>
      <c r="AA197" s="23">
        <f>EXP(-LN(2)/25)*AA196+(1-EXP(-LN(2)/25))/(LN(2)/25)*Calculateur!V197*Calculateur!X197*VLOOKUP('Données projet'!$B$9,Paramètres!$A$1:$I$89,3,0)*0.475*44/12</f>
        <v>6.1052341428146278E-2</v>
      </c>
      <c r="AB197" s="23">
        <f>EXP(-LN(2)/2)*AB196+(1-EXP(-LN(2)/2))/(LN(2)/2)*V197*Y197*VLOOKUP('Données projet'!$B$9,Paramètres!$A$1:$I$89,3,0)*0.475*44/12</f>
        <v>1.3057896169377476E-26</v>
      </c>
      <c r="AC197" s="24">
        <f t="shared" si="163"/>
        <v>1.684904638999746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30</v>
      </c>
      <c r="AJ197" s="14">
        <f>AI197*VLOOKUP('Données projet'!$B$10,Paramètres!$A$1:$I$89,3,0)*VLOOKUP('Données projet'!$B$10,Paramètres!$A$1:$I$89,5,0)</f>
        <v>16.473599999999998</v>
      </c>
      <c r="AK197" s="14">
        <f t="shared" si="164"/>
        <v>5.479064311766531</v>
      </c>
      <c r="AL197" s="22">
        <f t="shared" si="165"/>
        <v>38.2342236763267</v>
      </c>
      <c r="AM197" s="62">
        <f t="shared" si="193"/>
        <v>331.56755700965999</v>
      </c>
      <c r="AN197" s="62">
        <f ca="1">AVERAGE(OFFSET($AM$3,0,0,'Données projet'!$E$10+1,1))-AVERAGE(OFFSET($H$3,0,0,'Données projet'!$E$10+1,1))</f>
        <v>72.817281731857122</v>
      </c>
      <c r="AO197" s="62">
        <f t="shared" ref="AO197:AO203" si="205">$AO$3</f>
        <v>327.78949950303326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1.837929288569786</v>
      </c>
      <c r="AV197" s="23">
        <f>EXP(-LN(2)/25)*AV196+(1-EXP(-LN(2)/25))/(LN(2)/25)*Calculateur!AQ197*Calculateur!AS197*VLOOKUP('Données projet'!$B$10,Paramètres!$A$1:$I$89,3,0)*0.475*44/12</f>
        <v>6.9101042388126768E-2</v>
      </c>
      <c r="AW197" s="23">
        <f>EXP(-LN(2)/2)*AW196+(1-EXP(-LN(2)/2))/(LN(2)/2)*AQ197*AT197*VLOOKUP('Données projet'!$B$10,Paramètres!$A$1:$I$89,3,0)*0.475*44/12</f>
        <v>1.477935514990635E-26</v>
      </c>
      <c r="AX197" s="23">
        <f t="shared" si="166"/>
        <v>1.9070303309579129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30</v>
      </c>
      <c r="O198" s="14">
        <f>N198*VLOOKUP('Données projet'!$B$9,Paramètres!$A$1:$I$89,3,0)*VLOOKUP('Données projet'!$B$9,Paramètres!$A$1:$I$89,5,0)</f>
        <v>14.5548</v>
      </c>
      <c r="P198" s="14">
        <f t="shared" si="203"/>
        <v>4.9111633609399075</v>
      </c>
      <c r="Q198" s="22">
        <f t="shared" si="162"/>
        <v>33.903219520303679</v>
      </c>
      <c r="R198" s="62">
        <f t="shared" si="191"/>
        <v>327.23655285363702</v>
      </c>
      <c r="S198" s="62">
        <f ca="1">AVERAGE(OFFSET($R$3,0,0,'Données projet'!$E$9+1,1))-AVERAGE(OFFSET($H$3,0,0,'Données projet'!$E$9+1,1))</f>
        <v>65.585138535467195</v>
      </c>
      <c r="T198" s="62">
        <f t="shared" si="204"/>
        <v>292.56159092613944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1.5920095444683231</v>
      </c>
      <c r="AA198" s="23">
        <f>EXP(-LN(2)/25)*AA197+(1-EXP(-LN(2)/25))/(LN(2)/25)*Calculateur!V198*Calculateur!X198*VLOOKUP('Données projet'!$B$9,Paramètres!$A$1:$I$89,3,0)*0.475*44/12</f>
        <v>5.9382861941190516E-2</v>
      </c>
      <c r="AB198" s="23">
        <f>EXP(-LN(2)/2)*AB197+(1-EXP(-LN(2)/2))/(LN(2)/2)*V198*Y198*VLOOKUP('Données projet'!$B$9,Paramètres!$A$1:$I$89,3,0)*0.475*44/12</f>
        <v>9.2333269293966563E-27</v>
      </c>
      <c r="AC198" s="24">
        <f t="shared" si="163"/>
        <v>1.6513924064095136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30</v>
      </c>
      <c r="AJ198" s="14">
        <f>AI198*VLOOKUP('Données projet'!$B$10,Paramètres!$A$1:$I$89,3,0)*VLOOKUP('Données projet'!$B$10,Paramètres!$A$1:$I$89,5,0)</f>
        <v>16.473599999999998</v>
      </c>
      <c r="AK198" s="14">
        <f t="shared" si="164"/>
        <v>5.479064311766531</v>
      </c>
      <c r="AL198" s="22">
        <f t="shared" si="165"/>
        <v>38.2342236763267</v>
      </c>
      <c r="AM198" s="62">
        <f t="shared" si="193"/>
        <v>331.56755700965999</v>
      </c>
      <c r="AN198" s="62">
        <f ca="1">AVERAGE(OFFSET($AM$3,0,0,'Données projet'!$E$10+1,1))-AVERAGE(OFFSET($H$3,0,0,'Données projet'!$E$10+1,1))</f>
        <v>72.817281731857122</v>
      </c>
      <c r="AO198" s="62">
        <f t="shared" si="205"/>
        <v>327.78949950303326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1.8018886162471064</v>
      </c>
      <c r="AV198" s="23">
        <f>EXP(-LN(2)/25)*AV197+(1-EXP(-LN(2)/25))/(LN(2)/25)*Calculateur!AQ198*Calculateur!AS198*VLOOKUP('Données projet'!$B$10,Paramètres!$A$1:$I$89,3,0)*0.475*44/12</f>
        <v>6.7211470750157556E-2</v>
      </c>
      <c r="AW198" s="23">
        <f>EXP(-LN(2)/2)*AW197+(1-EXP(-LN(2)/2))/(LN(2)/2)*AQ198*AT198*VLOOKUP('Données projet'!$B$10,Paramètres!$A$1:$I$89,3,0)*0.475*44/12</f>
        <v>1.0450582248063104E-26</v>
      </c>
      <c r="AX198" s="23">
        <f t="shared" si="166"/>
        <v>1.869100086997264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30</v>
      </c>
      <c r="O199" s="14">
        <f>N199*VLOOKUP('Données projet'!$B$9,Paramètres!$A$1:$I$89,3,0)*VLOOKUP('Données projet'!$B$9,Paramètres!$A$1:$I$89,5,0)</f>
        <v>14.5548</v>
      </c>
      <c r="P199" s="14">
        <f t="shared" si="203"/>
        <v>4.9111633609399075</v>
      </c>
      <c r="Q199" s="22">
        <f t="shared" si="162"/>
        <v>33.903219520303679</v>
      </c>
      <c r="R199" s="62">
        <f t="shared" si="191"/>
        <v>327.23655285363702</v>
      </c>
      <c r="S199" s="62">
        <f ca="1">AVERAGE(OFFSET($R$3,0,0,'Données projet'!$E$9+1,1))-AVERAGE(OFFSET($H$3,0,0,'Données projet'!$E$9+1,1))</f>
        <v>65.585138535467195</v>
      </c>
      <c r="T199" s="62">
        <f t="shared" si="204"/>
        <v>292.56159092613944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1.5607912083312401</v>
      </c>
      <c r="AA199" s="23">
        <f>EXP(-LN(2)/25)*AA198+(1-EXP(-LN(2)/25))/(LN(2)/25)*Calculateur!V199*Calculateur!X199*VLOOKUP('Données projet'!$B$9,Paramètres!$A$1:$I$89,3,0)*0.475*44/12</f>
        <v>5.7759034458599673E-2</v>
      </c>
      <c r="AB199" s="23">
        <f>EXP(-LN(2)/2)*AB198+(1-EXP(-LN(2)/2))/(LN(2)/2)*V199*Y199*VLOOKUP('Données projet'!$B$9,Paramètres!$A$1:$I$89,3,0)*0.475*44/12</f>
        <v>6.5289480846887379E-27</v>
      </c>
      <c r="AC199" s="24">
        <f t="shared" si="163"/>
        <v>1.6185502427898397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30</v>
      </c>
      <c r="AJ199" s="14">
        <f>AI199*VLOOKUP('Données projet'!$B$10,Paramètres!$A$1:$I$89,3,0)*VLOOKUP('Données projet'!$B$10,Paramètres!$A$1:$I$89,5,0)</f>
        <v>16.473599999999998</v>
      </c>
      <c r="AK199" s="14">
        <f t="shared" si="164"/>
        <v>5.479064311766531</v>
      </c>
      <c r="AL199" s="22">
        <f t="shared" si="165"/>
        <v>38.2342236763267</v>
      </c>
      <c r="AM199" s="62">
        <f t="shared" si="193"/>
        <v>331.56755700965999</v>
      </c>
      <c r="AN199" s="62">
        <f ca="1">AVERAGE(OFFSET($AM$3,0,0,'Données projet'!$E$10+1,1))-AVERAGE(OFFSET($H$3,0,0,'Données projet'!$E$10+1,1))</f>
        <v>72.817281731857122</v>
      </c>
      <c r="AO199" s="62">
        <f t="shared" si="205"/>
        <v>327.78949950303326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1.766554679526035</v>
      </c>
      <c r="AV199" s="23">
        <f>EXP(-LN(2)/25)*AV198+(1-EXP(-LN(2)/25))/(LN(2)/25)*Calculateur!AQ199*Calculateur!AS199*VLOOKUP('Données projet'!$B$10,Paramètres!$A$1:$I$89,3,0)*0.475*44/12</f>
        <v>6.5373569547996863E-2</v>
      </c>
      <c r="AW199" s="23">
        <f>EXP(-LN(2)/2)*AW198+(1-EXP(-LN(2)/2))/(LN(2)/2)*AQ199*AT199*VLOOKUP('Données projet'!$B$10,Paramètres!$A$1:$I$89,3,0)*0.475*44/12</f>
        <v>7.3896775749531748E-27</v>
      </c>
      <c r="AX199" s="23">
        <f t="shared" si="166"/>
        <v>1.8319282490740318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30</v>
      </c>
      <c r="O200" s="14">
        <f>N200*VLOOKUP('Données projet'!$B$9,Paramètres!$A$1:$I$89,3,0)*VLOOKUP('Données projet'!$B$9,Paramètres!$A$1:$I$89,5,0)</f>
        <v>14.5548</v>
      </c>
      <c r="P200" s="14">
        <f t="shared" si="203"/>
        <v>4.9111633609399075</v>
      </c>
      <c r="Q200" s="22">
        <f t="shared" si="162"/>
        <v>33.903219520303679</v>
      </c>
      <c r="R200" s="62">
        <f t="shared" si="191"/>
        <v>327.23655285363702</v>
      </c>
      <c r="S200" s="62">
        <f ca="1">AVERAGE(OFFSET($R$3,0,0,'Données projet'!$E$9+1,1))-AVERAGE(OFFSET($H$3,0,0,'Données projet'!$E$9+1,1))</f>
        <v>65.585138535467195</v>
      </c>
      <c r="T200" s="62">
        <f t="shared" si="204"/>
        <v>292.56159092613944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1.5301850447245005</v>
      </c>
      <c r="AA200" s="23">
        <f>EXP(-LN(2)/25)*AA199+(1-EXP(-LN(2)/25))/(LN(2)/25)*Calculateur!V200*Calculateur!X200*VLOOKUP('Données projet'!$B$9,Paramètres!$A$1:$I$89,3,0)*0.475*44/12</f>
        <v>5.6179610623913655E-2</v>
      </c>
      <c r="AB200" s="23">
        <f>EXP(-LN(2)/2)*AB199+(1-EXP(-LN(2)/2))/(LN(2)/2)*V200*Y200*VLOOKUP('Données projet'!$B$9,Paramètres!$A$1:$I$89,3,0)*0.475*44/12</f>
        <v>4.6166634646983281E-27</v>
      </c>
      <c r="AC200" s="24">
        <f t="shared" si="163"/>
        <v>1.5863646553484141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30</v>
      </c>
      <c r="AJ200" s="14">
        <f>AI200*VLOOKUP('Données projet'!$B$10,Paramètres!$A$1:$I$89,3,0)*VLOOKUP('Données projet'!$B$10,Paramètres!$A$1:$I$89,5,0)</f>
        <v>16.473599999999998</v>
      </c>
      <c r="AK200" s="14">
        <f t="shared" si="164"/>
        <v>5.479064311766531</v>
      </c>
      <c r="AL200" s="22">
        <f t="shared" si="165"/>
        <v>38.2342236763267</v>
      </c>
      <c r="AM200" s="62">
        <f t="shared" si="193"/>
        <v>331.56755700965999</v>
      </c>
      <c r="AN200" s="62">
        <f ca="1">AVERAGE(OFFSET($AM$3,0,0,'Données projet'!$E$10+1,1))-AVERAGE(OFFSET($H$3,0,0,'Données projet'!$E$10+1,1))</f>
        <v>72.817281731857122</v>
      </c>
      <c r="AO200" s="62">
        <f t="shared" si="205"/>
        <v>327.78949950303326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1.7319136197524905</v>
      </c>
      <c r="AV200" s="23">
        <f>EXP(-LN(2)/25)*AV199+(1-EXP(-LN(2)/25))/(LN(2)/25)*Calculateur!AQ200*Calculateur!AS200*VLOOKUP('Données projet'!$B$10,Paramètres!$A$1:$I$89,3,0)*0.475*44/12</f>
        <v>6.3585925850860273E-2</v>
      </c>
      <c r="AW200" s="23">
        <f>EXP(-LN(2)/2)*AW199+(1-EXP(-LN(2)/2))/(LN(2)/2)*AQ200*AT200*VLOOKUP('Données projet'!$B$10,Paramètres!$A$1:$I$89,3,0)*0.475*44/12</f>
        <v>5.2252911240315518E-27</v>
      </c>
      <c r="AX200" s="23">
        <f t="shared" si="166"/>
        <v>1.7954995456033507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30</v>
      </c>
      <c r="O201" s="14">
        <f>N201*VLOOKUP('Données projet'!$B$9,Paramètres!$A$1:$I$89,3,0)*VLOOKUP('Données projet'!$B$9,Paramètres!$A$1:$I$89,5,0)</f>
        <v>14.5548</v>
      </c>
      <c r="P201" s="14">
        <f t="shared" si="203"/>
        <v>4.9111633609399075</v>
      </c>
      <c r="Q201" s="22">
        <f t="shared" si="162"/>
        <v>33.903219520303679</v>
      </c>
      <c r="R201" s="62">
        <f t="shared" si="191"/>
        <v>327.23655285363702</v>
      </c>
      <c r="S201" s="62">
        <f ca="1">AVERAGE(OFFSET($R$3,0,0,'Données projet'!$E$9+1,1))-AVERAGE(OFFSET($H$3,0,0,'Données projet'!$E$9+1,1))</f>
        <v>65.585138535467195</v>
      </c>
      <c r="T201" s="62">
        <f t="shared" si="204"/>
        <v>292.56159092613944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1.5001790493181726</v>
      </c>
      <c r="AA201" s="23">
        <f>EXP(-LN(2)/25)*AA200+(1-EXP(-LN(2)/25))/(LN(2)/25)*Calculateur!V201*Calculateur!X201*VLOOKUP('Données projet'!$B$9,Paramètres!$A$1:$I$89,3,0)*0.475*44/12</f>
        <v>5.4643376217045417E-2</v>
      </c>
      <c r="AB201" s="23">
        <f>EXP(-LN(2)/2)*AB200+(1-EXP(-LN(2)/2))/(LN(2)/2)*V201*Y201*VLOOKUP('Données projet'!$B$9,Paramètres!$A$1:$I$89,3,0)*0.475*44/12</f>
        <v>3.264474042344369E-27</v>
      </c>
      <c r="AC201" s="24">
        <f t="shared" si="163"/>
        <v>1.5548224255352181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30</v>
      </c>
      <c r="AJ201" s="14">
        <f>AI201*VLOOKUP('Données projet'!$B$10,Paramètres!$A$1:$I$89,3,0)*VLOOKUP('Données projet'!$B$10,Paramètres!$A$1:$I$89,5,0)</f>
        <v>16.473599999999998</v>
      </c>
      <c r="AK201" s="14">
        <f t="shared" si="164"/>
        <v>5.479064311766531</v>
      </c>
      <c r="AL201" s="22">
        <f t="shared" si="165"/>
        <v>38.2342236763267</v>
      </c>
      <c r="AM201" s="62">
        <f t="shared" si="193"/>
        <v>331.56755700965999</v>
      </c>
      <c r="AN201" s="62">
        <f ca="1">AVERAGE(OFFSET($AM$3,0,0,'Données projet'!$E$10+1,1))-AVERAGE(OFFSET($H$3,0,0,'Données projet'!$E$10+1,1))</f>
        <v>72.817281731857122</v>
      </c>
      <c r="AO201" s="62">
        <f t="shared" si="205"/>
        <v>327.78949950303326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1.6979518500321451</v>
      </c>
      <c r="AV201" s="23">
        <f>EXP(-LN(2)/25)*AV200+(1-EXP(-LN(2)/25))/(LN(2)/25)*Calculateur!AQ201*Calculateur!AS201*VLOOKUP('Données projet'!$B$10,Paramètres!$A$1:$I$89,3,0)*0.475*44/12</f>
        <v>6.1847165364629988E-2</v>
      </c>
      <c r="AW201" s="23">
        <f>EXP(-LN(2)/2)*AW200+(1-EXP(-LN(2)/2))/(LN(2)/2)*AQ201*AT201*VLOOKUP('Données projet'!$B$10,Paramètres!$A$1:$I$89,3,0)*0.475*44/12</f>
        <v>3.6948387874765874E-27</v>
      </c>
      <c r="AX201" s="23">
        <f t="shared" si="166"/>
        <v>1.7597990153967751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30</v>
      </c>
      <c r="O202" s="14">
        <f>N202*VLOOKUP('Données projet'!$B$9,Paramètres!$A$1:$I$89,3,0)*VLOOKUP('Données projet'!$B$9,Paramètres!$A$1:$I$89,5,0)</f>
        <v>14.5548</v>
      </c>
      <c r="P202" s="14">
        <f t="shared" si="203"/>
        <v>4.9111633609399075</v>
      </c>
      <c r="Q202" s="22">
        <f t="shared" si="162"/>
        <v>33.903219520303679</v>
      </c>
      <c r="R202" s="62">
        <f t="shared" si="191"/>
        <v>327.23655285363702</v>
      </c>
      <c r="S202" s="62">
        <f ca="1">AVERAGE(OFFSET($R$3,0,0,'Données projet'!$E$9+1,1))-AVERAGE(OFFSET($H$3,0,0,'Données projet'!$E$9+1,1))</f>
        <v>65.585138535467195</v>
      </c>
      <c r="T202" s="62">
        <f t="shared" si="204"/>
        <v>292.56159092613944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1.4707614531799127</v>
      </c>
      <c r="AA202" s="23">
        <f>EXP(-LN(2)/25)*AA201+(1-EXP(-LN(2)/25))/(LN(2)/25)*Calculateur!V202*Calculateur!X202*VLOOKUP('Données projet'!$B$9,Paramètres!$A$1:$I$89,3,0)*0.475*44/12</f>
        <v>5.3149150220820042E-2</v>
      </c>
      <c r="AB202" s="23">
        <f>EXP(-LN(2)/2)*AB201+(1-EXP(-LN(2)/2))/(LN(2)/2)*V202*Y202*VLOOKUP('Données projet'!$B$9,Paramètres!$A$1:$I$89,3,0)*0.475*44/12</f>
        <v>2.3083317323491641E-27</v>
      </c>
      <c r="AC202" s="24">
        <f t="shared" si="163"/>
        <v>1.5239106034007328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30</v>
      </c>
      <c r="AJ202" s="14">
        <f>AI202*VLOOKUP('Données projet'!$B$10,Paramètres!$A$1:$I$89,3,0)*VLOOKUP('Données projet'!$B$10,Paramètres!$A$1:$I$89,5,0)</f>
        <v>16.473599999999998</v>
      </c>
      <c r="AK202" s="14">
        <f t="shared" si="164"/>
        <v>5.479064311766531</v>
      </c>
      <c r="AL202" s="22">
        <f t="shared" si="165"/>
        <v>38.2342236763267</v>
      </c>
      <c r="AM202" s="62">
        <f t="shared" si="193"/>
        <v>331.56755700965999</v>
      </c>
      <c r="AN202" s="62">
        <f ca="1">AVERAGE(OFFSET($AM$3,0,0,'Données projet'!$E$10+1,1))-AVERAGE(OFFSET($H$3,0,0,'Données projet'!$E$10+1,1))</f>
        <v>72.817281731857122</v>
      </c>
      <c r="AO202" s="62">
        <f t="shared" si="205"/>
        <v>327.78949950303326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1.6646560499013814</v>
      </c>
      <c r="AV202" s="23">
        <f>EXP(-LN(2)/25)*AV201+(1-EXP(-LN(2)/25))/(LN(2)/25)*Calculateur!AQ202*Calculateur!AS202*VLOOKUP('Données projet'!$B$10,Paramètres!$A$1:$I$89,3,0)*0.475*44/12</f>
        <v>6.0155951375333111E-2</v>
      </c>
      <c r="AW202" s="23">
        <f>EXP(-LN(2)/2)*AW201+(1-EXP(-LN(2)/2))/(LN(2)/2)*AQ202*AT202*VLOOKUP('Données projet'!$B$10,Paramètres!$A$1:$I$89,3,0)*0.475*44/12</f>
        <v>2.6126455620157759E-27</v>
      </c>
      <c r="AX202" s="23">
        <f t="shared" si="166"/>
        <v>1.7248120012767145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30</v>
      </c>
      <c r="O203" s="14">
        <f>N203*VLOOKUP('Données projet'!$B$9,Paramètres!$A$1:$I$89,3,0)*VLOOKUP('Données projet'!$B$9,Paramètres!$A$1:$I$89,5,0)</f>
        <v>14.5548</v>
      </c>
      <c r="P203" s="14">
        <f t="shared" si="203"/>
        <v>4.9111633609399075</v>
      </c>
      <c r="Q203" s="22">
        <f t="shared" si="162"/>
        <v>33.903219520303679</v>
      </c>
      <c r="R203" s="62">
        <f t="shared" si="191"/>
        <v>327.23655285363702</v>
      </c>
      <c r="S203" s="62">
        <f ca="1">AVERAGE(OFFSET($R$3,0,0,'Données projet'!$E$9+1,1))-AVERAGE(OFFSET($H$3,0,0,'Données projet'!$E$9+1,1))</f>
        <v>65.585138535467195</v>
      </c>
      <c r="T203" s="62">
        <f t="shared" si="204"/>
        <v>292.56159092613944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1.4419207181589622</v>
      </c>
      <c r="AA203" s="23">
        <f>EXP(-LN(2)/25)*AA202+(1-EXP(-LN(2)/25))/(LN(2)/25)*Calculateur!V203*Calculateur!X203*VLOOKUP('Données projet'!$B$9,Paramètres!$A$1:$I$89,3,0)*0.475*44/12</f>
        <v>5.1695783913039382E-2</v>
      </c>
      <c r="AB203" s="23">
        <f>EXP(-LN(2)/2)*AB202+(1-EXP(-LN(2)/2))/(LN(2)/2)*V203*Y203*VLOOKUP('Données projet'!$B$9,Paramètres!$A$1:$I$89,3,0)*0.475*44/12</f>
        <v>1.6322370211721845E-27</v>
      </c>
      <c r="AC203" s="24">
        <f t="shared" si="163"/>
        <v>1.4936165020720016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30</v>
      </c>
      <c r="AJ203" s="14">
        <f>AI203*VLOOKUP('Données projet'!$B$10,Paramètres!$A$1:$I$89,3,0)*VLOOKUP('Données projet'!$B$10,Paramètres!$A$1:$I$89,5,0)</f>
        <v>16.473599999999998</v>
      </c>
      <c r="AK203" s="14">
        <f t="shared" si="164"/>
        <v>5.479064311766531</v>
      </c>
      <c r="AL203" s="22">
        <f t="shared" si="165"/>
        <v>38.2342236763267</v>
      </c>
      <c r="AM203" s="62">
        <f t="shared" si="193"/>
        <v>331.56755700965999</v>
      </c>
      <c r="AN203" s="62">
        <f ca="1">AVERAGE(OFFSET($AM$3,0,0,'Données projet'!$E$10+1,1))-AVERAGE(OFFSET($H$3,0,0,'Données projet'!$E$10+1,1))</f>
        <v>72.817281731857122</v>
      </c>
      <c r="AO203" s="62">
        <f t="shared" si="205"/>
        <v>327.78949950303326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1.6320131601027492</v>
      </c>
      <c r="AV203" s="23">
        <f>EXP(-LN(2)/25)*AV202+(1-EXP(-LN(2)/25))/(LN(2)/25)*Calculateur!AQ203*Calculateur!AS203*VLOOKUP('Données projet'!$B$10,Paramètres!$A$1:$I$89,3,0)*0.475*44/12</f>
        <v>5.8510983721510632E-2</v>
      </c>
      <c r="AW203" s="23">
        <f>EXP(-LN(2)/2)*AW202+(1-EXP(-LN(2)/2))/(LN(2)/2)*AQ203*AT203*VLOOKUP('Données projet'!$B$10,Paramètres!$A$1:$I$89,3,0)*0.475*44/12</f>
        <v>1.8474193937382937E-27</v>
      </c>
      <c r="AX203" s="23">
        <f t="shared" si="166"/>
        <v>1.6905241438242598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1.4476454451509746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1.4476454451509746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2" workbookViewId="0">
      <selection activeCell="D76" sqref="D76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O27" sqref="O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Blanc du Poitou</v>
      </c>
      <c r="B6" s="155">
        <f>'Données projet'!D9</f>
        <v>2.7798299999999996</v>
      </c>
      <c r="C6" s="156">
        <f ca="1">IF(OR('Données projet'!B9="",'Données projet'!C9="",'Données projet'!C9=0%),0,Calculateur!S3)</f>
        <v>65.585138535467195</v>
      </c>
      <c r="D6" s="156">
        <f>IF(OR('Données projet'!B9="",'Données projet'!C9="",'Données projet'!C9=0%),0,Calculateur!T3)</f>
        <v>292.56159092613944</v>
      </c>
      <c r="E6" s="156">
        <f ca="1">MIN(C6,D6)</f>
        <v>65.585138535467195</v>
      </c>
      <c r="F6" s="156">
        <f ca="1">E6*B6</f>
        <v>182.31553565504774</v>
      </c>
      <c r="G6" s="156">
        <f ca="1">F6*(100%-'Données projet'!$C$24)*(100%-'Données projet'!$C$25)*(100%-'Données projet'!$C$26)*(100%-'Données projet'!$C$27)</f>
        <v>164.08398208954296</v>
      </c>
      <c r="H6" s="157">
        <f>IF(OR('Données projet'!B9="",'Données projet'!C9="",'Données projet'!C9=0%),0,AVERAGE(Calculateur!$AC$3:$AC$33)*B6)</f>
        <v>83.596285095778825</v>
      </c>
      <c r="I6" s="158">
        <f>H6*(100%-'Données projet'!$C$24)*(100%-'Données projet'!$C$25)*(100%-'Données projet'!$C$26)*(100%-'Données projet'!$C$27)</f>
        <v>75.236656586200951</v>
      </c>
      <c r="J6" s="159">
        <f>IF(OR('Données projet'!B9="",'Données projet'!C9="",'Données projet'!C9=0%),0,SUM(Calculateur!$V$3:$V$33)*VLOOKUP('Données projet'!$B$9,Paramètres!$A$1:$I$89,9,0)*B6)</f>
        <v>649.95205229999988</v>
      </c>
      <c r="K6" s="160">
        <f>J6*(100%-'Données projet'!$C$24)*(100%-'Données projet'!$C$25)*(100%-'Données projet'!$C$26)*(100%-'Données projet'!$C$27)</f>
        <v>584.95684706999987</v>
      </c>
      <c r="L6" s="161">
        <f ca="1">G6+I6+K6</f>
        <v>824.27748574574377</v>
      </c>
      <c r="M6" s="25">
        <f ca="1">L6/B6</f>
        <v>296.52082528274889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Alcinde</v>
      </c>
      <c r="B7" s="163">
        <f>'Données projet'!D10</f>
        <v>1.0198739999999997</v>
      </c>
      <c r="C7" s="156">
        <f ca="1">IF(OR('Données projet'!B10="",'Données projet'!C10="",'Données projet'!C10=0%),0,Calculateur!AN3)</f>
        <v>72.817281731857122</v>
      </c>
      <c r="D7" s="156">
        <f>IF(OR('Données projet'!B10="",'Données projet'!C10="",'Données projet'!C10=0%),0,Calculateur!AO3)</f>
        <v>327.78949950303326</v>
      </c>
      <c r="E7" s="156">
        <f t="shared" ref="E7:E15" ca="1" si="0">MIN(C7,D7)</f>
        <v>72.817281731857122</v>
      </c>
      <c r="F7" s="156">
        <f t="shared" ref="F7:F15" ca="1" si="1">E7*B7</f>
        <v>74.264452388996034</v>
      </c>
      <c r="G7" s="156">
        <f ca="1">F7*(100%-'Données projet'!$C$24)*(100%-'Données projet'!$C$25)*(100%-'Données projet'!$C$26)*(100%-'Données projet'!$C$27)</f>
        <v>66.838007150096431</v>
      </c>
      <c r="H7" s="164">
        <f>IF(OR('Données projet'!B10="",'Données projet'!C10="",'Données projet'!C10=0%),0,AVERAGE(Calculateur!$AX$3:$AX$33)*B7)</f>
        <v>34.71343061073383</v>
      </c>
      <c r="I7" s="158">
        <f>H7*(100%-'Données projet'!$C$24)*(100%-'Données projet'!$C$25)*(100%-'Données projet'!$C$26)*(100%-'Données projet'!$C$27)</f>
        <v>31.242087549660447</v>
      </c>
      <c r="J7" s="159">
        <f>IF(OR('Données projet'!B10="",'Données projet'!C10="",'Données projet'!C10=0%),0,SUM(Calculateur!$AQ$3:$AQ$33)*VLOOKUP('Données projet'!$B$10,Paramètres!$A$1:$I$89,9,0)*B7)</f>
        <v>238.45673993999995</v>
      </c>
      <c r="K7" s="160">
        <f>J7*(100%-'Données projet'!$C$24)*(100%-'Données projet'!$C$25)*(100%-'Données projet'!$C$26)*(100%-'Données projet'!$C$27)</f>
        <v>214.61106594599997</v>
      </c>
      <c r="L7" s="161">
        <f t="shared" ref="L7:L15" ca="1" si="2">G7+I7+K7</f>
        <v>312.69116064575684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256.57998804404377</v>
      </c>
      <c r="G16" s="175">
        <f t="shared" ca="1" si="3"/>
        <v>230.9219892396394</v>
      </c>
      <c r="H16" s="176">
        <f t="shared" si="3"/>
        <v>118.30971570651266</v>
      </c>
      <c r="I16" s="176">
        <f t="shared" si="3"/>
        <v>106.4787441358614</v>
      </c>
      <c r="J16" s="177">
        <f t="shared" si="3"/>
        <v>888.4087922399998</v>
      </c>
      <c r="K16" s="177">
        <f t="shared" si="3"/>
        <v>799.56791301599981</v>
      </c>
      <c r="L16" s="178">
        <f t="shared" ca="1" si="3"/>
        <v>1136.9686463915007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Blanc du Poitou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Alcinde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R16" zoomScale="90" zoomScaleNormal="90" workbookViewId="0">
      <selection activeCell="I20" sqref="I20: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Blanc du Poitou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6451.2547223123629</v>
      </c>
      <c r="U10" s="190">
        <f>'Données projet'!D9</f>
        <v>2.7798299999999996</v>
      </c>
      <c r="V10" s="189">
        <f>U10*T10</f>
        <v>17933.391414725575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Alcinde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6451.2547223123629</v>
      </c>
      <c r="U11" s="190">
        <f>'Données projet'!D10</f>
        <v>1.0198739999999997</v>
      </c>
      <c r="V11" s="189">
        <f t="shared" ref="V11" si="0">U11*T11</f>
        <v>6579.4669586635973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Blanc du Poitou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210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227</v>
      </c>
      <c r="C23" s="206">
        <v>55</v>
      </c>
      <c r="D23" s="194">
        <f>B23*C23</f>
        <v>12485</v>
      </c>
      <c r="E23" s="206"/>
      <c r="F23" s="261"/>
      <c r="H23" s="203">
        <v>3</v>
      </c>
      <c r="I23" s="204">
        <v>600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4795.6067239244767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230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9438.5947639582973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1000</v>
      </c>
      <c r="K25" s="225"/>
      <c r="L25" s="271" t="s">
        <v>285</v>
      </c>
      <c r="M25" s="271"/>
      <c r="N25" s="271"/>
      <c r="O25" s="271"/>
      <c r="P25" s="205">
        <v>200</v>
      </c>
      <c r="Q25" s="265"/>
      <c r="R25" s="25"/>
      <c r="S25" s="198" t="s">
        <v>266</v>
      </c>
      <c r="T25" s="341">
        <f ca="1">T23-T24</f>
        <v>-4642.9880400338207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2347.9091452632583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Alcinde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227</v>
      </c>
      <c r="C54" s="204">
        <v>55</v>
      </c>
      <c r="D54" s="191">
        <f>B54*C54</f>
        <v>12485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2025-07-23T07:46:09Z</dcterms:modified>
</cp:coreProperties>
</file>