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CHST-123/Dossier octobre 2024/"/>
    </mc:Choice>
  </mc:AlternateContent>
  <xr:revisionPtr revIDLastSave="30" documentId="8_{7FE8CE60-221A-48A3-A19C-644347CDB64E}" xr6:coauthVersionLast="47" xr6:coauthVersionMax="47" xr10:uidLastSave="{8C92D9E4-5FEB-4A7E-A362-F90BC3F2EFDA}"/>
  <bookViews>
    <workbookView xWindow="-108" yWindow="-108" windowWidth="23256" windowHeight="13896" tabRatio="866" firstSheet="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8" i="6" l="1"/>
  <c r="E17" i="6"/>
  <c r="E50" i="6" l="1"/>
  <c r="E51" i="6"/>
  <c r="E49" i="6"/>
  <c r="E19" i="6" l="1"/>
  <c r="E18" i="6"/>
  <c r="E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I20" i="6" l="1"/>
  <c r="I22" i="6"/>
  <c r="I24" i="6"/>
  <c r="U30" i="6"/>
  <c r="V10" i="6"/>
  <c r="P67" i="6"/>
  <c r="H19" i="2"/>
  <c r="D20" i="2"/>
  <c r="G20" i="2" s="1"/>
  <c r="P40" i="6"/>
  <c r="U31" i="6" l="1"/>
  <c r="U33" i="6" s="1"/>
  <c r="T23" i="6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62" i="2" l="1" a="1"/>
  <c r="AH62" i="2" s="1"/>
  <c r="AH151" i="2" a="1"/>
  <c r="AH151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tc={C1C6EBB1-0E54-4785-96F5-4B1F032A11D3}</author>
    <author>tc={266E7ECF-F3F1-48F0-975A-9BFE45A9F869}</author>
    <author>tc={5D343104-AA7E-4CB1-BFB8-9DC0D144C067}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C1C6EBB1-0E54-4785-96F5-4B1F032A11D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266E7ECF-F3F1-48F0-975A-9BFE45A9F86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5D343104-AA7E-4CB1-BFB8-9DC0D144C06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<sst xmlns="http://schemas.openxmlformats.org/spreadsheetml/2006/main" count="1177" uniqueCount="329">
  <si>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</si>
  <si>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</si>
  <si>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</si>
  <si>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</si>
  <si>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</si>
  <si>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</si>
  <si>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</si>
  <si>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</si>
  <si>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</si>
  <si>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</si>
  <si>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</si>
  <si>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</si>
  <si>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</si>
  <si>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</si>
  <si>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</si>
  <si>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</si>
  <si>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</si>
  <si>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</si>
  <si>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</si>
  <si>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</si>
  <si>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</si>
  <si>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</si>
  <si>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</si>
  <si>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</si>
  <si>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</si>
  <si>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</si>
  <si>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</si>
  <si>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</si>
  <si>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</si>
  <si>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</si>
  <si>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</si>
  <si>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</si>
  <si>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</si>
  <si>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</si>
  <si>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</si>
  <si>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</si>
  <si>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</si>
  <si>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</si>
  <si>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</si>
  <si>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</si>
  <si>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</si>
  <si>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</si>
  <si>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</si>
  <si>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</si>
  <si>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</si>
  <si>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</si>
  <si>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</si>
  <si>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</si>
  <si>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</si>
  <si>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</si>
  <si>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</si>
  <si>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</si>
  <si>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</si>
  <si>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</si>
  <si>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</si>
  <si>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</si>
  <si>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</si>
  <si>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</si>
  <si>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</si>
  <si>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</si>
  <si>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</si>
  <si>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</si>
  <si>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</si>
  <si>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</si>
  <si>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</si>
  <si>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</si>
  <si>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</si>
  <si>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</si>
  <si>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</si>
  <si>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</si>
  <si>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</si>
  <si>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</si>
  <si>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</si>
  <si>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</si>
  <si>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</si>
  <si>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</si>
  <si>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</si>
  <si>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</si>
  <si>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</si>
  <si>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</si>
  <si>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</si>
  <si>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</si>
  <si>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</si>
  <si>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</si>
  <si>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</si>
  <si>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</si>
  <si>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</si>
  <si>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</si>
  <si>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</si>
  <si>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</si>
  <si>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</si>
  <si>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</si>
  <si>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</si>
  <si>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</si>
  <si>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</si>
  <si>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</si>
  <si>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</si>
  <si>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</si>
  <si>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</si>
  <si>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</si>
  <si>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</si>
  <si>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</si>
  <si>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</si>
  <si>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</si>
  <si>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</si>
  <si>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</si>
  <si>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</si>
  <si>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</si>
  <si>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</si>
  <si>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</si>
  <si>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</si>
  <si>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</si>
  <si>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</si>
  <si>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</si>
  <si>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</si>
  <si>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</si>
  <si>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</si>
  <si>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</si>
  <si>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</si>
  <si>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</si>
  <si>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</si>
  <si>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</si>
  <si>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</si>
  <si>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</si>
  <si>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</si>
  <si>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</si>
  <si>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</si>
  <si>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</si>
  <si>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</si>
  <si>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</si>
  <si>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</si>
  <si>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</si>
  <si>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</si>
  <si>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</si>
  <si>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</si>
  <si>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</si>
  <si>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</si>
  <si>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</si>
  <si>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</si>
  <si>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</si>
  <si>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</si>
  <si>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</si>
  <si>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</si>
  <si>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</si>
  <si>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</si>
  <si>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</si>
  <si>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</si>
  <si>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</si>
  <si>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</si>
  <si>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</si>
  <si>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</si>
  <si>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</si>
  <si>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</si>
  <si>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</si>
  <si>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</si>
  <si>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</si>
  <si>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</si>
  <si>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</si>
  <si>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</si>
  <si>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</si>
  <si>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</si>
  <si>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</si>
  <si>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</si>
  <si>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</si>
  <si>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</si>
  <si>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</si>
  <si>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</si>
  <si>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</si>
  <si>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</si>
  <si>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</si>
  <si>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</si>
  <si>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</si>
  <si>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</si>
  <si>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</si>
  <si>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</si>
  <si>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</si>
  <si>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</si>
  <si>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</si>
  <si>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</si>
  <si>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</si>
  <si>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</si>
  <si>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</si>
  <si>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</si>
  <si>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</si>
  <si>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</si>
  <si>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</si>
  <si>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</si>
  <si>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</si>
  <si>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</si>
  <si>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</si>
  <si>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</si>
  <si>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</si>
  <si>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</si>
  <si>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</si>
  <si>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</si>
  <si>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</si>
  <si>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</si>
  <si>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</si>
  <si>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</si>
  <si>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</si>
  <si>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</si>
  <si>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</si>
  <si>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</si>
  <si>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</si>
  <si>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</si>
  <si>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</si>
  <si>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</si>
  <si>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</si>
  <si>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</si>
  <si>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</si>
  <si>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</si>
  <si>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</si>
  <si>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</si>
  <si>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</si>
  <si>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</si>
  <si>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</si>
  <si>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</si>
  <si>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</si>
  <si>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</si>
  <si>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</si>
  <si>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</si>
  <si>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</si>
  <si>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</si>
  <si>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</si>
  <si>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</si>
  <si>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</si>
  <si>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</si>
  <si>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</si>
  <si>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</si>
  <si>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</si>
  <si>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</si>
  <si>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</si>
  <si>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</si>
  <si>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</si>
  <si>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</si>
  <si>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</si>
  <si>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</si>
  <si>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</si>
  <si>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</si>
  <si>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</si>
  <si>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</si>
  <si>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</si>
  <si>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</si>
  <si>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</si>
  <si>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</si>
  <si>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</si>
  <si>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</si>
  <si>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</si>
  <si>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</si>
  <si>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</si>
  <si>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</si>
  <si>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</si>
  <si>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</si>
  <si>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</si>
  <si>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</si>
  <si>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</si>
  <si>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</si>
  <si>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</si>
  <si>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</si>
  <si>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</si>
  <si>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</si>
  <si>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</si>
  <si>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</si>
  <si>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</si>
  <si>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</si>
  <si>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</si>
  <si>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</si>
  <si>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</si>
  <si>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</si>
  <si>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</si>
  <si>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</si>
  <si>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</si>
  <si>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</si>
  <si>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</si>
  <si>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</si>
  <si>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</si>
  <si>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</si>
  <si>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</si>
  <si>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</si>
  <si>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</si>
  <si>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</si>
  <si>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</si>
  <si>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</si>
  <si>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</si>
  <si>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</si>
  <si>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</si>
  <si>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</si>
  <si>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</si>
  <si>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</si>
  <si>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</si>
  <si>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</si>
  <si>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</si>
  <si>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</si>
  <si>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</si>
  <si>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</si>
  <si>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</si>
  <si>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</si>
  <si>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</si>
  <si>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</si>
  <si>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</si>
  <si>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</si>
  <si>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</si>
  <si>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</si>
  <si>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</si>
  <si>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</si>
  <si>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</si>
  <si>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</si>
  <si>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</si>
  <si>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</si>
  <si>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</si>
  <si>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</si>
  <si>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</si>
  <si>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</si>
  <si>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</si>
  <si>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</si>
  <si>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</si>
  <si>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</si>
  <si>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</si>
  <si>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</si>
  <si>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</si>
  <si>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</si>
  <si>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</si>
  <si>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</si>
  <si>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</si>
  <si>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</si>
  <si>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Frais notariés</t>
  </si>
  <si>
    <t>Cout gestionnaire</t>
  </si>
  <si>
    <t>Coût total du projet Néosylva sur les 5 premières années</t>
  </si>
  <si>
    <t>Cout plantation + entretien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</si>
</sst>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166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162.39271715740026</c:v>
                </c:pt>
                <c:pt idx="22">
                  <c:v>182.10072116599244</c:v>
                </c:pt>
                <c:pt idx="23">
                  <c:v>201.75881092692791</c:v>
                </c:pt>
                <c:pt idx="24">
                  <c:v>221.37253538805251</c:v>
                </c:pt>
                <c:pt idx="25">
                  <c:v>240.94637860003556</c:v>
                </c:pt>
                <c:pt idx="26">
                  <c:v>201.38120500067487</c:v>
                </c:pt>
                <c:pt idx="27">
                  <c:v>220.24209728386418</c:v>
                </c:pt>
                <c:pt idx="28">
                  <c:v>239.06590436046744</c:v>
                </c:pt>
                <c:pt idx="29">
                  <c:v>257.85595699105778</c:v>
                </c:pt>
                <c:pt idx="30">
                  <c:v>276.61506059958828</c:v>
                </c:pt>
                <c:pt idx="31">
                  <c:v>235.68019914177424</c:v>
                </c:pt>
                <c:pt idx="32">
                  <c:v>252.97362594481328</c:v>
                </c:pt>
                <c:pt idx="33">
                  <c:v>270.24028170556284</c:v>
                </c:pt>
                <c:pt idx="34">
                  <c:v>287.48211750444801</c:v>
                </c:pt>
                <c:pt idx="35">
                  <c:v>304.70083122716068</c:v>
                </c:pt>
                <c:pt idx="36">
                  <c:v>263.86211541012494</c:v>
                </c:pt>
                <c:pt idx="37">
                  <c:v>279.23900597474045</c:v>
                </c:pt>
                <c:pt idx="38">
                  <c:v>294.59690838804551</c:v>
                </c:pt>
                <c:pt idx="39">
                  <c:v>309.93695192564934</c:v>
                </c:pt>
                <c:pt idx="40">
                  <c:v>325.26014493454312</c:v>
                </c:pt>
                <c:pt idx="41">
                  <c:v>287.107546598586</c:v>
                </c:pt>
                <c:pt idx="42">
                  <c:v>301.33369868276117</c:v>
                </c:pt>
                <c:pt idx="43">
                  <c:v>315.54490296905192</c:v>
                </c:pt>
                <c:pt idx="44">
                  <c:v>329.74192753151544</c:v>
                </c:pt>
                <c:pt idx="45">
                  <c:v>343.92546889640698</c:v>
                </c:pt>
                <c:pt idx="46">
                  <c:v>308.06713623755593</c:v>
                </c:pt>
                <c:pt idx="47">
                  <c:v>320.77699701276748</c:v>
                </c:pt>
                <c:pt idx="48">
                  <c:v>333.4757187218035</c:v>
                </c:pt>
                <c:pt idx="49">
                  <c:v>346.16378539221324</c:v>
                </c:pt>
                <c:pt idx="50">
                  <c:v>358.84164266475449</c:v>
                </c:pt>
                <c:pt idx="51">
                  <c:v>325.26014493454312</c:v>
                </c:pt>
                <c:pt idx="52">
                  <c:v>336.46208765640478</c:v>
                </c:pt>
                <c:pt idx="53">
                  <c:v>347.65581965898053</c:v>
                </c:pt>
                <c:pt idx="54">
                  <c:v>358.84164266475449</c:v>
                </c:pt>
                <c:pt idx="55">
                  <c:v>370.01983804377852</c:v>
                </c:pt>
                <c:pt idx="56">
                  <c:v>340.56739298972923</c:v>
                </c:pt>
                <c:pt idx="57">
                  <c:v>350.2665417809464</c:v>
                </c:pt>
                <c:pt idx="58">
                  <c:v>359.95980096859535</c:v>
                </c:pt>
                <c:pt idx="59">
                  <c:v>369.64735159591152</c:v>
                </c:pt>
                <c:pt idx="60">
                  <c:v>379.32936443758223</c:v>
                </c:pt>
                <c:pt idx="61">
                  <c:v>352.50396372745263</c:v>
                </c:pt>
                <c:pt idx="62">
                  <c:v>361.07788328211979</c:v>
                </c:pt>
                <c:pt idx="63">
                  <c:v>369.64735159591146</c:v>
                </c:pt>
                <c:pt idx="64">
                  <c:v>378.2124864803132</c:v>
                </c:pt>
                <c:pt idx="65">
                  <c:v>386.7733999720669</c:v>
                </c:pt>
                <c:pt idx="66">
                  <c:v>362.56854195764771</c:v>
                </c:pt>
                <c:pt idx="67">
                  <c:v>370.01983804377841</c:v>
                </c:pt>
                <c:pt idx="68">
                  <c:v>377.46786129486003</c:v>
                </c:pt>
                <c:pt idx="69">
                  <c:v>384.91268544829796</c:v>
                </c:pt>
                <c:pt idx="70">
                  <c:v>392.35438115419691</c:v>
                </c:pt>
                <c:pt idx="71">
                  <c:v>371.13724833655607</c:v>
                </c:pt>
                <c:pt idx="72">
                  <c:v>377.84017788163391</c:v>
                </c:pt>
                <c:pt idx="73">
                  <c:v>384.54051911648202</c:v>
                </c:pt>
                <c:pt idx="74">
                  <c:v>391.23832354179808</c:v>
                </c:pt>
                <c:pt idx="75">
                  <c:v>397.93364074958475</c:v>
                </c:pt>
                <c:pt idx="76">
                  <c:v>379.32936443758223</c:v>
                </c:pt>
                <c:pt idx="77">
                  <c:v>384.91268544829791</c:v>
                </c:pt>
                <c:pt idx="78">
                  <c:v>390.49424676672447</c:v>
                </c:pt>
                <c:pt idx="79">
                  <c:v>396.07407711953448</c:v>
                </c:pt>
                <c:pt idx="80">
                  <c:v>401.65220435716333</c:v>
                </c:pt>
                <c:pt idx="81">
                  <c:v>386.02913755517011</c:v>
                </c:pt>
                <c:pt idx="82">
                  <c:v>390.86628899650492</c:v>
                </c:pt>
                <c:pt idx="83">
                  <c:v>395.7021417186661</c:v>
                </c:pt>
                <c:pt idx="84">
                  <c:v>400.53671385047022</c:v>
                </c:pt>
                <c:pt idx="85">
                  <c:v>405.37002304691208</c:v>
                </c:pt>
                <c:pt idx="86">
                  <c:v>391.23832354179802</c:v>
                </c:pt>
                <c:pt idx="87">
                  <c:v>395.7021417186661</c:v>
                </c:pt>
                <c:pt idx="88">
                  <c:v>400.16486874659631</c:v>
                </c:pt>
                <c:pt idx="89">
                  <c:v>404.62651852552494</c:v>
                </c:pt>
                <c:pt idx="90">
                  <c:v>409.08710462349296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2.0360484678650539</c:v>
                </c:pt>
                <c:pt idx="2">
                  <c:v>2.6732564892559605</c:v>
                </c:pt>
                <c:pt idx="3">
                  <c:v>3.5107063373439913</c:v>
                </c:pt>
                <c:pt idx="4">
                  <c:v>4.6115665173429541</c:v>
                </c:pt>
                <c:pt idx="5">
                  <c:v>6.0590043820974993</c:v>
                </c:pt>
                <c:pt idx="6">
                  <c:v>7.962538733207654</c:v>
                </c:pt>
                <c:pt idx="7">
                  <c:v>10.466416484886262</c:v>
                </c:pt>
                <c:pt idx="8">
                  <c:v>13.760660097642491</c:v>
                </c:pt>
                <c:pt idx="9">
                  <c:v>18.095639642152722</c:v>
                </c:pt>
                <c:pt idx="10">
                  <c:v>23.80129701446997</c:v>
                </c:pt>
                <c:pt idx="11">
                  <c:v>31.312511388641202</c:v>
                </c:pt>
                <c:pt idx="12">
                  <c:v>41.202572754834129</c:v>
                </c:pt>
                <c:pt idx="13">
                  <c:v>54.227361766041078</c:v>
                </c:pt>
                <c:pt idx="14">
                  <c:v>71.383668589285392</c:v>
                </c:pt>
                <c:pt idx="15">
                  <c:v>93.986186481305097</c:v>
                </c:pt>
                <c:pt idx="16">
                  <c:v>123.76917396624582</c:v>
                </c:pt>
                <c:pt idx="17">
                  <c:v>163.02070732605469</c:v>
                </c:pt>
                <c:pt idx="18">
                  <c:v>132.98183441071282</c:v>
                </c:pt>
                <c:pt idx="19">
                  <c:v>156.02067025769352</c:v>
                </c:pt>
                <c:pt idx="20">
                  <c:v>178.97858984538223</c:v>
                </c:pt>
                <c:pt idx="21">
                  <c:v>201.8674445177727</c:v>
                </c:pt>
                <c:pt idx="22">
                  <c:v>224.6961704893466</c:v>
                </c:pt>
                <c:pt idx="23">
                  <c:v>247.47173636577645</c:v>
                </c:pt>
                <c:pt idx="24">
                  <c:v>197.00250389344876</c:v>
                </c:pt>
                <c:pt idx="25">
                  <c:v>221.03853914852459</c:v>
                </c:pt>
                <c:pt idx="26">
                  <c:v>245.01456261029759</c:v>
                </c:pt>
                <c:pt idx="27">
                  <c:v>268.937271707604</c:v>
                </c:pt>
                <c:pt idx="28">
                  <c:v>292.81207401219939</c:v>
                </c:pt>
                <c:pt idx="29">
                  <c:v>316.6434228832116</c:v>
                </c:pt>
                <c:pt idx="30">
                  <c:v>269.35300846866886</c:v>
                </c:pt>
                <c:pt idx="31">
                  <c:v>292.10419610311448</c:v>
                </c:pt>
                <c:pt idx="32">
                  <c:v>314.81582036526123</c:v>
                </c:pt>
                <c:pt idx="33">
                  <c:v>337.49113521169841</c:v>
                </c:pt>
                <c:pt idx="34">
                  <c:v>360.13292171154058</c:v>
                </c:pt>
                <c:pt idx="35">
                  <c:v>382.7435828005319</c:v>
                </c:pt>
                <c:pt idx="36">
                  <c:v>405.32521445817457</c:v>
                </c:pt>
                <c:pt idx="37">
                  <c:v>329.4126064318221</c:v>
                </c:pt>
                <c:pt idx="38">
                  <c:v>350.53333414543209</c:v>
                </c:pt>
                <c:pt idx="39">
                  <c:v>371.62616153000363</c:v>
                </c:pt>
                <c:pt idx="40">
                  <c:v>392.69289393638411</c:v>
                </c:pt>
                <c:pt idx="41">
                  <c:v>413.73512729115561</c:v>
                </c:pt>
                <c:pt idx="42">
                  <c:v>434.75428202454617</c:v>
                </c:pt>
                <c:pt idx="43">
                  <c:v>455.75163009422175</c:v>
                </c:pt>
                <c:pt idx="44">
                  <c:v>476.72831676952774</c:v>
                </c:pt>
                <c:pt idx="45">
                  <c:v>396.35779730493226</c:v>
                </c:pt>
                <c:pt idx="46">
                  <c:v>414.98937924648521</c:v>
                </c:pt>
                <c:pt idx="47">
                  <c:v>433.6029274137598</c:v>
                </c:pt>
                <c:pt idx="48">
                  <c:v>452.19932449243839</c:v>
                </c:pt>
                <c:pt idx="49">
                  <c:v>470.77937468285745</c:v>
                </c:pt>
                <c:pt idx="50">
                  <c:v>489.34381356425803</c:v>
                </c:pt>
                <c:pt idx="51">
                  <c:v>507.89331638456366</c:v>
                </c:pt>
                <c:pt idx="52">
                  <c:v>526.42850507644698</c:v>
                </c:pt>
                <c:pt idx="53">
                  <c:v>447.55932636655098</c:v>
                </c:pt>
                <c:pt idx="54">
                  <c:v>464.23574904580914</c:v>
                </c:pt>
                <c:pt idx="55">
                  <c:v>480.89940004934442</c:v>
                </c:pt>
                <c:pt idx="56">
                  <c:v>497.55078403848285</c:v>
                </c:pt>
                <c:pt idx="57">
                  <c:v>514.19036915679942</c:v>
                </c:pt>
                <c:pt idx="58">
                  <c:v>530.81859079314563</c:v>
                </c:pt>
                <c:pt idx="59">
                  <c:v>547.43585484879611</c:v>
                </c:pt>
                <c:pt idx="60">
                  <c:v>564.04254058742856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C1C6EBB1-0E54-4785-96F5-4B1F032A11D3}">
    <text>A recopier sur toutes les essences.
Correspond aux frais fixes d’entretien mécanique + répulsif gibier</text>
  </threadedComment>
  <threadedComment ref="E50" dT="2024-11-27T17:08:05.48" personId="{44BC7BF0-8157-4572-8E12-7E0C99523682}" id="{266E7ECF-F3F1-48F0-975A-9BFE45A9F869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5D343104-AA7E-4CB1-BFB8-9DC0D144C067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5" t="s">
        <v>291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">
      <c r="B18" s="265" t="s">
        <v>292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80" zoomScaleNormal="80" workbookViewId="0">
      <selection activeCell="H22" sqref="H2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6" t="s">
        <v>190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1" t="s">
        <v>192</v>
      </c>
      <c r="C3" s="272"/>
      <c r="D3" s="272"/>
      <c r="E3" s="272"/>
      <c r="F3" s="273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6" t="s">
        <v>231</v>
      </c>
      <c r="B5" s="276"/>
      <c r="C5" s="24">
        <v>3.8321000000000001</v>
      </c>
      <c r="D5" s="277" t="s">
        <v>229</v>
      </c>
      <c r="E5" s="278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5" t="s">
        <v>226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13</v>
      </c>
      <c r="C9" s="32">
        <v>0.7</v>
      </c>
      <c r="D9" s="33">
        <f t="shared" ref="D9:D18" si="0">C9*$C$5</f>
        <v>2.6824699999999999</v>
      </c>
      <c r="E9" s="34">
        <v>90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0.3</v>
      </c>
      <c r="D10" s="33">
        <f t="shared" si="0"/>
        <v>1.1496299999999999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3.8320999999999996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4" t="s">
        <v>232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5" t="s">
        <v>227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20</v>
      </c>
      <c r="B36" s="258">
        <v>105</v>
      </c>
      <c r="C36" s="258">
        <v>1</v>
      </c>
      <c r="D36" s="259">
        <v>32</v>
      </c>
      <c r="E36" s="260">
        <v>0</v>
      </c>
      <c r="F36" s="260">
        <v>0.5</v>
      </c>
      <c r="G36" s="260">
        <v>0</v>
      </c>
      <c r="H36" s="260">
        <v>0.5</v>
      </c>
      <c r="I36" s="49">
        <f>IFERROR(B36/A36,"")</f>
        <v>5.25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1">
        <v>25</v>
      </c>
      <c r="B37" s="262">
        <v>125</v>
      </c>
      <c r="C37" s="262">
        <v>2</v>
      </c>
      <c r="D37" s="262">
        <v>31</v>
      </c>
      <c r="E37" s="263">
        <v>0</v>
      </c>
      <c r="F37" s="263">
        <v>0.5</v>
      </c>
      <c r="G37" s="263">
        <v>0</v>
      </c>
      <c r="H37" s="263">
        <v>0.5</v>
      </c>
      <c r="I37" s="53">
        <f t="shared" ref="I37:I55" si="1">IF(A37&lt;&gt;0,(B37-(B36-D36))/(A37-A36),"")</f>
        <v>10.4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1">
        <v>30</v>
      </c>
      <c r="B38" s="262">
        <v>144</v>
      </c>
      <c r="C38" s="262">
        <v>3</v>
      </c>
      <c r="D38" s="262">
        <v>31</v>
      </c>
      <c r="E38" s="263">
        <v>0</v>
      </c>
      <c r="F38" s="263">
        <v>0.5</v>
      </c>
      <c r="G38" s="263">
        <v>0</v>
      </c>
      <c r="H38" s="263">
        <v>0.5</v>
      </c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1">
        <v>35</v>
      </c>
      <c r="B39" s="262">
        <v>159</v>
      </c>
      <c r="C39" s="262">
        <v>4</v>
      </c>
      <c r="D39" s="262">
        <v>30</v>
      </c>
      <c r="E39" s="263">
        <v>0.6</v>
      </c>
      <c r="F39" s="263">
        <v>0.2</v>
      </c>
      <c r="G39" s="263">
        <v>0</v>
      </c>
      <c r="H39" s="263">
        <v>0.2</v>
      </c>
      <c r="I39" s="49">
        <f t="shared" si="1"/>
        <v>9.1999999999999993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1">
        <v>40</v>
      </c>
      <c r="B40" s="262">
        <v>170</v>
      </c>
      <c r="C40" s="262">
        <v>5</v>
      </c>
      <c r="D40" s="262">
        <v>28</v>
      </c>
      <c r="E40" s="263">
        <v>0.6</v>
      </c>
      <c r="F40" s="263">
        <v>0.2</v>
      </c>
      <c r="G40" s="263">
        <v>0</v>
      </c>
      <c r="H40" s="263">
        <v>0.2</v>
      </c>
      <c r="I40" s="49">
        <f t="shared" si="1"/>
        <v>8.1999999999999993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1">
        <v>45</v>
      </c>
      <c r="B41" s="262">
        <v>180</v>
      </c>
      <c r="C41" s="262">
        <v>6</v>
      </c>
      <c r="D41" s="262">
        <v>26</v>
      </c>
      <c r="E41" s="263">
        <v>0.6</v>
      </c>
      <c r="F41" s="263">
        <v>0.3</v>
      </c>
      <c r="G41" s="263">
        <v>0</v>
      </c>
      <c r="H41" s="263">
        <v>0.1</v>
      </c>
      <c r="I41" s="53">
        <f t="shared" si="1"/>
        <v>7.6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1">
        <v>50</v>
      </c>
      <c r="B42" s="262">
        <v>188</v>
      </c>
      <c r="C42" s="262">
        <v>7</v>
      </c>
      <c r="D42" s="262">
        <v>24</v>
      </c>
      <c r="E42" s="263">
        <v>0.6</v>
      </c>
      <c r="F42" s="263">
        <v>0.3</v>
      </c>
      <c r="G42" s="263">
        <v>0</v>
      </c>
      <c r="H42" s="263">
        <v>0.1</v>
      </c>
      <c r="I42" s="53">
        <f t="shared" si="1"/>
        <v>6.8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1">
        <v>55</v>
      </c>
      <c r="B43" s="262">
        <v>194</v>
      </c>
      <c r="C43" s="262">
        <v>8</v>
      </c>
      <c r="D43" s="262">
        <v>21</v>
      </c>
      <c r="E43" s="263">
        <v>0.6</v>
      </c>
      <c r="F43" s="263">
        <v>0.3</v>
      </c>
      <c r="G43" s="263">
        <v>0</v>
      </c>
      <c r="H43" s="263">
        <v>0.1</v>
      </c>
      <c r="I43" s="49">
        <f t="shared" si="1"/>
        <v>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1">
        <v>60</v>
      </c>
      <c r="B44" s="262">
        <v>199</v>
      </c>
      <c r="C44" s="262">
        <v>9</v>
      </c>
      <c r="D44" s="262">
        <v>19</v>
      </c>
      <c r="E44" s="263">
        <v>0.6</v>
      </c>
      <c r="F44" s="263">
        <v>0.3</v>
      </c>
      <c r="G44" s="263">
        <v>0</v>
      </c>
      <c r="H44" s="263">
        <v>0.1</v>
      </c>
      <c r="I44" s="49">
        <f t="shared" si="1"/>
        <v>5.2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1">
        <v>65</v>
      </c>
      <c r="B45" s="262">
        <v>203</v>
      </c>
      <c r="C45" s="262">
        <v>10</v>
      </c>
      <c r="D45" s="262">
        <v>17</v>
      </c>
      <c r="E45" s="263">
        <v>0.6</v>
      </c>
      <c r="F45" s="263">
        <v>0.3</v>
      </c>
      <c r="G45" s="263">
        <v>0</v>
      </c>
      <c r="H45" s="263">
        <v>0.1</v>
      </c>
      <c r="I45" s="49">
        <f t="shared" si="1"/>
        <v>4.5999999999999996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1">
        <v>70</v>
      </c>
      <c r="B46" s="262">
        <v>206</v>
      </c>
      <c r="C46" s="262">
        <v>11</v>
      </c>
      <c r="D46" s="262">
        <v>15</v>
      </c>
      <c r="E46" s="263">
        <v>0.6</v>
      </c>
      <c r="F46" s="263">
        <v>0.3</v>
      </c>
      <c r="G46" s="263">
        <v>0</v>
      </c>
      <c r="H46" s="263">
        <v>0.1</v>
      </c>
      <c r="I46" s="49">
        <f t="shared" si="1"/>
        <v>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1">
        <v>75</v>
      </c>
      <c r="B47" s="262">
        <v>209</v>
      </c>
      <c r="C47" s="262">
        <v>12</v>
      </c>
      <c r="D47" s="262">
        <v>13</v>
      </c>
      <c r="E47" s="263">
        <v>0.6</v>
      </c>
      <c r="F47" s="263">
        <v>0.3</v>
      </c>
      <c r="G47" s="263">
        <v>0</v>
      </c>
      <c r="H47" s="263">
        <v>0.1</v>
      </c>
      <c r="I47" s="49">
        <f t="shared" si="1"/>
        <v>3.6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1">
        <v>80</v>
      </c>
      <c r="B48" s="262">
        <v>211</v>
      </c>
      <c r="C48" s="262">
        <v>13</v>
      </c>
      <c r="D48" s="262">
        <v>11</v>
      </c>
      <c r="E48" s="263">
        <v>0.6</v>
      </c>
      <c r="F48" s="263">
        <v>0.3</v>
      </c>
      <c r="G48" s="263">
        <v>0</v>
      </c>
      <c r="H48" s="263">
        <v>0.1</v>
      </c>
      <c r="I48" s="49">
        <f t="shared" si="1"/>
        <v>3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1">
        <v>85</v>
      </c>
      <c r="B49" s="262">
        <v>213</v>
      </c>
      <c r="C49" s="262">
        <v>14</v>
      </c>
      <c r="D49" s="262">
        <v>10</v>
      </c>
      <c r="E49" s="263">
        <v>0.6</v>
      </c>
      <c r="F49" s="263">
        <v>0.3</v>
      </c>
      <c r="G49" s="263">
        <v>0</v>
      </c>
      <c r="H49" s="263">
        <v>0.1</v>
      </c>
      <c r="I49" s="49">
        <f t="shared" si="1"/>
        <v>2.6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90</v>
      </c>
      <c r="B50" s="262">
        <v>215</v>
      </c>
      <c r="C50" s="262">
        <v>15</v>
      </c>
      <c r="D50" s="262">
        <v>215</v>
      </c>
      <c r="E50" s="263">
        <v>0.6</v>
      </c>
      <c r="F50" s="263">
        <v>0.3</v>
      </c>
      <c r="G50" s="263">
        <v>0</v>
      </c>
      <c r="H50" s="263">
        <v>0.1</v>
      </c>
      <c r="I50" s="49">
        <f t="shared" si="1"/>
        <v>2.4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17</v>
      </c>
      <c r="B62" s="60">
        <v>122.32</v>
      </c>
      <c r="C62" s="60">
        <v>1</v>
      </c>
      <c r="D62" s="60">
        <v>40.76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7.1952941176470588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23</v>
      </c>
      <c r="B63" s="60">
        <v>187.68</v>
      </c>
      <c r="C63" s="60">
        <v>2</v>
      </c>
      <c r="D63" s="60">
        <v>57.75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17.686666666666667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29</v>
      </c>
      <c r="B64" s="60">
        <v>241.61</v>
      </c>
      <c r="C64" s="60">
        <v>3</v>
      </c>
      <c r="D64" s="60">
        <v>54.64</v>
      </c>
      <c r="E64" s="51">
        <v>0.1</v>
      </c>
      <c r="F64" s="51">
        <v>0.8</v>
      </c>
      <c r="G64" s="51">
        <v>0</v>
      </c>
      <c r="H64" s="51">
        <v>0.1</v>
      </c>
      <c r="I64" s="49">
        <f>IF(A64&lt;&gt;0,(B64-(B63-D63))/(A64-A63),"")</f>
        <v>18.613333333333333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36</v>
      </c>
      <c r="B65" s="60">
        <v>311.13</v>
      </c>
      <c r="C65" s="60">
        <v>4</v>
      </c>
      <c r="D65" s="60">
        <v>76.069999999999993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17.737142857142853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44</v>
      </c>
      <c r="B66" s="60">
        <v>367.35</v>
      </c>
      <c r="C66" s="60">
        <v>5</v>
      </c>
      <c r="D66" s="60">
        <v>77.91</v>
      </c>
      <c r="E66" s="51">
        <v>0.3</v>
      </c>
      <c r="F66" s="51">
        <v>0.5</v>
      </c>
      <c r="G66" s="51">
        <v>0</v>
      </c>
      <c r="H66" s="51">
        <v>0.2</v>
      </c>
      <c r="I66" s="49">
        <f t="shared" ref="I66:I81" si="2">IF(A66&lt;&gt;0,(B66-(B65-D65))/(A66-A65),"")</f>
        <v>16.536250000000003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52</v>
      </c>
      <c r="B67" s="60">
        <v>406.59</v>
      </c>
      <c r="C67" s="60">
        <v>6</v>
      </c>
      <c r="D67" s="60">
        <v>75.37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14.64374999999999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60</v>
      </c>
      <c r="B68" s="60">
        <v>436.34</v>
      </c>
      <c r="C68" s="60">
        <v>7</v>
      </c>
      <c r="D68" s="60">
        <v>436.34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13.14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0" t="s">
        <v>191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6" t="s">
        <v>176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Chêne rouge d'Amérique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Pin taeda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/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/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/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298.478198405424</v>
      </c>
      <c r="T3" s="59">
        <f>IF('Données projet'!E9&gt;30,$R$33-$H$33,LOOKUP('Données projet'!$E$9,$A$3:$A$203,R3:R203)-LOOKUP('Données projet'!$E$9,$A$3:$A$203,$H$3:$H$203))</f>
        <v>313.2817272662549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300.80663531652721</v>
      </c>
      <c r="AO3" s="59">
        <f>IF('Données projet'!E10&gt;30,$AM$33-$H$33,LOOKUP('Données projet'!$E$10,$A$3:$A$203,AM3:AM203)-LOOKUP('Données projet'!$E$10,$A$3:$A$203,$H$3:$H$203))</f>
        <v>306.01967513533549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5.25</v>
      </c>
      <c r="N4" s="13">
        <f>IF('Données projet'!$A$36&gt;35,N3+M4-V3,IF(A4&lt;'Données projet'!$A$36,$K$205^A4,IF(A4='Données projet'!$A$36,'Données projet'!$B$36,N3+M4-V3)))</f>
        <v>1.2620003197767753</v>
      </c>
      <c r="O4" s="13">
        <f>N4*VLOOKUP('Données projet'!$B$9,Paramètres!$A$1:$I$89,3,0)*VLOOKUP('Données projet'!$B$9,Paramètres!$A$1:$I$89,5,0)</f>
        <v>1.1024834793569909</v>
      </c>
      <c r="P4" s="13">
        <f>EXP(-1.0587+0.8836*LN(O4)+0.284)</f>
        <v>0.50233338685937634</v>
      </c>
      <c r="Q4" s="20">
        <f t="shared" ref="Q4:Q34" si="2">(O4+P4)*0.475*44/12</f>
        <v>2.7950560419935062</v>
      </c>
      <c r="R4" s="59">
        <f t="shared" si="0"/>
        <v>260.68394493088238</v>
      </c>
      <c r="S4" s="59">
        <f ca="1">AVERAGE(OFFSET($R$3,0,0,'Données projet'!$E$9+1,1))-AVERAGE(OFFSET($H$3,0,0,'Données projet'!$E$9+1,1))</f>
        <v>298.478198405424</v>
      </c>
      <c r="T4" s="59">
        <f>$T$3</f>
        <v>313.2817272662549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7.1952941176470588</v>
      </c>
      <c r="AI4" s="13">
        <f>IF('Données projet'!$A$62&gt;35,AI3+AH4-AQ3,IF(A4&lt;'Données projet'!$A$62,$AF$205^A4,IF(A4='Données projet'!$A$62,'Données projet'!$B$62,AI3+AH4-AQ3)))</f>
        <v>1.3267648858502221</v>
      </c>
      <c r="AJ4" s="13">
        <f>AI4*VLOOKUP('Données projet'!$B$10,Paramètres!$A$1:$I$89,3,0)*VLOOKUP('Données projet'!$B$10,Paramètres!$A$1:$I$89,5,0)</f>
        <v>0.79340540173843288</v>
      </c>
      <c r="AK4" s="13">
        <f>EXP(-1.0587+0.8836*LN(AJ4)+0.284)</f>
        <v>0.37561764201183739</v>
      </c>
      <c r="AL4" s="20">
        <f t="shared" ref="AL4:AL67" si="4">(AJ4+AK4)*0.475*44/12</f>
        <v>2.0360484678650539</v>
      </c>
      <c r="AM4" s="59">
        <f t="shared" ref="AM4:AM67" si="5">AL4+(AD4+AE4)*44/12</f>
        <v>259.9249373567539</v>
      </c>
      <c r="AN4" s="59">
        <f ca="1">AVERAGE(OFFSET($AM$3,0,0,'Données projet'!$E$10+1,1))-AVERAGE(OFFSET($H$3,0,0,'Données projet'!$E$10+1,1))</f>
        <v>300.80663531652721</v>
      </c>
      <c r="AO4" s="59">
        <f>$AO$3</f>
        <v>306.01967513533549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5.25</v>
      </c>
      <c r="N5" s="13">
        <f>IF('Données projet'!$A$36&gt;35,N4+M5-V4,IF(A5&lt;'Données projet'!$A$36,$K$205^A5,IF(A5='Données projet'!$A$36,'Données projet'!$B$36,N4+M5-V4)))</f>
        <v>1.592644807116683</v>
      </c>
      <c r="O5" s="13">
        <f>N5*VLOOKUP('Données projet'!$B$9,Paramètres!$A$1:$I$89,3,0)*VLOOKUP('Données projet'!$B$9,Paramètres!$A$1:$I$89,5,0)</f>
        <v>1.3913345034971345</v>
      </c>
      <c r="P5" s="13">
        <f t="shared" ref="P5:P68" si="33">EXP(-1.0587+0.8836*LN(O5)+0.284)</f>
        <v>0.61700429487653952</v>
      </c>
      <c r="Q5" s="20">
        <f t="shared" si="2"/>
        <v>3.4978567405008154</v>
      </c>
      <c r="R5" s="59">
        <f t="shared" si="0"/>
        <v>262.60896785161196</v>
      </c>
      <c r="S5" s="59">
        <f ca="1">AVERAGE(OFFSET($R$3,0,0,'Données projet'!$E$9+1,1))-AVERAGE(OFFSET($H$3,0,0,'Données projet'!$E$9+1,1))</f>
        <v>298.478198405424</v>
      </c>
      <c r="T5" s="59">
        <f t="shared" ref="T5:T68" si="34">$T$3</f>
        <v>313.2817272662549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7.1952941176470588</v>
      </c>
      <c r="AI5" s="13">
        <f>IF('Données projet'!$A$62&gt;35,AI4+AH5-AQ4,IF(A5&lt;'Données projet'!$A$62,$AF$205^A5,IF(A5='Données projet'!$A$62,'Données projet'!$B$62,AI4+AH5-AQ4)))</f>
        <v>1.7603050623251528</v>
      </c>
      <c r="AJ5" s="13">
        <f>AI5*VLOOKUP('Données projet'!$B$10,Paramètres!$A$1:$I$89,3,0)*VLOOKUP('Données projet'!$B$10,Paramètres!$A$1:$I$89,5,0)</f>
        <v>1.0526624272704415</v>
      </c>
      <c r="AK5" s="13">
        <f t="shared" ref="AK5:AK68" si="35">EXP(-1.0587+0.8836*LN(AJ5)+0.284)</f>
        <v>0.48222168139326793</v>
      </c>
      <c r="AL5" s="20">
        <f t="shared" si="4"/>
        <v>2.6732564892559605</v>
      </c>
      <c r="AM5" s="59">
        <f t="shared" si="5"/>
        <v>261.78436760036709</v>
      </c>
      <c r="AN5" s="59">
        <f ca="1">AVERAGE(OFFSET($AM$3,0,0,'Données projet'!$E$10+1,1))-AVERAGE(OFFSET($H$3,0,0,'Données projet'!$E$10+1,1))</f>
        <v>300.80663531652721</v>
      </c>
      <c r="AO5" s="59">
        <f t="shared" ref="AO5:AO68" si="36">$AO$3</f>
        <v>306.01967513533549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5.25</v>
      </c>
      <c r="N6" s="13">
        <f>IF('Données projet'!$A$36&gt;35,N5+M6-V5,IF(A6&lt;'Données projet'!$A$36,$K$205^A6,IF(A6='Données projet'!$A$36,'Données projet'!$B$36,N5+M6-V5)))</f>
        <v>2.0099182558720745</v>
      </c>
      <c r="O6" s="13">
        <f>N6*VLOOKUP('Données projet'!$B$9,Paramètres!$A$1:$I$89,3,0)*VLOOKUP('Données projet'!$B$9,Paramètres!$A$1:$I$89,5,0)</f>
        <v>1.7558645883298445</v>
      </c>
      <c r="P6" s="13">
        <f t="shared" si="33"/>
        <v>0.75785187657189812</v>
      </c>
      <c r="Q6" s="20">
        <f t="shared" si="2"/>
        <v>4.378056176370535</v>
      </c>
      <c r="R6" s="59">
        <f t="shared" si="0"/>
        <v>264.71138950970385</v>
      </c>
      <c r="S6" s="59">
        <f ca="1">AVERAGE(OFFSET($R$3,0,0,'Données projet'!$E$9+1,1))-AVERAGE(OFFSET($H$3,0,0,'Données projet'!$E$9+1,1))</f>
        <v>298.478198405424</v>
      </c>
      <c r="T6" s="59">
        <f t="shared" si="34"/>
        <v>313.2817272662549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7.1952941176470588</v>
      </c>
      <c r="AI6" s="13">
        <f>IF('Données projet'!$A$62&gt;35,AI5+AH6-AQ5,IF(A6&lt;'Données projet'!$A$62,$AF$205^A6,IF(A6='Données projet'!$A$62,'Données projet'!$B$62,AI5+AH6-AQ5)))</f>
        <v>2.3355109450773996</v>
      </c>
      <c r="AJ6" s="13">
        <f>AI6*VLOOKUP('Données projet'!$B$10,Paramètres!$A$1:$I$89,3,0)*VLOOKUP('Données projet'!$B$10,Paramètres!$A$1:$I$89,5,0)</f>
        <v>1.3966355451562853</v>
      </c>
      <c r="AK6" s="13">
        <f t="shared" si="35"/>
        <v>0.61908101217040834</v>
      </c>
      <c r="AL6" s="20">
        <f t="shared" si="4"/>
        <v>3.5107063373439913</v>
      </c>
      <c r="AM6" s="59">
        <f t="shared" si="5"/>
        <v>263.84403967067732</v>
      </c>
      <c r="AN6" s="59">
        <f ca="1">AVERAGE(OFFSET($AM$3,0,0,'Données projet'!$E$10+1,1))-AVERAGE(OFFSET($H$3,0,0,'Données projet'!$E$10+1,1))</f>
        <v>300.80663531652721</v>
      </c>
      <c r="AO6" s="59">
        <f t="shared" si="36"/>
        <v>306.01967513533549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5.25</v>
      </c>
      <c r="N7" s="13">
        <f>IF('Données projet'!$A$36&gt;35,N6+M7-V6,IF(A7&lt;'Données projet'!$A$36,$K$205^A7,IF(A7='Données projet'!$A$36,'Données projet'!$B$36,N6+M7-V6)))</f>
        <v>2.5365174816357365</v>
      </c>
      <c r="O7" s="13">
        <f>N7*VLOOKUP('Données projet'!$B$9,Paramètres!$A$1:$I$89,3,0)*VLOOKUP('Données projet'!$B$9,Paramètres!$A$1:$I$89,5,0)</f>
        <v>2.21590167195698</v>
      </c>
      <c r="P7" s="13">
        <f t="shared" si="33"/>
        <v>0.93085165142727433</v>
      </c>
      <c r="Q7" s="20">
        <f t="shared" si="2"/>
        <v>5.4805953715609093</v>
      </c>
      <c r="R7" s="59">
        <f t="shared" si="0"/>
        <v>267.03615092711647</v>
      </c>
      <c r="S7" s="59">
        <f ca="1">AVERAGE(OFFSET($R$3,0,0,'Données projet'!$E$9+1,1))-AVERAGE(OFFSET($H$3,0,0,'Données projet'!$E$9+1,1))</f>
        <v>298.478198405424</v>
      </c>
      <c r="T7" s="59">
        <f t="shared" si="34"/>
        <v>313.2817272662549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7.1952941176470588</v>
      </c>
      <c r="AI7" s="13">
        <f>IF('Données projet'!$A$62&gt;35,AI6+AH7-AQ6,IF(A7&lt;'Données projet'!$A$62,$AF$205^A7,IF(A7='Données projet'!$A$62,'Données projet'!$B$62,AI6+AH7-AQ6)))</f>
        <v>3.09867391244756</v>
      </c>
      <c r="AJ7" s="13">
        <f>AI7*VLOOKUP('Données projet'!$B$10,Paramètres!$A$1:$I$89,3,0)*VLOOKUP('Données projet'!$B$10,Paramètres!$A$1:$I$89,5,0)</f>
        <v>1.8530069996436409</v>
      </c>
      <c r="AK7" s="13">
        <f t="shared" si="35"/>
        <v>0.79478238830446668</v>
      </c>
      <c r="AL7" s="20">
        <f t="shared" si="4"/>
        <v>4.6115665173429541</v>
      </c>
      <c r="AM7" s="59">
        <f t="shared" si="5"/>
        <v>266.16712207289851</v>
      </c>
      <c r="AN7" s="59">
        <f ca="1">AVERAGE(OFFSET($AM$3,0,0,'Données projet'!$E$10+1,1))-AVERAGE(OFFSET($H$3,0,0,'Données projet'!$E$10+1,1))</f>
        <v>300.80663531652721</v>
      </c>
      <c r="AO7" s="59">
        <f t="shared" si="36"/>
        <v>306.01967513533549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5.25</v>
      </c>
      <c r="N8" s="13">
        <f>IF('Données projet'!$A$36&gt;35,N7+M8-V7,IF(A8&lt;'Données projet'!$A$36,$K$205^A8,IF(A8='Données projet'!$A$36,'Données projet'!$B$36,N7+M8-V7)))</f>
        <v>3.2010858729436804</v>
      </c>
      <c r="O8" s="13">
        <f>N8*VLOOKUP('Données projet'!$B$9,Paramètres!$A$1:$I$89,3,0)*VLOOKUP('Données projet'!$B$9,Paramètres!$A$1:$I$89,5,0)</f>
        <v>2.7964686186035994</v>
      </c>
      <c r="P8" s="13">
        <f t="shared" si="33"/>
        <v>1.1433432096049962</v>
      </c>
      <c r="Q8" s="20">
        <f t="shared" si="2"/>
        <v>6.8618389341299704</v>
      </c>
      <c r="R8" s="59">
        <f t="shared" si="0"/>
        <v>269.63961671190776</v>
      </c>
      <c r="S8" s="59">
        <f ca="1">AVERAGE(OFFSET($R$3,0,0,'Données projet'!$E$9+1,1))-AVERAGE(OFFSET($H$3,0,0,'Données projet'!$E$9+1,1))</f>
        <v>298.478198405424</v>
      </c>
      <c r="T8" s="59">
        <f t="shared" si="34"/>
        <v>313.2817272662549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7.1952941176470588</v>
      </c>
      <c r="AI8" s="13">
        <f>IF('Données projet'!$A$62&gt;35,AI7+AH8-AQ7,IF(A8&lt;'Données projet'!$A$62,$AF$205^A8,IF(A8='Données projet'!$A$62,'Données projet'!$B$62,AI7+AH8-AQ7)))</f>
        <v>4.1112117397355483</v>
      </c>
      <c r="AJ8" s="13">
        <f>AI8*VLOOKUP('Données projet'!$B$10,Paramètres!$A$1:$I$89,3,0)*VLOOKUP('Données projet'!$B$10,Paramètres!$A$1:$I$89,5,0)</f>
        <v>2.4585046203618579</v>
      </c>
      <c r="AK8" s="13">
        <f t="shared" si="35"/>
        <v>1.0203495703161323</v>
      </c>
      <c r="AL8" s="20">
        <f t="shared" si="4"/>
        <v>6.0590043820974993</v>
      </c>
      <c r="AM8" s="59">
        <f t="shared" si="5"/>
        <v>268.83678215987527</v>
      </c>
      <c r="AN8" s="59">
        <f ca="1">AVERAGE(OFFSET($AM$3,0,0,'Données projet'!$E$10+1,1))-AVERAGE(OFFSET($H$3,0,0,'Données projet'!$E$10+1,1))</f>
        <v>300.80663531652721</v>
      </c>
      <c r="AO8" s="59">
        <f t="shared" si="36"/>
        <v>306.01967513533549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5.25</v>
      </c>
      <c r="N9" s="13">
        <f>IF('Données projet'!$A$36&gt;35,N8+M9-V8,IF(A9&lt;'Données projet'!$A$36,$K$205^A9,IF(A9='Données projet'!$A$36,'Données projet'!$B$36,N8+M9-V8)))</f>
        <v>4.0397713952878425</v>
      </c>
      <c r="O9" s="13">
        <f>N9*VLOOKUP('Données projet'!$B$9,Paramètres!$A$1:$I$89,3,0)*VLOOKUP('Données projet'!$B$9,Paramètres!$A$1:$I$89,5,0)</f>
        <v>3.5291442909234596</v>
      </c>
      <c r="P9" s="13">
        <f t="shared" si="33"/>
        <v>1.4043415972303146</v>
      </c>
      <c r="Q9" s="20">
        <f t="shared" si="2"/>
        <v>8.5924879218678232</v>
      </c>
      <c r="R9" s="59">
        <f t="shared" si="0"/>
        <v>272.59248792186781</v>
      </c>
      <c r="S9" s="59">
        <f ca="1">AVERAGE(OFFSET($R$3,0,0,'Données projet'!$E$9+1,1))-AVERAGE(OFFSET($H$3,0,0,'Données projet'!$E$9+1,1))</f>
        <v>298.478198405424</v>
      </c>
      <c r="T9" s="59">
        <f t="shared" si="34"/>
        <v>313.2817272662549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7.1952941176470588</v>
      </c>
      <c r="AI9" s="13">
        <f>IF('Données projet'!$A$62&gt;35,AI8+AH9-AQ8,IF(A9&lt;'Données projet'!$A$62,$AF$205^A9,IF(A9='Données projet'!$A$62,'Données projet'!$B$62,AI8+AH9-AQ8)))</f>
        <v>5.4546113745763272</v>
      </c>
      <c r="AJ9" s="13">
        <f>AI9*VLOOKUP('Données projet'!$B$10,Paramètres!$A$1:$I$89,3,0)*VLOOKUP('Données projet'!$B$10,Paramètres!$A$1:$I$89,5,0)</f>
        <v>3.2618576019966441</v>
      </c>
      <c r="AK9" s="13">
        <f t="shared" si="35"/>
        <v>1.3099349720938758</v>
      </c>
      <c r="AL9" s="20">
        <f t="shared" si="4"/>
        <v>7.962538733207654</v>
      </c>
      <c r="AM9" s="59">
        <f t="shared" si="5"/>
        <v>271.96253873320768</v>
      </c>
      <c r="AN9" s="59">
        <f ca="1">AVERAGE(OFFSET($AM$3,0,0,'Données projet'!$E$10+1,1))-AVERAGE(OFFSET($H$3,0,0,'Données projet'!$E$10+1,1))</f>
        <v>300.80663531652721</v>
      </c>
      <c r="AO9" s="59">
        <f t="shared" si="36"/>
        <v>306.01967513533549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5.25</v>
      </c>
      <c r="N10" s="13">
        <f>IF('Données projet'!$A$36&gt;35,N9+M10-V9,IF(A10&lt;'Données projet'!$A$36,$K$205^A10,IF(A10='Données projet'!$A$36,'Données projet'!$B$36,N9+M10-V9)))</f>
        <v>5.0981927926783266</v>
      </c>
      <c r="O10" s="13">
        <f>N10*VLOOKUP('Données projet'!$B$9,Paramètres!$A$1:$I$89,3,0)*VLOOKUP('Données projet'!$B$9,Paramètres!$A$1:$I$89,5,0)</f>
        <v>4.4537812236837864</v>
      </c>
      <c r="P10" s="13">
        <f t="shared" si="33"/>
        <v>1.7249197836166281</v>
      </c>
      <c r="Q10" s="20">
        <f t="shared" si="2"/>
        <v>10.761237587714888</v>
      </c>
      <c r="R10" s="59">
        <f t="shared" si="0"/>
        <v>275.98345980993713</v>
      </c>
      <c r="S10" s="59">
        <f ca="1">AVERAGE(OFFSET($R$3,0,0,'Données projet'!$E$9+1,1))-AVERAGE(OFFSET($H$3,0,0,'Données projet'!$E$9+1,1))</f>
        <v>298.478198405424</v>
      </c>
      <c r="T10" s="59">
        <f t="shared" si="34"/>
        <v>313.2817272662549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7.1952941176470588</v>
      </c>
      <c r="AI10" s="13">
        <f>IF('Données projet'!$A$62&gt;35,AI9+AH10-AQ9,IF(A10&lt;'Données projet'!$A$62,$AF$205^A10,IF(A10='Données projet'!$A$62,'Données projet'!$B$62,AI9+AH10-AQ9)))</f>
        <v>7.2369868377470841</v>
      </c>
      <c r="AJ10" s="13">
        <f>AI10*VLOOKUP('Données projet'!$B$10,Paramètres!$A$1:$I$89,3,0)*VLOOKUP('Données projet'!$B$10,Paramètres!$A$1:$I$89,5,0)</f>
        <v>4.3277181289727569</v>
      </c>
      <c r="AK10" s="13">
        <f t="shared" si="35"/>
        <v>1.6817076039762937</v>
      </c>
      <c r="AL10" s="20">
        <f t="shared" si="4"/>
        <v>10.466416484886262</v>
      </c>
      <c r="AM10" s="59">
        <f t="shared" si="5"/>
        <v>275.68863870710851</v>
      </c>
      <c r="AN10" s="59">
        <f ca="1">AVERAGE(OFFSET($AM$3,0,0,'Données projet'!$E$10+1,1))-AVERAGE(OFFSET($H$3,0,0,'Données projet'!$E$10+1,1))</f>
        <v>300.80663531652721</v>
      </c>
      <c r="AO10" s="59">
        <f t="shared" si="36"/>
        <v>306.01967513533549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5.25</v>
      </c>
      <c r="N11" s="13">
        <f>IF('Données projet'!$A$36&gt;35,N10+M11-V10,IF(A11&lt;'Données projet'!$A$36,$K$205^A11,IF(A11='Données projet'!$A$36,'Données projet'!$B$36,N10+M11-V10)))</f>
        <v>6.433920934643699</v>
      </c>
      <c r="O11" s="13">
        <f>N11*VLOOKUP('Données projet'!$B$9,Paramètres!$A$1:$I$89,3,0)*VLOOKUP('Données projet'!$B$9,Paramètres!$A$1:$I$89,5,0)</f>
        <v>5.6206733285047363</v>
      </c>
      <c r="P11" s="13">
        <f t="shared" si="33"/>
        <v>2.1186784367707316</v>
      </c>
      <c r="Q11" s="20">
        <f t="shared" si="2"/>
        <v>13.479370991188105</v>
      </c>
      <c r="R11" s="59">
        <f t="shared" si="0"/>
        <v>279.92381543563255</v>
      </c>
      <c r="S11" s="59">
        <f ca="1">AVERAGE(OFFSET($R$3,0,0,'Données projet'!$E$9+1,1))-AVERAGE(OFFSET($H$3,0,0,'Données projet'!$E$9+1,1))</f>
        <v>298.478198405424</v>
      </c>
      <c r="T11" s="59">
        <f t="shared" si="34"/>
        <v>313.2817272662549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7.1952941176470588</v>
      </c>
      <c r="AI11" s="13">
        <f>IF('Données projet'!$A$62&gt;35,AI10+AH11-AQ10,IF(A11&lt;'Données projet'!$A$62,$AF$205^A11,IF(A11='Données projet'!$A$62,'Données projet'!$B$62,AI10+AH11-AQ10)))</f>
        <v>9.6017800156830688</v>
      </c>
      <c r="AJ11" s="13">
        <f>AI11*VLOOKUP('Données projet'!$B$10,Paramètres!$A$1:$I$89,3,0)*VLOOKUP('Données projet'!$B$10,Paramètres!$A$1:$I$89,5,0)</f>
        <v>5.7418644493784763</v>
      </c>
      <c r="AK11" s="13">
        <f t="shared" si="35"/>
        <v>2.1589930229521412</v>
      </c>
      <c r="AL11" s="20">
        <f t="shared" si="4"/>
        <v>13.760660097642491</v>
      </c>
      <c r="AM11" s="59">
        <f t="shared" si="5"/>
        <v>280.20510454208693</v>
      </c>
      <c r="AN11" s="59">
        <f ca="1">AVERAGE(OFFSET($AM$3,0,0,'Données projet'!$E$10+1,1))-AVERAGE(OFFSET($H$3,0,0,'Données projet'!$E$10+1,1))</f>
        <v>300.80663531652721</v>
      </c>
      <c r="AO11" s="59">
        <f t="shared" si="36"/>
        <v>306.01967513533549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5.25</v>
      </c>
      <c r="N12" s="13">
        <f>IF('Données projet'!$A$36&gt;35,N11+M12-V11,IF(A12&lt;'Données projet'!$A$36,$K$205^A12,IF(A12='Données projet'!$A$36,'Données projet'!$B$36,N11+M12-V11)))</f>
        <v>8.1196102769388379</v>
      </c>
      <c r="O12" s="13">
        <f>N12*VLOOKUP('Données projet'!$B$9,Paramètres!$A$1:$I$89,3,0)*VLOOKUP('Données projet'!$B$9,Paramètres!$A$1:$I$89,5,0)</f>
        <v>7.0932915379337693</v>
      </c>
      <c r="P12" s="13">
        <f t="shared" si="33"/>
        <v>2.602322937606778</v>
      </c>
      <c r="Q12" s="20">
        <f t="shared" si="2"/>
        <v>16.886528544899786</v>
      </c>
      <c r="R12" s="59">
        <f t="shared" si="0"/>
        <v>284.55319521156645</v>
      </c>
      <c r="S12" s="59">
        <f ca="1">AVERAGE(OFFSET($R$3,0,0,'Données projet'!$E$9+1,1))-AVERAGE(OFFSET($H$3,0,0,'Données projet'!$E$9+1,1))</f>
        <v>298.478198405424</v>
      </c>
      <c r="T12" s="59">
        <f t="shared" si="34"/>
        <v>313.2817272662549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7.1952941176470588</v>
      </c>
      <c r="AI12" s="13">
        <f>IF('Données projet'!$A$62&gt;35,AI11+AH12-AQ11,IF(A12&lt;'Données projet'!$A$62,$AF$205^A12,IF(A12='Données projet'!$A$62,'Données projet'!$B$62,AI11+AH12-AQ11)))</f>
        <v>12.739304566466691</v>
      </c>
      <c r="AJ12" s="13">
        <f>AI12*VLOOKUP('Données projet'!$B$10,Paramètres!$A$1:$I$89,3,0)*VLOOKUP('Données projet'!$B$10,Paramètres!$A$1:$I$89,5,0)</f>
        <v>7.6181041307470823</v>
      </c>
      <c r="AK12" s="13">
        <f t="shared" si="35"/>
        <v>2.7717368121157255</v>
      </c>
      <c r="AL12" s="20">
        <f t="shared" si="4"/>
        <v>18.095639642152722</v>
      </c>
      <c r="AM12" s="59">
        <f t="shared" si="5"/>
        <v>285.7623063088194</v>
      </c>
      <c r="AN12" s="59">
        <f ca="1">AVERAGE(OFFSET($AM$3,0,0,'Données projet'!$E$10+1,1))-AVERAGE(OFFSET($H$3,0,0,'Données projet'!$E$10+1,1))</f>
        <v>300.80663531652721</v>
      </c>
      <c r="AO12" s="59">
        <f t="shared" si="36"/>
        <v>306.01967513533549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5.25</v>
      </c>
      <c r="N13" s="13">
        <f>IF('Données projet'!$A$36&gt;35,N12+M13-V12,IF(A13&lt;'Données projet'!$A$36,$K$205^A13,IF(A13='Données projet'!$A$36,'Données projet'!$B$36,N12+M13-V12)))</f>
        <v>10.246950765959603</v>
      </c>
      <c r="O13" s="13">
        <f>N13*VLOOKUP('Données projet'!$B$9,Paramètres!$A$1:$I$89,3,0)*VLOOKUP('Données projet'!$B$9,Paramètres!$A$1:$I$89,5,0)</f>
        <v>8.9517361891423111</v>
      </c>
      <c r="P13" s="13">
        <f t="shared" si="33"/>
        <v>3.1963721129461788</v>
      </c>
      <c r="Q13" s="20">
        <f t="shared" si="2"/>
        <v>21.157955292804118</v>
      </c>
      <c r="R13" s="59">
        <f t="shared" si="0"/>
        <v>290.04684418169296</v>
      </c>
      <c r="S13" s="59">
        <f ca="1">AVERAGE(OFFSET($R$3,0,0,'Données projet'!$E$9+1,1))-AVERAGE(OFFSET($H$3,0,0,'Données projet'!$E$9+1,1))</f>
        <v>298.478198405424</v>
      </c>
      <c r="T13" s="59">
        <f t="shared" si="34"/>
        <v>313.2817272662549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7.1952941176470588</v>
      </c>
      <c r="AI13" s="13">
        <f>IF('Données projet'!$A$62&gt;35,AI12+AH13-AQ12,IF(A13&lt;'Données projet'!$A$62,$AF$205^A13,IF(A13='Données projet'!$A$62,'Données projet'!$B$62,AI12+AH13-AQ12)))</f>
        <v>16.902061968939393</v>
      </c>
      <c r="AJ13" s="13">
        <f>AI13*VLOOKUP('Données projet'!$B$10,Paramètres!$A$1:$I$89,3,0)*VLOOKUP('Données projet'!$B$10,Paramètres!$A$1:$I$89,5,0)</f>
        <v>10.107433057425759</v>
      </c>
      <c r="AK13" s="13">
        <f t="shared" si="35"/>
        <v>3.5583834102125023</v>
      </c>
      <c r="AL13" s="20">
        <f t="shared" si="4"/>
        <v>23.80129701446997</v>
      </c>
      <c r="AM13" s="59">
        <f t="shared" si="5"/>
        <v>292.69018590335884</v>
      </c>
      <c r="AN13" s="59">
        <f ca="1">AVERAGE(OFFSET($AM$3,0,0,'Données projet'!$E$10+1,1))-AVERAGE(OFFSET($H$3,0,0,'Données projet'!$E$10+1,1))</f>
        <v>300.80663531652721</v>
      </c>
      <c r="AO13" s="59">
        <f t="shared" si="36"/>
        <v>306.01967513533549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5.25</v>
      </c>
      <c r="N14" s="13">
        <f>IF('Données projet'!$A$36&gt;35,N13+M14-V13,IF(A14&lt;'Données projet'!$A$36,$K$205^A14,IF(A14='Données projet'!$A$36,'Données projet'!$B$36,N13+M14-V13)))</f>
        <v>12.93165514337789</v>
      </c>
      <c r="O14" s="13">
        <f>N14*VLOOKUP('Données projet'!$B$9,Paramètres!$A$1:$I$89,3,0)*VLOOKUP('Données projet'!$B$9,Paramètres!$A$1:$I$89,5,0)</f>
        <v>11.297093933254926</v>
      </c>
      <c r="P14" s="13">
        <f t="shared" si="33"/>
        <v>3.9260287556070481</v>
      </c>
      <c r="Q14" s="20">
        <f t="shared" si="2"/>
        <v>26.513605349767932</v>
      </c>
      <c r="R14" s="59">
        <f t="shared" si="0"/>
        <v>296.62471646087909</v>
      </c>
      <c r="S14" s="59">
        <f ca="1">AVERAGE(OFFSET($R$3,0,0,'Données projet'!$E$9+1,1))-AVERAGE(OFFSET($H$3,0,0,'Données projet'!$E$9+1,1))</f>
        <v>298.478198405424</v>
      </c>
      <c r="T14" s="59">
        <f t="shared" si="34"/>
        <v>313.2817272662549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7.1952941176470588</v>
      </c>
      <c r="AI14" s="13">
        <f>IF('Données projet'!$A$62&gt;35,AI13+AH14-AQ13,IF(A14&lt;'Données projet'!$A$62,$AF$205^A14,IF(A14='Données projet'!$A$62,'Données projet'!$B$62,AI13+AH14-AQ13)))</f>
        <v>22.425062318853254</v>
      </c>
      <c r="AJ14" s="13">
        <f>AI14*VLOOKUP('Données projet'!$B$10,Paramètres!$A$1:$I$89,3,0)*VLOOKUP('Données projet'!$B$10,Paramètres!$A$1:$I$89,5,0)</f>
        <v>13.410187266674248</v>
      </c>
      <c r="AK14" s="13">
        <f t="shared" si="35"/>
        <v>4.5682881717800319</v>
      </c>
      <c r="AL14" s="20">
        <f t="shared" si="4"/>
        <v>31.312511388641202</v>
      </c>
      <c r="AM14" s="59">
        <f t="shared" si="5"/>
        <v>301.42362249975235</v>
      </c>
      <c r="AN14" s="59">
        <f ca="1">AVERAGE(OFFSET($AM$3,0,0,'Données projet'!$E$10+1,1))-AVERAGE(OFFSET($H$3,0,0,'Données projet'!$E$10+1,1))</f>
        <v>300.80663531652721</v>
      </c>
      <c r="AO14" s="59">
        <f t="shared" si="36"/>
        <v>306.01967513533549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5.25</v>
      </c>
      <c r="N15" s="13">
        <f>IF('Données projet'!$A$36&gt;35,N14+M15-V14,IF(A15&lt;'Données projet'!$A$36,$K$205^A15,IF(A15='Données projet'!$A$36,'Données projet'!$B$36,N14+M15-V14)))</f>
        <v>16.319752926185881</v>
      </c>
      <c r="O15" s="13">
        <f>N15*VLOOKUP('Données projet'!$B$9,Paramètres!$A$1:$I$89,3,0)*VLOOKUP('Données projet'!$B$9,Paramètres!$A$1:$I$89,5,0)</f>
        <v>14.256936156315987</v>
      </c>
      <c r="P15" s="13">
        <f t="shared" si="33"/>
        <v>4.822248863773944</v>
      </c>
      <c r="Q15" s="20">
        <f t="shared" si="2"/>
        <v>33.229580576656623</v>
      </c>
      <c r="R15" s="59">
        <f t="shared" si="0"/>
        <v>304.56291390998996</v>
      </c>
      <c r="S15" s="59">
        <f ca="1">AVERAGE(OFFSET($R$3,0,0,'Données projet'!$E$9+1,1))-AVERAGE(OFFSET($H$3,0,0,'Données projet'!$E$9+1,1))</f>
        <v>298.478198405424</v>
      </c>
      <c r="T15" s="59">
        <f t="shared" si="34"/>
        <v>313.2817272662549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7.1952941176470588</v>
      </c>
      <c r="AI15" s="13">
        <f>IF('Données projet'!$A$62&gt;35,AI14+AH15-AQ14,IF(A15&lt;'Données projet'!$A$62,$AF$205^A15,IF(A15='Données projet'!$A$62,'Données projet'!$B$62,AI14+AH15-AQ14)))</f>
        <v>29.752785247657449</v>
      </c>
      <c r="AJ15" s="13">
        <f>AI15*VLOOKUP('Données projet'!$B$10,Paramètres!$A$1:$I$89,3,0)*VLOOKUP('Données projet'!$B$10,Paramètres!$A$1:$I$89,5,0)</f>
        <v>17.792165578099155</v>
      </c>
      <c r="AK15" s="13">
        <f t="shared" si="35"/>
        <v>5.8648139940544119</v>
      </c>
      <c r="AL15" s="20">
        <f t="shared" si="4"/>
        <v>41.202572754834129</v>
      </c>
      <c r="AM15" s="59">
        <f t="shared" si="5"/>
        <v>312.53590608816745</v>
      </c>
      <c r="AN15" s="59">
        <f ca="1">AVERAGE(OFFSET($AM$3,0,0,'Données projet'!$E$10+1,1))-AVERAGE(OFFSET($H$3,0,0,'Données projet'!$E$10+1,1))</f>
        <v>300.80663531652721</v>
      </c>
      <c r="AO15" s="59">
        <f t="shared" si="36"/>
        <v>306.01967513533549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5.25</v>
      </c>
      <c r="N16" s="13">
        <f>IF('Données projet'!$A$36&gt;35,N15+M16-V15,IF(A16&lt;'Données projet'!$A$36,$K$205^A16,IF(A16='Données projet'!$A$36,'Données projet'!$B$36,N15+M16-V15)))</f>
        <v>20.595533411524546</v>
      </c>
      <c r="O16" s="13">
        <f>N16*VLOOKUP('Données projet'!$B$9,Paramètres!$A$1:$I$89,3,0)*VLOOKUP('Données projet'!$B$9,Paramètres!$A$1:$I$89,5,0)</f>
        <v>17.992257988307845</v>
      </c>
      <c r="P16" s="13">
        <f t="shared" si="33"/>
        <v>5.9230549625899274</v>
      </c>
      <c r="Q16" s="20">
        <f t="shared" si="2"/>
        <v>41.65250338948028</v>
      </c>
      <c r="R16" s="59">
        <f t="shared" si="0"/>
        <v>314.20805894503582</v>
      </c>
      <c r="S16" s="59">
        <f ca="1">AVERAGE(OFFSET($R$3,0,0,'Données projet'!$E$9+1,1))-AVERAGE(OFFSET($H$3,0,0,'Données projet'!$E$9+1,1))</f>
        <v>298.478198405424</v>
      </c>
      <c r="T16" s="59">
        <f t="shared" si="34"/>
        <v>313.2817272662549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7.1952941176470588</v>
      </c>
      <c r="AI16" s="13">
        <f>IF('Données projet'!$A$62&gt;35,AI15+AH16-AQ15,IF(A16&lt;'Données projet'!$A$62,$AF$205^A16,IF(A16='Données projet'!$A$62,'Données projet'!$B$62,AI15+AH16-AQ15)))</f>
        <v>39.474950722834407</v>
      </c>
      <c r="AJ16" s="13">
        <f>AI16*VLOOKUP('Données projet'!$B$10,Paramètres!$A$1:$I$89,3,0)*VLOOKUP('Données projet'!$B$10,Paramètres!$A$1:$I$89,5,0)</f>
        <v>23.606020532254977</v>
      </c>
      <c r="AK16" s="13">
        <f t="shared" si="35"/>
        <v>7.5293067975293804</v>
      </c>
      <c r="AL16" s="20">
        <f t="shared" si="4"/>
        <v>54.227361766041078</v>
      </c>
      <c r="AM16" s="59">
        <f t="shared" si="5"/>
        <v>326.78291732159664</v>
      </c>
      <c r="AN16" s="59">
        <f ca="1">AVERAGE(OFFSET($AM$3,0,0,'Données projet'!$E$10+1,1))-AVERAGE(OFFSET($H$3,0,0,'Données projet'!$E$10+1,1))</f>
        <v>300.80663531652721</v>
      </c>
      <c r="AO16" s="59">
        <f t="shared" si="36"/>
        <v>306.01967513533549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5.25</v>
      </c>
      <c r="N17" s="13">
        <f>IF('Données projet'!$A$36&gt;35,N16+M17-V16,IF(A17&lt;'Données projet'!$A$36,$K$205^A17,IF(A17='Données projet'!$A$36,'Données projet'!$B$36,N16+M17-V16)))</f>
        <v>25.991569751317236</v>
      </c>
      <c r="O17" s="13">
        <f>N17*VLOOKUP('Données projet'!$B$9,Paramètres!$A$1:$I$89,3,0)*VLOOKUP('Données projet'!$B$9,Paramètres!$A$1:$I$89,5,0)</f>
        <v>22.70623533475074</v>
      </c>
      <c r="P17" s="13">
        <f t="shared" si="33"/>
        <v>7.2751492262067101</v>
      </c>
      <c r="Q17" s="20">
        <f t="shared" si="2"/>
        <v>52.217578110334223</v>
      </c>
      <c r="R17" s="59">
        <f t="shared" si="0"/>
        <v>325.99535588811199</v>
      </c>
      <c r="S17" s="59">
        <f ca="1">AVERAGE(OFFSET($R$3,0,0,'Données projet'!$E$9+1,1))-AVERAGE(OFFSET($H$3,0,0,'Données projet'!$E$9+1,1))</f>
        <v>298.478198405424</v>
      </c>
      <c r="T17" s="59">
        <f t="shared" si="34"/>
        <v>313.2817272662549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7.1952941176470588</v>
      </c>
      <c r="AI17" s="13">
        <f>IF('Données projet'!$A$62&gt;35,AI16+AH17-AQ16,IF(A17&lt;'Données projet'!$A$62,$AF$205^A17,IF(A17='Données projet'!$A$62,'Données projet'!$B$62,AI16+AH17-AQ16)))</f>
        <v>52.373978489724536</v>
      </c>
      <c r="AJ17" s="13">
        <f>AI17*VLOOKUP('Données projet'!$B$10,Paramètres!$A$1:$I$89,3,0)*VLOOKUP('Données projet'!$B$10,Paramètres!$A$1:$I$89,5,0)</f>
        <v>31.319639136855276</v>
      </c>
      <c r="AK17" s="13">
        <f t="shared" si="35"/>
        <v>9.6661992876148126</v>
      </c>
      <c r="AL17" s="20">
        <f t="shared" si="4"/>
        <v>71.383668589285392</v>
      </c>
      <c r="AM17" s="59">
        <f t="shared" si="5"/>
        <v>345.16144636706315</v>
      </c>
      <c r="AN17" s="59">
        <f ca="1">AVERAGE(OFFSET($AM$3,0,0,'Données projet'!$E$10+1,1))-AVERAGE(OFFSET($H$3,0,0,'Données projet'!$E$10+1,1))</f>
        <v>300.80663531652721</v>
      </c>
      <c r="AO17" s="59">
        <f t="shared" si="36"/>
        <v>306.01967513533549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5.25</v>
      </c>
      <c r="N18" s="13">
        <f>IF('Données projet'!$A$36&gt;35,N17+M18-V17,IF(A18&lt;'Données projet'!$A$36,$K$205^A18,IF(A18='Données projet'!$A$36,'Données projet'!$B$36,N17+M18-V17)))</f>
        <v>32.801369337662706</v>
      </c>
      <c r="O18" s="13">
        <f>N18*VLOOKUP('Données projet'!$B$9,Paramètres!$A$1:$I$89,3,0)*VLOOKUP('Données projet'!$B$9,Paramètres!$A$1:$I$89,5,0)</f>
        <v>28.655276253382144</v>
      </c>
      <c r="P18" s="13">
        <f t="shared" si="33"/>
        <v>8.9358948376924587</v>
      </c>
      <c r="Q18" s="20">
        <f t="shared" si="2"/>
        <v>65.471289650288256</v>
      </c>
      <c r="R18" s="59">
        <f t="shared" si="0"/>
        <v>340.47128965028827</v>
      </c>
      <c r="S18" s="59">
        <f ca="1">AVERAGE(OFFSET($R$3,0,0,'Données projet'!$E$9+1,1))-AVERAGE(OFFSET($H$3,0,0,'Données projet'!$E$9+1,1))</f>
        <v>298.478198405424</v>
      </c>
      <c r="T18" s="59">
        <f t="shared" si="34"/>
        <v>313.2817272662549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7.1952941176470588</v>
      </c>
      <c r="AI18" s="13">
        <f>IF('Données projet'!$A$62&gt;35,AI17+AH18-AQ17,IF(A18&lt;'Données projet'!$A$62,$AF$205^A18,IF(A18='Données projet'!$A$62,'Données projet'!$B$62,AI17+AH18-AQ17)))</f>
        <v>69.487955592441367</v>
      </c>
      <c r="AJ18" s="13">
        <f>AI18*VLOOKUP('Données projet'!$B$10,Paramètres!$A$1:$I$89,3,0)*VLOOKUP('Données projet'!$B$10,Paramètres!$A$1:$I$89,5,0)</f>
        <v>41.553797444279937</v>
      </c>
      <c r="AK18" s="13">
        <f t="shared" si="35"/>
        <v>12.409563214842624</v>
      </c>
      <c r="AL18" s="20">
        <f t="shared" si="4"/>
        <v>93.986186481305097</v>
      </c>
      <c r="AM18" s="59">
        <f t="shared" si="5"/>
        <v>368.98618648130508</v>
      </c>
      <c r="AN18" s="59">
        <f ca="1">AVERAGE(OFFSET($AM$3,0,0,'Données projet'!$E$10+1,1))-AVERAGE(OFFSET($H$3,0,0,'Données projet'!$E$10+1,1))</f>
        <v>300.80663531652721</v>
      </c>
      <c r="AO18" s="59">
        <f t="shared" si="36"/>
        <v>306.01967513533549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5.25</v>
      </c>
      <c r="N19" s="13">
        <f>IF('Données projet'!$A$36&gt;35,N18+M19-V18,IF(A19&lt;'Données projet'!$A$36,$K$205^A19,IF(A19='Données projet'!$A$36,'Données projet'!$B$36,N18+M19-V18)))</f>
        <v>41.39533859324645</v>
      </c>
      <c r="O19" s="13">
        <f>N19*VLOOKUP('Données projet'!$B$9,Paramètres!$A$1:$I$89,3,0)*VLOOKUP('Données projet'!$B$9,Paramètres!$A$1:$I$89,5,0)</f>
        <v>36.162967795060098</v>
      </c>
      <c r="P19" s="13">
        <f t="shared" si="33"/>
        <v>10.975749646847175</v>
      </c>
      <c r="Q19" s="20">
        <f t="shared" si="2"/>
        <v>82.099932877988508</v>
      </c>
      <c r="R19" s="59">
        <f t="shared" si="0"/>
        <v>358.32215510021075</v>
      </c>
      <c r="S19" s="59">
        <f ca="1">AVERAGE(OFFSET($R$3,0,0,'Données projet'!$E$9+1,1))-AVERAGE(OFFSET($H$3,0,0,'Données projet'!$E$9+1,1))</f>
        <v>298.478198405424</v>
      </c>
      <c r="T19" s="59">
        <f t="shared" si="34"/>
        <v>313.2817272662549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7.1952941176470588</v>
      </c>
      <c r="AI19" s="13">
        <f>IF('Données projet'!$A$62&gt;35,AI18+AH19-AQ18,IF(A19&lt;'Données projet'!$A$62,$AF$205^A19,IF(A19='Données projet'!$A$62,'Données projet'!$B$62,AI18+AH19-AQ18)))</f>
        <v>92.194179469570756</v>
      </c>
      <c r="AJ19" s="13">
        <f>AI19*VLOOKUP('Données projet'!$B$10,Paramètres!$A$1:$I$89,3,0)*VLOOKUP('Données projet'!$B$10,Paramètres!$A$1:$I$89,5,0)</f>
        <v>55.13211932280332</v>
      </c>
      <c r="AK19" s="13">
        <f t="shared" si="35"/>
        <v>15.931521231978957</v>
      </c>
      <c r="AL19" s="20">
        <f t="shared" si="4"/>
        <v>123.76917396624582</v>
      </c>
      <c r="AM19" s="59">
        <f t="shared" si="5"/>
        <v>399.99139618846806</v>
      </c>
      <c r="AN19" s="59">
        <f ca="1">AVERAGE(OFFSET($AM$3,0,0,'Données projet'!$E$10+1,1))-AVERAGE(OFFSET($H$3,0,0,'Données projet'!$E$10+1,1))</f>
        <v>300.80663531652721</v>
      </c>
      <c r="AO19" s="59">
        <f t="shared" si="36"/>
        <v>306.01967513533549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5.25</v>
      </c>
      <c r="N20" s="13">
        <f>IF('Données projet'!$A$36&gt;35,N19+M20-V19,IF(A20&lt;'Données projet'!$A$36,$K$205^A20,IF(A20='Données projet'!$A$36,'Données projet'!$B$36,N19+M20-V19)))</f>
        <v>52.240930541944905</v>
      </c>
      <c r="O20" s="13">
        <f>N20*VLOOKUP('Données projet'!$B$9,Paramètres!$A$1:$I$89,3,0)*VLOOKUP('Données projet'!$B$9,Paramètres!$A$1:$I$89,5,0)</f>
        <v>45.637676921443074</v>
      </c>
      <c r="P20" s="13">
        <f t="shared" si="33"/>
        <v>13.481255374909317</v>
      </c>
      <c r="Q20" s="20">
        <f t="shared" si="2"/>
        <v>102.96547374948041</v>
      </c>
      <c r="R20" s="59">
        <f t="shared" si="0"/>
        <v>380.40991819392485</v>
      </c>
      <c r="S20" s="59">
        <f ca="1">AVERAGE(OFFSET($R$3,0,0,'Données projet'!$E$9+1,1))-AVERAGE(OFFSET($H$3,0,0,'Données projet'!$E$9+1,1))</f>
        <v>298.478198405424</v>
      </c>
      <c r="T20" s="59">
        <f t="shared" si="34"/>
        <v>313.2817272662549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122.32</v>
      </c>
      <c r="AG20" s="12">
        <f>VLOOKUP(A20,'Données projet'!$A$61:$I$81,9,0)</f>
        <v>7.1952941176470588</v>
      </c>
      <c r="AH20" s="12">
        <f t="array" ref="AH20">INDEX(AG:AG,MIN(IF(ISNUMBER(AG20:AG216),ROW(AG20:AG216),"")))</f>
        <v>7.1952941176470588</v>
      </c>
      <c r="AI20" s="13">
        <f>IF('Données projet'!$A$62&gt;35,AI19+AH20-AQ19,IF(A20&lt;'Données projet'!$A$62,$AF$205^A20,IF(A20='Données projet'!$A$62,'Données projet'!$B$62,AI19+AH20-AQ19)))</f>
        <v>122.32</v>
      </c>
      <c r="AJ20" s="13">
        <f>AI20*VLOOKUP('Données projet'!$B$10,Paramètres!$A$1:$I$89,3,0)*VLOOKUP('Données projet'!$B$10,Paramètres!$A$1:$I$89,5,0)</f>
        <v>73.147360000000006</v>
      </c>
      <c r="AK20" s="13">
        <f t="shared" si="35"/>
        <v>20.453046120222783</v>
      </c>
      <c r="AL20" s="20">
        <f t="shared" si="4"/>
        <v>163.02070732605469</v>
      </c>
      <c r="AM20" s="59">
        <f t="shared" si="5"/>
        <v>440.46515177049912</v>
      </c>
      <c r="AN20" s="59">
        <f ca="1">AVERAGE(OFFSET($AM$3,0,0,'Données projet'!$E$10+1,1))-AVERAGE(OFFSET($H$3,0,0,'Données projet'!$E$10+1,1))</f>
        <v>300.80663531652721</v>
      </c>
      <c r="AO20" s="59">
        <f t="shared" si="36"/>
        <v>306.01967513533549</v>
      </c>
      <c r="AP20" s="15">
        <f>IF(ISNA(VLOOKUP(A20,'Données projet'!$A$61:$I$81,3,0)),0,VLOOKUP(A20,'Données projet'!$A$61:$I$81,3,0))</f>
        <v>1</v>
      </c>
      <c r="AQ20" s="15">
        <f>IF(ISNA(VLOOKUP(A20,'Données projet'!$A$61:$I$81,4,0)),0,VLOOKUP(A20,'Données projet'!$A$61:$I$81,4,0))</f>
        <v>40.76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0.45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14.49315281448583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14.49315281448583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5.25</v>
      </c>
      <c r="N21" s="13">
        <f>IF('Données projet'!$A$36&gt;35,N20+M21-V20,IF(A21&lt;'Données projet'!$A$36,$K$205^A21,IF(A21='Données projet'!$A$36,'Données projet'!$B$36,N20+M21-V20)))</f>
        <v>65.928071049370772</v>
      </c>
      <c r="O21" s="13">
        <f>N21*VLOOKUP('Données projet'!$B$9,Paramètres!$A$1:$I$89,3,0)*VLOOKUP('Données projet'!$B$9,Paramètres!$A$1:$I$89,5,0)</f>
        <v>57.594762868730314</v>
      </c>
      <c r="P21" s="13">
        <f t="shared" si="33"/>
        <v>16.558709184454482</v>
      </c>
      <c r="Q21" s="20">
        <f t="shared" si="2"/>
        <v>129.1506304926302</v>
      </c>
      <c r="R21" s="59">
        <f t="shared" si="0"/>
        <v>407.81729715929691</v>
      </c>
      <c r="S21" s="59">
        <f ca="1">AVERAGE(OFFSET($R$3,0,0,'Données projet'!$E$9+1,1))-AVERAGE(OFFSET($H$3,0,0,'Données projet'!$E$9+1,1))</f>
        <v>298.478198405424</v>
      </c>
      <c r="T21" s="59">
        <f t="shared" si="34"/>
        <v>313.2817272662549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17.686666666666667</v>
      </c>
      <c r="AI21" s="13">
        <f>IF('Données projet'!$A$62&gt;35,AI20+AH21-AQ20,IF(A21&lt;'Données projet'!$A$62,$AF$205^A21,IF(A21='Données projet'!$A$62,'Données projet'!$B$62,AI20+AH21-AQ20)))</f>
        <v>99.24666666666667</v>
      </c>
      <c r="AJ21" s="13">
        <f>AI21*VLOOKUP('Données projet'!$B$10,Paramètres!$A$1:$I$89,3,0)*VLOOKUP('Données projet'!$B$10,Paramètres!$A$1:$I$89,5,0)</f>
        <v>59.34950666666667</v>
      </c>
      <c r="AK21" s="13">
        <f t="shared" si="35"/>
        <v>17.003699693551216</v>
      </c>
      <c r="AL21" s="20">
        <f t="shared" si="4"/>
        <v>132.98183441071282</v>
      </c>
      <c r="AM21" s="59">
        <f t="shared" si="5"/>
        <v>411.64850107737948</v>
      </c>
      <c r="AN21" s="59">
        <f ca="1">AVERAGE(OFFSET($AM$3,0,0,'Données projet'!$E$10+1,1))-AVERAGE(OFFSET($H$3,0,0,'Données projet'!$E$10+1,1))</f>
        <v>300.80663531652721</v>
      </c>
      <c r="AO21" s="59">
        <f t="shared" si="36"/>
        <v>306.01967513533549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14.096836788611933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14.096836788611933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5.25</v>
      </c>
      <c r="N22" s="13">
        <f>IF('Données projet'!$A$36&gt;35,N21+M22-V21,IF(A22&lt;'Données projet'!$A$36,$K$205^A22,IF(A22='Données projet'!$A$36,'Données projet'!$B$36,N21+M22-V21)))</f>
        <v>83.201246746571883</v>
      </c>
      <c r="O22" s="13">
        <f>N22*VLOOKUP('Données projet'!$B$9,Paramètres!$A$1:$I$89,3,0)*VLOOKUP('Données projet'!$B$9,Paramètres!$A$1:$I$89,5,0)</f>
        <v>72.684609157805212</v>
      </c>
      <c r="P22" s="13">
        <f t="shared" si="33"/>
        <v>20.338673382424638</v>
      </c>
      <c r="Q22" s="20">
        <f t="shared" si="2"/>
        <v>162.01555042423362</v>
      </c>
      <c r="R22" s="59">
        <f t="shared" si="0"/>
        <v>441.90443931312245</v>
      </c>
      <c r="S22" s="59">
        <f ca="1">AVERAGE(OFFSET($R$3,0,0,'Données projet'!$E$9+1,1))-AVERAGE(OFFSET($H$3,0,0,'Données projet'!$E$9+1,1))</f>
        <v>298.478198405424</v>
      </c>
      <c r="T22" s="59">
        <f t="shared" si="34"/>
        <v>313.2817272662549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17.686666666666667</v>
      </c>
      <c r="AI22" s="13">
        <f>IF('Données projet'!$A$62&gt;35,AI21+AH22-AQ21,IF(A22&lt;'Données projet'!$A$62,$AF$205^A22,IF(A22='Données projet'!$A$62,'Données projet'!$B$62,AI21+AH22-AQ21)))</f>
        <v>116.93333333333334</v>
      </c>
      <c r="AJ22" s="13">
        <f>AI22*VLOOKUP('Données projet'!$B$10,Paramètres!$A$1:$I$89,3,0)*VLOOKUP('Données projet'!$B$10,Paramètres!$A$1:$I$89,5,0)</f>
        <v>69.92613333333334</v>
      </c>
      <c r="AK22" s="13">
        <f t="shared" si="35"/>
        <v>19.655112747639016</v>
      </c>
      <c r="AL22" s="20">
        <f t="shared" si="4"/>
        <v>156.02067025769352</v>
      </c>
      <c r="AM22" s="59">
        <f t="shared" si="5"/>
        <v>435.90955914658241</v>
      </c>
      <c r="AN22" s="59">
        <f ca="1">AVERAGE(OFFSET($AM$3,0,0,'Données projet'!$E$10+1,1))-AVERAGE(OFFSET($H$3,0,0,'Données projet'!$E$10+1,1))</f>
        <v>300.80663531652721</v>
      </c>
      <c r="AO22" s="59">
        <f t="shared" si="36"/>
        <v>306.01967513533549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13.711358045306911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13.711358045306911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105</v>
      </c>
      <c r="L23" s="12">
        <f>VLOOKUP(A23,'Données projet'!$A$35:$I$55,9,0)</f>
        <v>5.25</v>
      </c>
      <c r="M23" s="12">
        <f t="array" ref="M23">INDEX(L:L,MIN(IF(ISNUMBER(L23:L219),ROW(L23:L219),"")))</f>
        <v>5.25</v>
      </c>
      <c r="N23" s="13">
        <f>IF('Données projet'!$A$36&gt;35,N22+M23-V22,IF(A23&lt;'Données projet'!$A$36,$K$205^A23,IF(A23='Données projet'!$A$36,'Données projet'!$B$36,N22+M23-V22)))</f>
        <v>105</v>
      </c>
      <c r="O23" s="13">
        <f>N23*VLOOKUP('Données projet'!$B$9,Paramètres!$A$1:$I$89,3,0)*VLOOKUP('Données projet'!$B$9,Paramètres!$A$1:$I$89,5,0)</f>
        <v>91.728000000000009</v>
      </c>
      <c r="P23" s="13">
        <f t="shared" si="33"/>
        <v>24.981514582386563</v>
      </c>
      <c r="Q23" s="20">
        <f t="shared" si="2"/>
        <v>203.26907123098991</v>
      </c>
      <c r="R23" s="59">
        <f t="shared" si="0"/>
        <v>484.38018234210108</v>
      </c>
      <c r="S23" s="59">
        <f ca="1">AVERAGE(OFFSET($R$3,0,0,'Données projet'!$E$9+1,1))-AVERAGE(OFFSET($H$3,0,0,'Données projet'!$E$9+1,1))</f>
        <v>298.478198405424</v>
      </c>
      <c r="T23" s="59">
        <f t="shared" si="34"/>
        <v>313.2817272662549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32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0.215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6.6181227171247512</v>
      </c>
      <c r="AB23" s="21">
        <f>EXP(-LN(2)/2)*AB22+(1-EXP(-LN(2)/2))/(LN(2)/2)*V23*Y23*VLOOKUP('Données projet'!$B$9,Paramètres!$A$1:$I$89,3,0)*0.475*44/12</f>
        <v>0</v>
      </c>
      <c r="AC23" s="22">
        <f t="shared" si="3"/>
        <v>6.6181227171247512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17.686666666666667</v>
      </c>
      <c r="AI23" s="13">
        <f>IF('Données projet'!$A$62&gt;35,AI22+AH23-AQ22,IF(A23&lt;'Données projet'!$A$62,$AF$205^A23,IF(A23='Données projet'!$A$62,'Données projet'!$B$62,AI22+AH23-AQ22)))</f>
        <v>134.62</v>
      </c>
      <c r="AJ23" s="13">
        <f>AI23*VLOOKUP('Données projet'!$B$10,Paramètres!$A$1:$I$89,3,0)*VLOOKUP('Données projet'!$B$10,Paramètres!$A$1:$I$89,5,0)</f>
        <v>80.502760000000009</v>
      </c>
      <c r="AK23" s="13">
        <f t="shared" si="35"/>
        <v>22.260066705482632</v>
      </c>
      <c r="AL23" s="20">
        <f t="shared" si="4"/>
        <v>178.97858984538223</v>
      </c>
      <c r="AM23" s="59">
        <f t="shared" si="5"/>
        <v>460.0897009564934</v>
      </c>
      <c r="AN23" s="59">
        <f ca="1">AVERAGE(OFFSET($AM$3,0,0,'Données projet'!$E$10+1,1))-AVERAGE(OFFSET($H$3,0,0,'Données projet'!$E$10+1,1))</f>
        <v>300.80663531652721</v>
      </c>
      <c r="AO23" s="59">
        <f t="shared" si="36"/>
        <v>306.01967513533549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13.336420238509012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13.336420238509012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10.4</v>
      </c>
      <c r="N24" s="13">
        <f>IF('Données projet'!$A$36&gt;35,N23+M24-V23,IF(A24&lt;'Données projet'!$A$36,$K$205^A24,IF(A24='Données projet'!$A$36,'Données projet'!$B$36,N23+M24-V23)))</f>
        <v>83.4</v>
      </c>
      <c r="O24" s="13">
        <f>N24*VLOOKUP('Données projet'!$B$9,Paramètres!$A$1:$I$89,3,0)*VLOOKUP('Données projet'!$B$9,Paramètres!$A$1:$I$89,5,0)</f>
        <v>72.858240000000009</v>
      </c>
      <c r="P24" s="13">
        <f t="shared" si="33"/>
        <v>20.381597602335066</v>
      </c>
      <c r="Q24" s="20">
        <f t="shared" si="2"/>
        <v>162.39271715740026</v>
      </c>
      <c r="R24" s="59">
        <f t="shared" si="0"/>
        <v>444.72605049073354</v>
      </c>
      <c r="S24" s="59">
        <f ca="1">AVERAGE(OFFSET($R$3,0,0,'Données projet'!$E$9+1,1))-AVERAGE(OFFSET($H$3,0,0,'Données projet'!$E$9+1,1))</f>
        <v>298.478198405424</v>
      </c>
      <c r="T24" s="59">
        <f t="shared" si="34"/>
        <v>313.2817272662549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6.4371498033930274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6.4371498033930274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17.686666666666667</v>
      </c>
      <c r="AI24" s="13">
        <f>IF('Données projet'!$A$62&gt;35,AI23+AH24-AQ23,IF(A24&lt;'Données projet'!$A$62,$AF$205^A24,IF(A24='Données projet'!$A$62,'Données projet'!$B$62,AI23+AH24-AQ23)))</f>
        <v>152.30666666666667</v>
      </c>
      <c r="AJ24" s="13">
        <f>AI24*VLOOKUP('Données projet'!$B$10,Paramètres!$A$1:$I$89,3,0)*VLOOKUP('Données projet'!$B$10,Paramètres!$A$1:$I$89,5,0)</f>
        <v>91.079386666666679</v>
      </c>
      <c r="AK24" s="13">
        <f t="shared" si="35"/>
        <v>24.825366166504242</v>
      </c>
      <c r="AL24" s="20">
        <f t="shared" si="4"/>
        <v>201.8674445177727</v>
      </c>
      <c r="AM24" s="59">
        <f t="shared" si="5"/>
        <v>484.20077785110601</v>
      </c>
      <c r="AN24" s="59">
        <f ca="1">AVERAGE(OFFSET($AM$3,0,0,'Données projet'!$E$10+1,1))-AVERAGE(OFFSET($H$3,0,0,'Données projet'!$E$10+1,1))</f>
        <v>300.80663531652721</v>
      </c>
      <c r="AO24" s="59">
        <f t="shared" si="36"/>
        <v>306.01967513533549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12.971735125755124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12.971735125755124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10.4</v>
      </c>
      <c r="N25" s="13">
        <f>IF('Données projet'!$A$36&gt;35,N24+M25-V24,IF(A25&lt;'Données projet'!$A$36,$K$205^A25,IF(A25='Données projet'!$A$36,'Données projet'!$B$36,N24+M25-V24)))</f>
        <v>93.800000000000011</v>
      </c>
      <c r="O25" s="13">
        <f>N25*VLOOKUP('Données projet'!$B$9,Paramètres!$A$1:$I$89,3,0)*VLOOKUP('Données projet'!$B$9,Paramètres!$A$1:$I$89,5,0)</f>
        <v>81.943680000000029</v>
      </c>
      <c r="P25" s="13">
        <f t="shared" si="33"/>
        <v>22.611757990043472</v>
      </c>
      <c r="Q25" s="20">
        <f t="shared" si="2"/>
        <v>182.10072116599244</v>
      </c>
      <c r="R25" s="59">
        <f t="shared" si="0"/>
        <v>465.65627672154801</v>
      </c>
      <c r="S25" s="59">
        <f ca="1">AVERAGE(OFFSET($R$3,0,0,'Données projet'!$E$9+1,1))-AVERAGE(OFFSET($H$3,0,0,'Données projet'!$E$9+1,1))</f>
        <v>298.478198405424</v>
      </c>
      <c r="T25" s="59">
        <f t="shared" si="34"/>
        <v>313.2817272662549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6.2611256035042491</v>
      </c>
      <c r="AB25" s="21">
        <f>EXP(-LN(2)/2)*AB24+(1-EXP(-LN(2)/2))/(LN(2)/2)*V25*Y25*VLOOKUP('Données projet'!$B$9,Paramètres!$A$1:$I$89,3,0)*0.475*44/12</f>
        <v>0</v>
      </c>
      <c r="AC25" s="22">
        <f t="shared" si="3"/>
        <v>6.2611256035042491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17.686666666666667</v>
      </c>
      <c r="AI25" s="13">
        <f>IF('Données projet'!$A$62&gt;35,AI24+AH25-AQ24,IF(A25&lt;'Données projet'!$A$62,$AF$205^A25,IF(A25='Données projet'!$A$62,'Données projet'!$B$62,AI24+AH25-AQ24)))</f>
        <v>169.99333333333334</v>
      </c>
      <c r="AJ25" s="13">
        <f>AI25*VLOOKUP('Données projet'!$B$10,Paramètres!$A$1:$I$89,3,0)*VLOOKUP('Données projet'!$B$10,Paramètres!$A$1:$I$89,5,0)</f>
        <v>101.65601333333333</v>
      </c>
      <c r="AK25" s="13">
        <f t="shared" si="35"/>
        <v>27.356141971554642</v>
      </c>
      <c r="AL25" s="20">
        <f t="shared" si="4"/>
        <v>224.6961704893466</v>
      </c>
      <c r="AM25" s="59">
        <f t="shared" si="5"/>
        <v>508.25172604490217</v>
      </c>
      <c r="AN25" s="59">
        <f ca="1">AVERAGE(OFFSET($AM$3,0,0,'Données projet'!$E$10+1,1))-AVERAGE(OFFSET($H$3,0,0,'Données projet'!$E$10+1,1))</f>
        <v>300.80663531652721</v>
      </c>
      <c r="AO25" s="59">
        <f t="shared" si="36"/>
        <v>306.01967513533549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12.617022346587447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12.617022346587447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10.4</v>
      </c>
      <c r="N26" s="13">
        <f>IF('Données projet'!$A$36&gt;35,N25+M26-V25,IF(A26&lt;'Données projet'!$A$36,$K$205^A26,IF(A26='Données projet'!$A$36,'Données projet'!$B$36,N25+M26-V25)))</f>
        <v>104.20000000000002</v>
      </c>
      <c r="O26" s="13">
        <f>N26*VLOOKUP('Données projet'!$B$9,Paramètres!$A$1:$I$89,3,0)*VLOOKUP('Données projet'!$B$9,Paramètres!$A$1:$I$89,5,0)</f>
        <v>91.029120000000034</v>
      </c>
      <c r="P26" s="13">
        <f t="shared" si="33"/>
        <v>24.813259479575809</v>
      </c>
      <c r="Q26" s="20">
        <f t="shared" si="2"/>
        <v>201.75881092692791</v>
      </c>
      <c r="R26" s="59">
        <f t="shared" si="0"/>
        <v>486.53658870470565</v>
      </c>
      <c r="S26" s="59">
        <f ca="1">AVERAGE(OFFSET($R$3,0,0,'Données projet'!$E$9+1,1))-AVERAGE(OFFSET($H$3,0,0,'Données projet'!$E$9+1,1))</f>
        <v>298.478198405424</v>
      </c>
      <c r="T26" s="59">
        <f t="shared" si="34"/>
        <v>313.2817272662549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6.0899147946181396</v>
      </c>
      <c r="AB26" s="21">
        <f>EXP(-LN(2)/2)*AB25+(1-EXP(-LN(2)/2))/(LN(2)/2)*V26*Y26*VLOOKUP('Données projet'!$B$9,Paramètres!$A$1:$I$89,3,0)*0.475*44/12</f>
        <v>0</v>
      </c>
      <c r="AC26" s="22">
        <f t="shared" si="3"/>
        <v>6.0899147946181396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>
        <f>VLOOKUP(A26,'Données projet'!$A$61:$I$81,2,0)</f>
        <v>187.68</v>
      </c>
      <c r="AG26" s="12">
        <f>VLOOKUP(A26,'Données projet'!$A$61:$I$81,9,0)</f>
        <v>17.686666666666667</v>
      </c>
      <c r="AH26" s="12">
        <f t="array" ref="AH26">INDEX(AG:AG,MIN(IF(ISNUMBER(AG26:AG222),ROW(AG26:AG222),"")))</f>
        <v>17.686666666666667</v>
      </c>
      <c r="AI26" s="13">
        <f>IF('Données projet'!$A$62&gt;35,AI25+AH26-AQ25,IF(A26&lt;'Données projet'!$A$62,$AF$205^A26,IF(A26='Données projet'!$A$62,'Données projet'!$B$62,AI25+AH26-AQ25)))</f>
        <v>187.68</v>
      </c>
      <c r="AJ26" s="13">
        <f>AI26*VLOOKUP('Données projet'!$B$10,Paramètres!$A$1:$I$89,3,0)*VLOOKUP('Données projet'!$B$10,Paramètres!$A$1:$I$89,5,0)</f>
        <v>112.23264000000002</v>
      </c>
      <c r="AK26" s="13">
        <f t="shared" si="35"/>
        <v>29.85639523393861</v>
      </c>
      <c r="AL26" s="20">
        <f t="shared" si="4"/>
        <v>247.47173636577645</v>
      </c>
      <c r="AM26" s="59">
        <f t="shared" si="5"/>
        <v>532.24951414355428</v>
      </c>
      <c r="AN26" s="59">
        <f ca="1">AVERAGE(OFFSET($AM$3,0,0,'Données projet'!$E$10+1,1))-AVERAGE(OFFSET($H$3,0,0,'Données projet'!$E$10+1,1))</f>
        <v>300.80663531652721</v>
      </c>
      <c r="AO26" s="59">
        <f t="shared" si="36"/>
        <v>306.01967513533549</v>
      </c>
      <c r="AP26" s="15">
        <f>IF(ISNA(VLOOKUP(A26,'Données projet'!$A$61:$I$81,3,0)),0,VLOOKUP(A26,'Données projet'!$A$61:$I$81,3,0))</f>
        <v>2</v>
      </c>
      <c r="AQ26" s="15">
        <f>IF(ISNA(VLOOKUP(A26,'Données projet'!$A$61:$I$81,4,0)),0,VLOOKUP(A26,'Données projet'!$A$61:$I$81,4,0))</f>
        <v>57.75</v>
      </c>
      <c r="AR26" s="16">
        <f>IF(ISNA(VLOOKUP(A26,'Données projet'!$A$61:$I$81,5,0)),0%,VLOOKUP(A26,'Données projet'!$A$61:$I$81,5,0)*VLOOKUP('Données projet'!$B$10,Paramètres!$A$1:$I$89,7,0))</f>
        <v>4.5000000000000005E-2</v>
      </c>
      <c r="AS26" s="16">
        <f>IF(ISNA(VLOOKUP(A26,'Données projet'!$A$61:$I$81,6,0)),0%,VLOOKUP(A26,'Données projet'!$A$61:$I$81,6,0)*VLOOKUP('Données projet'!$B$10,Paramètres!$A$1:$I$89,7,0))</f>
        <v>0.36000000000000004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2.0615508083869565</v>
      </c>
      <c r="AV26" s="21">
        <f>EXP(-LN(2)/25)*AV25+(1-EXP(-LN(2)/25))/(LN(2)/25)*Calculateur!AQ26*Calculateur!AS26*VLOOKUP('Données projet'!$B$10,Paramètres!$A$1:$I$89,3,0)*0.475*44/12</f>
        <v>28.699478785754813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30.761029594141771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10.4</v>
      </c>
      <c r="N27" s="13">
        <f>IF('Données projet'!$A$36&gt;35,N26+M27-V26,IF(A27&lt;'Données projet'!$A$36,$K$205^A27,IF(A27='Données projet'!$A$36,'Données projet'!$B$36,N26+M27-V26)))</f>
        <v>114.60000000000002</v>
      </c>
      <c r="O27" s="13">
        <f>N27*VLOOKUP('Données projet'!$B$9,Paramètres!$A$1:$I$89,3,0)*VLOOKUP('Données projet'!$B$9,Paramètres!$A$1:$I$89,5,0)</f>
        <v>100.11456000000003</v>
      </c>
      <c r="P27" s="13">
        <f t="shared" si="33"/>
        <v>26.989288069695206</v>
      </c>
      <c r="Q27" s="20">
        <f t="shared" si="2"/>
        <v>221.37253538805251</v>
      </c>
      <c r="R27" s="59">
        <f t="shared" si="0"/>
        <v>507.37253538805248</v>
      </c>
      <c r="S27" s="59">
        <f ca="1">AVERAGE(OFFSET($R$3,0,0,'Données projet'!$E$9+1,1))-AVERAGE(OFFSET($H$3,0,0,'Données projet'!$E$9+1,1))</f>
        <v>298.478198405424</v>
      </c>
      <c r="T27" s="59">
        <f t="shared" si="34"/>
        <v>313.2817272662549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5.923385754304606</v>
      </c>
      <c r="AB27" s="21">
        <f>EXP(-LN(2)/2)*AB26+(1-EXP(-LN(2)/2))/(LN(2)/2)*V27*Y27*VLOOKUP('Données projet'!$B$9,Paramètres!$A$1:$I$89,3,0)*0.475*44/12</f>
        <v>0</v>
      </c>
      <c r="AC27" s="22">
        <f t="shared" si="3"/>
        <v>5.923385754304606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18.613333333333333</v>
      </c>
      <c r="AI27" s="13">
        <f>IF('Données projet'!$A$62&gt;35,AI26+AH27-AQ26,IF(A27&lt;'Données projet'!$A$62,$AF$205^A27,IF(A27='Données projet'!$A$62,'Données projet'!$B$62,AI26+AH27-AQ26)))</f>
        <v>148.54333333333335</v>
      </c>
      <c r="AJ27" s="13">
        <f>AI27*VLOOKUP('Données projet'!$B$10,Paramètres!$A$1:$I$89,3,0)*VLOOKUP('Données projet'!$B$10,Paramètres!$A$1:$I$89,5,0)</f>
        <v>88.828913333333347</v>
      </c>
      <c r="AK27" s="13">
        <f t="shared" si="35"/>
        <v>24.282572155728136</v>
      </c>
      <c r="AL27" s="20">
        <f t="shared" si="4"/>
        <v>197.00250389344876</v>
      </c>
      <c r="AM27" s="59">
        <f t="shared" si="5"/>
        <v>483.00250389344876</v>
      </c>
      <c r="AN27" s="59">
        <f ca="1">AVERAGE(OFFSET($AM$3,0,0,'Données projet'!$E$10+1,1))-AVERAGE(OFFSET($H$3,0,0,'Données projet'!$E$10+1,1))</f>
        <v>300.80663531652721</v>
      </c>
      <c r="AO27" s="59">
        <f t="shared" si="36"/>
        <v>306.01967513533549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2.0211250544563213</v>
      </c>
      <c r="AV27" s="21">
        <f>EXP(-LN(2)/25)*AV26+(1-EXP(-LN(2)/25))/(LN(2)/25)*Calculateur!AQ27*Calculateur!AS27*VLOOKUP('Données projet'!$B$10,Paramètres!$A$1:$I$89,3,0)*0.475*44/12</f>
        <v>27.914690029118351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29.935815083574671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125</v>
      </c>
      <c r="L28" s="12">
        <f>VLOOKUP(A28,'Données projet'!$A$35:$I$55,9,0)</f>
        <v>10.4</v>
      </c>
      <c r="M28" s="12">
        <f t="array" ref="M28">INDEX(L:L,MIN(IF(ISNUMBER(L28:L224),ROW(L28:L224),"")))</f>
        <v>10.4</v>
      </c>
      <c r="N28" s="13">
        <f>IF('Données projet'!$A$36&gt;35,N27+M28-V27,IF(A28&lt;'Données projet'!$A$36,$K$205^A28,IF(A28='Données projet'!$A$36,'Données projet'!$B$36,N27+M28-V27)))</f>
        <v>125.00000000000003</v>
      </c>
      <c r="O28" s="13">
        <f>N28*VLOOKUP('Données projet'!$B$9,Paramètres!$A$1:$I$89,3,0)*VLOOKUP('Données projet'!$B$9,Paramètres!$A$1:$I$89,5,0)</f>
        <v>109.20000000000005</v>
      </c>
      <c r="P28" s="13">
        <f t="shared" si="33"/>
        <v>29.142418334948612</v>
      </c>
      <c r="Q28" s="20">
        <f t="shared" si="2"/>
        <v>240.94637860003556</v>
      </c>
      <c r="R28" s="59">
        <f t="shared" si="0"/>
        <v>528.16860082225776</v>
      </c>
      <c r="S28" s="59">
        <f ca="1">AVERAGE(OFFSET($R$3,0,0,'Données projet'!$E$9+1,1))-AVERAGE(OFFSET($H$3,0,0,'Données projet'!$E$9+1,1))</f>
        <v>298.478198405424</v>
      </c>
      <c r="T28" s="59">
        <f t="shared" si="34"/>
        <v>313.2817272662549</v>
      </c>
      <c r="U28" s="15">
        <f>IF(ISNA(VLOOKUP(A28,'Données projet'!$A$35:$I$55,3,0)),0,VLOOKUP(A28,'Données projet'!$A$35:$I$55,3,0))</f>
        <v>2</v>
      </c>
      <c r="V28" s="15">
        <f>IF(ISNA(VLOOKUP(A28,'Données projet'!$A$35:$I$55,4,0)),0,VLOOKUP(A28,'Données projet'!$A$35:$I$55,4,0))</f>
        <v>31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0.215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12.172716841570431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12.172716841570431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18.613333333333333</v>
      </c>
      <c r="AI28" s="13">
        <f>IF('Données projet'!$A$62&gt;35,AI27+AH28-AQ27,IF(A28&lt;'Données projet'!$A$62,$AF$205^A28,IF(A28='Données projet'!$A$62,'Données projet'!$B$62,AI27+AH28-AQ27)))</f>
        <v>167.15666666666669</v>
      </c>
      <c r="AJ28" s="13">
        <f>AI28*VLOOKUP('Données projet'!$B$10,Paramètres!$A$1:$I$89,3,0)*VLOOKUP('Données projet'!$B$10,Paramètres!$A$1:$I$89,5,0)</f>
        <v>99.959686666666684</v>
      </c>
      <c r="AK28" s="13">
        <f t="shared" si="35"/>
        <v>26.952393227223038</v>
      </c>
      <c r="AL28" s="20">
        <f t="shared" si="4"/>
        <v>221.03853914852459</v>
      </c>
      <c r="AM28" s="59">
        <f t="shared" si="5"/>
        <v>508.26076137074682</v>
      </c>
      <c r="AN28" s="59">
        <f ca="1">AVERAGE(OFFSET($AM$3,0,0,'Données projet'!$E$10+1,1))-AVERAGE(OFFSET($H$3,0,0,'Données projet'!$E$10+1,1))</f>
        <v>300.80663531652721</v>
      </c>
      <c r="AO28" s="59">
        <f t="shared" si="36"/>
        <v>306.01967513533549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1.9814920249029906</v>
      </c>
      <c r="AV28" s="21">
        <f>EXP(-LN(2)/25)*AV27+(1-EXP(-LN(2)/25))/(LN(2)/25)*Calculateur!AQ28*Calculateur!AS28*VLOOKUP('Données projet'!$B$10,Paramètres!$A$1:$I$89,3,0)*0.475*44/12</f>
        <v>27.15136136230236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29.132853387205351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</v>
      </c>
      <c r="N29" s="13">
        <f>IF('Données projet'!$A$36&gt;35,N28+M29-V28,IF(A29&lt;'Données projet'!$A$36,$K$205^A29,IF(A29='Données projet'!$A$36,'Données projet'!$B$36,N28+M29-V28)))</f>
        <v>104.00000000000003</v>
      </c>
      <c r="O29" s="13">
        <f>N29*VLOOKUP('Données projet'!$B$9,Paramètres!$A$1:$I$89,3,0)*VLOOKUP('Données projet'!$B$9,Paramètres!$A$1:$I$89,5,0)</f>
        <v>90.854400000000041</v>
      </c>
      <c r="P29" s="13">
        <f t="shared" si="33"/>
        <v>24.771172249191284</v>
      </c>
      <c r="Q29" s="20">
        <f t="shared" si="2"/>
        <v>201.38120500067487</v>
      </c>
      <c r="R29" s="59">
        <f t="shared" si="0"/>
        <v>489.82564944511932</v>
      </c>
      <c r="S29" s="59">
        <f ca="1">AVERAGE(OFFSET($R$3,0,0,'Données projet'!$E$9+1,1))-AVERAGE(OFFSET($H$3,0,0,'Données projet'!$E$9+1,1))</f>
        <v>298.478198405424</v>
      </c>
      <c r="T29" s="59">
        <f t="shared" si="34"/>
        <v>313.2817272662549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11.839853259402329</v>
      </c>
      <c r="AB29" s="21">
        <f>EXP(-LN(2)/2)*AB28+(1-EXP(-LN(2)/2))/(LN(2)/2)*V29*Y29*VLOOKUP('Données projet'!$B$9,Paramètres!$A$1:$I$89,3,0)*0.475*44/12</f>
        <v>0</v>
      </c>
      <c r="AC29" s="22">
        <f t="shared" si="3"/>
        <v>11.839853259402329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18.613333333333333</v>
      </c>
      <c r="AI29" s="13">
        <f>IF('Données projet'!$A$62&gt;35,AI28+AH29-AQ28,IF(A29&lt;'Données projet'!$A$62,$AF$205^A29,IF(A29='Données projet'!$A$62,'Données projet'!$B$62,AI28+AH29-AQ28)))</f>
        <v>185.77000000000004</v>
      </c>
      <c r="AJ29" s="13">
        <f>AI29*VLOOKUP('Données projet'!$B$10,Paramètres!$A$1:$I$89,3,0)*VLOOKUP('Données projet'!$B$10,Paramètres!$A$1:$I$89,5,0)</f>
        <v>111.09046000000004</v>
      </c>
      <c r="AK29" s="13">
        <f t="shared" si="35"/>
        <v>29.587757766677999</v>
      </c>
      <c r="AL29" s="20">
        <f t="shared" si="4"/>
        <v>245.01456261029759</v>
      </c>
      <c r="AM29" s="59">
        <f t="shared" si="5"/>
        <v>533.45900705474207</v>
      </c>
      <c r="AN29" s="59">
        <f ca="1">AVERAGE(OFFSET($AM$3,0,0,'Données projet'!$E$10+1,1))-AVERAGE(OFFSET($H$3,0,0,'Données projet'!$E$10+1,1))</f>
        <v>300.80663531652721</v>
      </c>
      <c r="AO29" s="59">
        <f t="shared" si="36"/>
        <v>306.01967513533549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1.9426361748854397</v>
      </c>
      <c r="AV29" s="21">
        <f>EXP(-LN(2)/25)*AV28+(1-EXP(-LN(2)/25))/(LN(2)/25)*Calculateur!AQ29*Calculateur!AS29*VLOOKUP('Données projet'!$B$10,Paramètres!$A$1:$I$89,3,0)*0.475*44/12</f>
        <v>26.408905958022164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28.351542132907603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</v>
      </c>
      <c r="N30" s="13">
        <f>IF('Données projet'!$A$36&gt;35,N29+M30-V29,IF(A30&lt;'Données projet'!$A$36,$K$205^A30,IF(A30='Données projet'!$A$36,'Données projet'!$B$36,N29+M30-V29)))</f>
        <v>114.00000000000003</v>
      </c>
      <c r="O30" s="13">
        <f>N30*VLOOKUP('Données projet'!$B$9,Paramètres!$A$1:$I$89,3,0)*VLOOKUP('Données projet'!$B$9,Paramètres!$A$1:$I$89,5,0)</f>
        <v>99.590400000000045</v>
      </c>
      <c r="P30" s="13">
        <f t="shared" si="33"/>
        <v>26.864392698869349</v>
      </c>
      <c r="Q30" s="20">
        <f t="shared" si="2"/>
        <v>220.24209728386418</v>
      </c>
      <c r="R30" s="59">
        <f t="shared" si="0"/>
        <v>509.9087639505309</v>
      </c>
      <c r="S30" s="59">
        <f ca="1">AVERAGE(OFFSET($R$3,0,0,'Données projet'!$E$9+1,1))-AVERAGE(OFFSET($H$3,0,0,'Données projet'!$E$9+1,1))</f>
        <v>298.478198405424</v>
      </c>
      <c r="T30" s="59">
        <f t="shared" si="34"/>
        <v>313.2817272662549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11.516091849393149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11.516091849393149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18.613333333333333</v>
      </c>
      <c r="AI30" s="13">
        <f>IF('Données projet'!$A$62&gt;35,AI29+AH30-AQ29,IF(A30&lt;'Données projet'!$A$62,$AF$205^A30,IF(A30='Données projet'!$A$62,'Données projet'!$B$62,AI29+AH30-AQ29)))</f>
        <v>204.38333333333338</v>
      </c>
      <c r="AJ30" s="13">
        <f>AI30*VLOOKUP('Données projet'!$B$10,Paramètres!$A$1:$I$89,3,0)*VLOOKUP('Données projet'!$B$10,Paramètres!$A$1:$I$89,5,0)</f>
        <v>122.22123333333337</v>
      </c>
      <c r="AK30" s="13">
        <f t="shared" si="35"/>
        <v>32.192511187778997</v>
      </c>
      <c r="AL30" s="20">
        <f t="shared" si="4"/>
        <v>268.937271707604</v>
      </c>
      <c r="AM30" s="59">
        <f t="shared" si="5"/>
        <v>558.60393837427068</v>
      </c>
      <c r="AN30" s="59">
        <f ca="1">AVERAGE(OFFSET($AM$3,0,0,'Données projet'!$E$10+1,1))-AVERAGE(OFFSET($H$3,0,0,'Données projet'!$E$10+1,1))</f>
        <v>300.80663531652721</v>
      </c>
      <c r="AO30" s="59">
        <f t="shared" si="36"/>
        <v>306.01967513533549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1.9045422643870047</v>
      </c>
      <c r="AV30" s="21">
        <f>EXP(-LN(2)/25)*AV29+(1-EXP(-LN(2)/25))/(LN(2)/25)*Calculateur!AQ30*Calculateur!AS30*VLOOKUP('Données projet'!$B$10,Paramètres!$A$1:$I$89,3,0)*0.475*44/12</f>
        <v>25.686753035816043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27.591295300203047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</v>
      </c>
      <c r="N31" s="13">
        <f>IF('Données projet'!$A$36&gt;35,N30+M31-V30,IF(A31&lt;'Données projet'!$A$36,$K$205^A31,IF(A31='Données projet'!$A$36,'Données projet'!$B$36,N30+M31-V30)))</f>
        <v>124.00000000000003</v>
      </c>
      <c r="O31" s="13">
        <f>N31*VLOOKUP('Données projet'!$B$9,Paramètres!$A$1:$I$89,3,0)*VLOOKUP('Données projet'!$B$9,Paramètres!$A$1:$I$89,5,0)</f>
        <v>108.32640000000005</v>
      </c>
      <c r="P31" s="13">
        <f t="shared" si="33"/>
        <v>28.936320206966908</v>
      </c>
      <c r="Q31" s="20">
        <f t="shared" si="2"/>
        <v>239.06590436046744</v>
      </c>
      <c r="R31" s="59">
        <f t="shared" si="0"/>
        <v>529.95479324935627</v>
      </c>
      <c r="S31" s="59">
        <f ca="1">AVERAGE(OFFSET($R$3,0,0,'Données projet'!$E$9+1,1))-AVERAGE(OFFSET($H$3,0,0,'Données projet'!$E$9+1,1))</f>
        <v>298.478198405424</v>
      </c>
      <c r="T31" s="59">
        <f t="shared" si="34"/>
        <v>313.2817272662549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11.201183712166543</v>
      </c>
      <c r="AB31" s="21">
        <f>EXP(-LN(2)/2)*AB30+(1-EXP(-LN(2)/2))/(LN(2)/2)*V31*Y31*VLOOKUP('Données projet'!$B$9,Paramètres!$A$1:$I$89,3,0)*0.475*44/12</f>
        <v>0</v>
      </c>
      <c r="AC31" s="22">
        <f t="shared" si="3"/>
        <v>11.201183712166543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18.613333333333333</v>
      </c>
      <c r="AI31" s="13">
        <f>IF('Données projet'!$A$62&gt;35,AI30+AH31-AQ30,IF(A31&lt;'Données projet'!$A$62,$AF$205^A31,IF(A31='Données projet'!$A$62,'Données projet'!$B$62,AI30+AH31-AQ30)))</f>
        <v>222.99666666666673</v>
      </c>
      <c r="AJ31" s="13">
        <f>AI31*VLOOKUP('Données projet'!$B$10,Paramètres!$A$1:$I$89,3,0)*VLOOKUP('Données projet'!$B$10,Paramètres!$A$1:$I$89,5,0)</f>
        <v>133.35200666666671</v>
      </c>
      <c r="AK31" s="13">
        <f t="shared" si="35"/>
        <v>34.769758316414304</v>
      </c>
      <c r="AL31" s="20">
        <f t="shared" si="4"/>
        <v>292.81207401219939</v>
      </c>
      <c r="AM31" s="59">
        <f t="shared" si="5"/>
        <v>583.70096290108825</v>
      </c>
      <c r="AN31" s="59">
        <f ca="1">AVERAGE(OFFSET($AM$3,0,0,'Données projet'!$E$10+1,1))-AVERAGE(OFFSET($H$3,0,0,'Données projet'!$E$10+1,1))</f>
        <v>300.80663531652721</v>
      </c>
      <c r="AO31" s="59">
        <f t="shared" si="36"/>
        <v>306.01967513533549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1.8671953522384528</v>
      </c>
      <c r="AV31" s="21">
        <f>EXP(-LN(2)/25)*AV30+(1-EXP(-LN(2)/25))/(LN(2)/25)*Calculateur!AQ31*Calculateur!AS31*VLOOKUP('Données projet'!$B$10,Paramètres!$A$1:$I$89,3,0)*0.475*44/12</f>
        <v>24.984347423244017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26.851542775482471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</v>
      </c>
      <c r="N32" s="13">
        <f>IF('Données projet'!$A$36&gt;35,N31+M32-V31,IF(A32&lt;'Données projet'!$A$36,$K$205^A32,IF(A32='Données projet'!$A$36,'Données projet'!$B$36,N31+M32-V31)))</f>
        <v>134.00000000000003</v>
      </c>
      <c r="O32" s="13">
        <f>N32*VLOOKUP('Données projet'!$B$9,Paramètres!$A$1:$I$89,3,0)*VLOOKUP('Données projet'!$B$9,Paramètres!$A$1:$I$89,5,0)</f>
        <v>117.06240000000004</v>
      </c>
      <c r="P32" s="13">
        <f t="shared" si="33"/>
        <v>30.988867171899152</v>
      </c>
      <c r="Q32" s="20">
        <f t="shared" si="2"/>
        <v>257.85595699105778</v>
      </c>
      <c r="R32" s="59">
        <f t="shared" si="0"/>
        <v>549.96706810216892</v>
      </c>
      <c r="S32" s="59">
        <f ca="1">AVERAGE(OFFSET($R$3,0,0,'Données projet'!$E$9+1,1))-AVERAGE(OFFSET($H$3,0,0,'Données projet'!$E$9+1,1))</f>
        <v>298.478198405424</v>
      </c>
      <c r="T32" s="59">
        <f t="shared" si="34"/>
        <v>313.2817272662549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10.894886754512697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10.894886754512697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>
        <f>VLOOKUP(A32,'Données projet'!$A$61:$I$81,2,0)</f>
        <v>241.61</v>
      </c>
      <c r="AG32" s="12">
        <f>VLOOKUP(A32,'Données projet'!$A$61:$I$81,9,0)</f>
        <v>18.613333333333333</v>
      </c>
      <c r="AH32" s="12">
        <f t="array" ref="AH32">INDEX(AG:AG,MIN(IF(ISNUMBER(AG32:AG228),ROW(AG32:AG228),"")))</f>
        <v>18.613333333333333</v>
      </c>
      <c r="AI32" s="13">
        <f>IF('Données projet'!$A$62&gt;35,AI31+AH32-AQ31,IF(A32&lt;'Données projet'!$A$62,$AF$205^A32,IF(A32='Données projet'!$A$62,'Données projet'!$B$62,AI31+AH32-AQ31)))</f>
        <v>241.61000000000007</v>
      </c>
      <c r="AJ32" s="13">
        <f>AI32*VLOOKUP('Données projet'!$B$10,Paramètres!$A$1:$I$89,3,0)*VLOOKUP('Données projet'!$B$10,Paramètres!$A$1:$I$89,5,0)</f>
        <v>144.48278000000005</v>
      </c>
      <c r="AK32" s="13">
        <f t="shared" si="35"/>
        <v>37.322056105193219</v>
      </c>
      <c r="AL32" s="20">
        <f t="shared" si="4"/>
        <v>316.6434228832116</v>
      </c>
      <c r="AM32" s="59">
        <f t="shared" si="5"/>
        <v>608.75453399432274</v>
      </c>
      <c r="AN32" s="59">
        <f ca="1">AVERAGE(OFFSET($AM$3,0,0,'Données projet'!$E$10+1,1))-AVERAGE(OFFSET($H$3,0,0,'Données projet'!$E$10+1,1))</f>
        <v>300.80663531652721</v>
      </c>
      <c r="AO32" s="59">
        <f t="shared" si="36"/>
        <v>306.01967513533549</v>
      </c>
      <c r="AP32" s="15">
        <f>IF(ISNA(VLOOKUP(A32,'Données projet'!$A$61:$I$81,3,0)),0,VLOOKUP(A32,'Données projet'!$A$61:$I$81,3,0))</f>
        <v>3</v>
      </c>
      <c r="AQ32" s="15">
        <f>IF(ISNA(VLOOKUP(A32,'Données projet'!$A$61:$I$81,4,0)),0,VLOOKUP(A32,'Données projet'!$A$61:$I$81,4,0))</f>
        <v>54.64</v>
      </c>
      <c r="AR32" s="16">
        <f>IF(ISNA(VLOOKUP(A32,'Données projet'!$A$61:$I$81,5,0)),0%,VLOOKUP(A32,'Données projet'!$A$61:$I$81,5,0)*VLOOKUP('Données projet'!$B$10,Paramètres!$A$1:$I$89,7,0))</f>
        <v>4.5000000000000005E-2</v>
      </c>
      <c r="AS32" s="16">
        <f>IF(ISNA(VLOOKUP(A32,'Données projet'!$A$61:$I$81,6,0)),0%,VLOOKUP(A32,'Données projet'!$A$61:$I$81,6,0)*VLOOKUP('Données projet'!$B$10,Paramètres!$A$1:$I$89,7,0))</f>
        <v>0.36000000000000004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3.7811112867125427</v>
      </c>
      <c r="AV32" s="21">
        <f>EXP(-LN(2)/25)*AV31+(1-EXP(-LN(2)/25))/(LN(2)/25)*Calculateur!AQ32*Calculateur!AS32*VLOOKUP('Données projet'!$B$10,Paramètres!$A$1:$I$89,3,0)*0.475*44/12</f>
        <v>39.843953246524457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43.625064533237001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144</v>
      </c>
      <c r="L33" s="12">
        <f>VLOOKUP(A33,'Données projet'!$A$35:$I$55,9,0)</f>
        <v>10</v>
      </c>
      <c r="M33" s="12">
        <f t="array" ref="M33">INDEX(L:L,MIN(IF(ISNUMBER(L33:L229),ROW(L33:L229),"")))</f>
        <v>10</v>
      </c>
      <c r="N33" s="13">
        <f>IF('Données projet'!$A$36&gt;35,N32+M33-V32,IF(A33&lt;'Données projet'!$A$36,$K$205^A33,IF(A33='Données projet'!$A$36,'Données projet'!$B$36,N32+M33-V32)))</f>
        <v>144.00000000000003</v>
      </c>
      <c r="O33" s="13">
        <f>N33*VLOOKUP('Données projet'!$B$9,Paramètres!$A$1:$I$89,3,0)*VLOOKUP('Données projet'!$B$9,Paramètres!$A$1:$I$89,5,0)</f>
        <v>125.79840000000004</v>
      </c>
      <c r="P33" s="13">
        <f t="shared" si="33"/>
        <v>33.023644363399953</v>
      </c>
      <c r="Q33" s="20">
        <f t="shared" si="2"/>
        <v>276.61506059958828</v>
      </c>
      <c r="R33" s="59">
        <f t="shared" si="0"/>
        <v>569.94839393292159</v>
      </c>
      <c r="S33" s="59">
        <f ca="1">AVERAGE(OFFSET($R$3,0,0,'Données projet'!$E$9+1,1))-AVERAGE(OFFSET($H$3,0,0,'Données projet'!$E$9+1,1))</f>
        <v>298.478198405424</v>
      </c>
      <c r="T33" s="59">
        <f t="shared" si="34"/>
        <v>313.2817272662549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31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0.215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17.008271885487957</v>
      </c>
      <c r="AB33" s="21">
        <f>EXP(-LN(2)/2)*AB32+(1-EXP(-LN(2)/2))/(LN(2)/2)*V33*Y33*VLOOKUP('Données projet'!$B$9,Paramètres!$A$1:$I$89,3,0)*0.475*44/12</f>
        <v>0</v>
      </c>
      <c r="AC33" s="22">
        <f t="shared" si="3"/>
        <v>17.008271885487957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17.737142857142853</v>
      </c>
      <c r="AI33" s="13">
        <f>IF('Données projet'!$A$62&gt;35,AI32+AH33-AQ32,IF(A33&lt;'Données projet'!$A$62,$AF$205^A33,IF(A33='Données projet'!$A$62,'Données projet'!$B$62,AI32+AH33-AQ32)))</f>
        <v>204.70714285714291</v>
      </c>
      <c r="AJ33" s="13">
        <f>AI33*VLOOKUP('Données projet'!$B$10,Paramètres!$A$1:$I$89,3,0)*VLOOKUP('Données projet'!$B$10,Paramètres!$A$1:$I$89,5,0)</f>
        <v>122.41487142857147</v>
      </c>
      <c r="AK33" s="13">
        <f t="shared" si="35"/>
        <v>32.237573625209684</v>
      </c>
      <c r="AL33" s="20">
        <f t="shared" si="4"/>
        <v>269.35300846866886</v>
      </c>
      <c r="AM33" s="59">
        <f t="shared" si="5"/>
        <v>562.68634180200218</v>
      </c>
      <c r="AN33" s="59">
        <f ca="1">AVERAGE(OFFSET($AM$3,0,0,'Données projet'!$E$10+1,1))-AVERAGE(OFFSET($H$3,0,0,'Données projet'!$E$10+1,1))</f>
        <v>300.80663531652721</v>
      </c>
      <c r="AO33" s="59">
        <f t="shared" si="36"/>
        <v>306.01967513533549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3.7069660006302714</v>
      </c>
      <c r="AV33" s="21">
        <f>EXP(-LN(2)/25)*AV32+(1-EXP(-LN(2)/25))/(LN(2)/25)*Calculateur!AQ33*Calculateur!AS33*VLOOKUP('Données projet'!$B$10,Paramètres!$A$1:$I$89,3,0)*0.475*44/12</f>
        <v>38.75441824969581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42.461384250326084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9.1999999999999993</v>
      </c>
      <c r="N34" s="13">
        <f>IF('Données projet'!$A$36&gt;35,N33+M34-V33,IF(A34&lt;'Données projet'!$A$36,$K$205^A34,IF(A34='Données projet'!$A$36,'Données projet'!$B$36,N33+M34-V33)))</f>
        <v>122.20000000000002</v>
      </c>
      <c r="O34" s="13">
        <f>N34*VLOOKUP('Données projet'!$B$9,Paramètres!$A$1:$I$89,3,0)*VLOOKUP('Données projet'!$B$9,Paramètres!$A$1:$I$89,5,0)</f>
        <v>106.75392000000002</v>
      </c>
      <c r="P34" s="13">
        <f t="shared" si="33"/>
        <v>28.564854626856</v>
      </c>
      <c r="Q34" s="20">
        <f t="shared" si="2"/>
        <v>235.68019914177424</v>
      </c>
      <c r="R34" s="59">
        <f t="shared" si="0"/>
        <v>529.01353247510758</v>
      </c>
      <c r="S34" s="59">
        <f ca="1">AVERAGE(OFFSET($R$3,0,0,'Données projet'!$E$9+1,1))-AVERAGE(OFFSET($H$3,0,0,'Données projet'!$E$9+1,1))</f>
        <v>298.478198405424</v>
      </c>
      <c r="T34" s="59">
        <f t="shared" si="34"/>
        <v>313.2817272662549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16.543179796353144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16.543179796353144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17.737142857142853</v>
      </c>
      <c r="AI34" s="13">
        <f>IF('Données projet'!$A$62&gt;35,AI33+AH34-AQ33,IF(A34&lt;'Données projet'!$A$62,$AF$205^A34,IF(A34='Données projet'!$A$62,'Données projet'!$B$62,AI33+AH34-AQ33)))</f>
        <v>222.44428571428577</v>
      </c>
      <c r="AJ34" s="13">
        <f>AI34*VLOOKUP('Données projet'!$B$10,Paramètres!$A$1:$I$89,3,0)*VLOOKUP('Données projet'!$B$10,Paramètres!$A$1:$I$89,5,0)</f>
        <v>133.02168285714291</v>
      </c>
      <c r="AK34" s="13">
        <f t="shared" si="35"/>
        <v>34.693645048951552</v>
      </c>
      <c r="AL34" s="20">
        <f t="shared" si="4"/>
        <v>292.10419610311448</v>
      </c>
      <c r="AM34" s="59">
        <f t="shared" si="5"/>
        <v>585.43752943644779</v>
      </c>
      <c r="AN34" s="59">
        <f ca="1">AVERAGE(OFFSET($AM$3,0,0,'Données projet'!$E$10+1,1))-AVERAGE(OFFSET($H$3,0,0,'Données projet'!$E$10+1,1))</f>
        <v>300.80663531652721</v>
      </c>
      <c r="AO34" s="59">
        <f t="shared" si="36"/>
        <v>306.01967513533549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3.6342746583839145</v>
      </c>
      <c r="AV34" s="21">
        <f>EXP(-LN(2)/25)*AV33+(1-EXP(-LN(2)/25))/(LN(2)/25)*Calculateur!AQ34*Calculateur!AS34*VLOOKUP('Données projet'!$B$10,Paramètres!$A$1:$I$89,3,0)*0.475*44/12</f>
        <v>37.694676644651594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41.32895130303551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9.1999999999999993</v>
      </c>
      <c r="N35" s="13">
        <f>IF('Données projet'!$A$36&gt;35,N34+M35-V34,IF(A35&lt;'Données projet'!$A$36,$K$205^A35,IF(A35='Données projet'!$A$36,'Données projet'!$B$36,N34+M35-V34)))</f>
        <v>131.4</v>
      </c>
      <c r="O35" s="13">
        <f>N35*VLOOKUP('Données projet'!$B$9,Paramètres!$A$1:$I$89,3,0)*VLOOKUP('Données projet'!$B$9,Paramètres!$A$1:$I$89,5,0)</f>
        <v>114.79104000000001</v>
      </c>
      <c r="P35" s="13">
        <f t="shared" si="33"/>
        <v>30.456974896543485</v>
      </c>
      <c r="Q35" s="20">
        <f t="shared" ref="Q35:Q66" si="53">(O35+P35)*0.475*44/12</f>
        <v>252.97362594481328</v>
      </c>
      <c r="R35" s="59">
        <f t="shared" si="0"/>
        <v>546.30695927814656</v>
      </c>
      <c r="S35" s="59">
        <f ca="1">AVERAGE(OFFSET($R$3,0,0,'Données projet'!$E$9+1,1))-AVERAGE(OFFSET($H$3,0,0,'Données projet'!$E$9+1,1))</f>
        <v>298.478198405424</v>
      </c>
      <c r="T35" s="59">
        <f t="shared" si="34"/>
        <v>313.2817272662549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16.090805674853851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16.090805674853851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17.737142857142853</v>
      </c>
      <c r="AI35" s="13">
        <f>IF('Données projet'!$A$62&gt;35,AI34+AH35-AQ34,IF(A35&lt;'Données projet'!$A$62,$AF$205^A35,IF(A35='Données projet'!$A$62,'Données projet'!$B$62,AI34+AH35-AQ34)))</f>
        <v>240.18142857142863</v>
      </c>
      <c r="AJ35" s="13">
        <f>AI35*VLOOKUP('Données projet'!$B$10,Paramètres!$A$1:$I$89,3,0)*VLOOKUP('Données projet'!$B$10,Paramètres!$A$1:$I$89,5,0)</f>
        <v>143.62849428571434</v>
      </c>
      <c r="AK35" s="13">
        <f t="shared" si="35"/>
        <v>37.127000660847131</v>
      </c>
      <c r="AL35" s="20">
        <f t="shared" si="4"/>
        <v>314.81582036526123</v>
      </c>
      <c r="AM35" s="59">
        <f t="shared" si="5"/>
        <v>608.14915369859455</v>
      </c>
      <c r="AN35" s="59">
        <f ca="1">AVERAGE(OFFSET($AM$3,0,0,'Données projet'!$E$10+1,1))-AVERAGE(OFFSET($H$3,0,0,'Données projet'!$E$10+1,1))</f>
        <v>300.80663531652721</v>
      </c>
      <c r="AO35" s="59">
        <f t="shared" si="36"/>
        <v>306.01967513533549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3.5630087490216678</v>
      </c>
      <c r="AV35" s="21">
        <f>EXP(-LN(2)/25)*AV34+(1-EXP(-LN(2)/25))/(LN(2)/25)*Calculateur!AQ35*Calculateur!AS35*VLOOKUP('Données projet'!$B$10,Paramètres!$A$1:$I$89,3,0)*0.475*44/12</f>
        <v>36.663913729526705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40.226922478548374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9.1999999999999993</v>
      </c>
      <c r="N36" s="13">
        <f>IF('Données projet'!$A$36&gt;35,N35+M36-V35,IF(A36&lt;'Données projet'!$A$36,$K$205^A36,IF(A36='Données projet'!$A$36,'Données projet'!$B$36,N35+M36-V35)))</f>
        <v>140.6</v>
      </c>
      <c r="O36" s="13">
        <f>N36*VLOOKUP('Données projet'!$B$9,Paramètres!$A$1:$I$89,3,0)*VLOOKUP('Données projet'!$B$9,Paramètres!$A$1:$I$89,5,0)</f>
        <v>122.82816000000001</v>
      </c>
      <c r="P36" s="13">
        <f t="shared" si="33"/>
        <v>32.333724232859048</v>
      </c>
      <c r="Q36" s="20">
        <f t="shared" si="53"/>
        <v>270.24028170556284</v>
      </c>
      <c r="R36" s="59">
        <f t="shared" si="0"/>
        <v>563.57361503889615</v>
      </c>
      <c r="S36" s="59">
        <f ca="1">AVERAGE(OFFSET($R$3,0,0,'Données projet'!$E$9+1,1))-AVERAGE(OFFSET($H$3,0,0,'Données projet'!$E$9+1,1))</f>
        <v>298.478198405424</v>
      </c>
      <c r="T36" s="59">
        <f t="shared" si="34"/>
        <v>313.2817272662549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15.650801747496278</v>
      </c>
      <c r="AB36" s="21">
        <f>EXP(-LN(2)/2)*AB35+(1-EXP(-LN(2)/2))/(LN(2)/2)*V36*Y36*VLOOKUP('Données projet'!$B$9,Paramètres!$A$1:$I$89,3,0)*0.475*44/12</f>
        <v>0</v>
      </c>
      <c r="AC36" s="22">
        <f t="shared" si="3"/>
        <v>15.650801747496278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17.737142857142853</v>
      </c>
      <c r="AI36" s="13">
        <f>IF('Données projet'!$A$62&gt;35,AI35+AH36-AQ35,IF(A36&lt;'Données projet'!$A$62,$AF$205^A36,IF(A36='Données projet'!$A$62,'Données projet'!$B$62,AI35+AH36-AQ35)))</f>
        <v>257.91857142857145</v>
      </c>
      <c r="AJ36" s="13">
        <f>AI36*VLOOKUP('Données projet'!$B$10,Paramètres!$A$1:$I$89,3,0)*VLOOKUP('Données projet'!$B$10,Paramètres!$A$1:$I$89,5,0)</f>
        <v>154.23530571428574</v>
      </c>
      <c r="AK36" s="13">
        <f t="shared" si="35"/>
        <v>39.539508761330566</v>
      </c>
      <c r="AL36" s="20">
        <f t="shared" si="4"/>
        <v>337.49113521169841</v>
      </c>
      <c r="AM36" s="59">
        <f t="shared" si="5"/>
        <v>630.82446854503178</v>
      </c>
      <c r="AN36" s="59">
        <f ca="1">AVERAGE(OFFSET($AM$3,0,0,'Données projet'!$E$10+1,1))-AVERAGE(OFFSET($H$3,0,0,'Données projet'!$E$10+1,1))</f>
        <v>300.80663531652721</v>
      </c>
      <c r="AO36" s="59">
        <f t="shared" si="36"/>
        <v>306.01967513533549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3.4931403206741019</v>
      </c>
      <c r="AV36" s="21">
        <f>EXP(-LN(2)/25)*AV35+(1-EXP(-LN(2)/25))/(LN(2)/25)*Calculateur!AQ36*Calculateur!AS36*VLOOKUP('Données projet'!$B$10,Paramètres!$A$1:$I$89,3,0)*0.475*44/12</f>
        <v>35.661337080521371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39.154477401195471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9.1999999999999993</v>
      </c>
      <c r="N37" s="13">
        <f>IF('Données projet'!$A$36&gt;35,N36+M37-V36,IF(A37&lt;'Données projet'!$A$36,$K$205^A37,IF(A37='Données projet'!$A$36,'Données projet'!$B$36,N36+M37-V36)))</f>
        <v>149.79999999999998</v>
      </c>
      <c r="O37" s="13">
        <f>N37*VLOOKUP('Données projet'!$B$9,Paramètres!$A$1:$I$89,3,0)*VLOOKUP('Données projet'!$B$9,Paramètres!$A$1:$I$89,5,0)</f>
        <v>130.86528000000001</v>
      </c>
      <c r="P37" s="13">
        <f t="shared" si="33"/>
        <v>34.19622287336729</v>
      </c>
      <c r="Q37" s="20">
        <f t="shared" si="53"/>
        <v>287.48211750444801</v>
      </c>
      <c r="R37" s="59">
        <f t="shared" si="0"/>
        <v>580.81545083778133</v>
      </c>
      <c r="S37" s="59">
        <f ca="1">AVERAGE(OFFSET($R$3,0,0,'Données projet'!$E$9+1,1))-AVERAGE(OFFSET($H$3,0,0,'Données projet'!$E$9+1,1))</f>
        <v>298.478198405424</v>
      </c>
      <c r="T37" s="59">
        <f t="shared" si="34"/>
        <v>313.2817272662549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15.222829750671098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15.222829750671098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17.737142857142853</v>
      </c>
      <c r="AI37" s="13">
        <f>IF('Données projet'!$A$62&gt;35,AI36+AH37-AQ36,IF(A37&lt;'Données projet'!$A$62,$AF$205^A37,IF(A37='Données projet'!$A$62,'Données projet'!$B$62,AI36+AH37-AQ36)))</f>
        <v>275.65571428571428</v>
      </c>
      <c r="AJ37" s="13">
        <f>AI37*VLOOKUP('Données projet'!$B$10,Paramètres!$A$1:$I$89,3,0)*VLOOKUP('Données projet'!$B$10,Paramètres!$A$1:$I$89,5,0)</f>
        <v>164.84211714285715</v>
      </c>
      <c r="AK37" s="13">
        <f t="shared" si="35"/>
        <v>41.932766136496305</v>
      </c>
      <c r="AL37" s="20">
        <f t="shared" si="4"/>
        <v>360.13292171154058</v>
      </c>
      <c r="AM37" s="59">
        <f t="shared" si="5"/>
        <v>653.46625504487383</v>
      </c>
      <c r="AN37" s="59">
        <f ca="1">AVERAGE(OFFSET($AM$3,0,0,'Données projet'!$E$10+1,1))-AVERAGE(OFFSET($H$3,0,0,'Données projet'!$E$10+1,1))</f>
        <v>300.80663531652721</v>
      </c>
      <c r="AO37" s="59">
        <f t="shared" si="36"/>
        <v>306.01967513533549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3.4246419695908985</v>
      </c>
      <c r="AV37" s="21">
        <f>EXP(-LN(2)/25)*AV36+(1-EXP(-LN(2)/25))/(LN(2)/25)*Calculateur!AQ37*Calculateur!AS37*VLOOKUP('Données projet'!$B$10,Paramètres!$A$1:$I$89,3,0)*0.475*44/12</f>
        <v>34.686175942706299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38.1108179122972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159</v>
      </c>
      <c r="L38" s="12">
        <f>VLOOKUP(A38,'Données projet'!$A$35:$I$55,9,0)</f>
        <v>9.1999999999999993</v>
      </c>
      <c r="M38" s="12">
        <f t="array" ref="M38">INDEX(L:L,MIN(IF(ISNUMBER(L38:L234),ROW(L38:L234),"")))</f>
        <v>9.1999999999999993</v>
      </c>
      <c r="N38" s="13">
        <f>IF('Données projet'!$A$36&gt;35,N37+M38-V37,IF(A38&lt;'Données projet'!$A$36,$K$205^A38,IF(A38='Données projet'!$A$36,'Données projet'!$B$36,N37+M38-V37)))</f>
        <v>158.99999999999997</v>
      </c>
      <c r="O38" s="13">
        <f>N38*VLOOKUP('Données projet'!$B$9,Paramètres!$A$1:$I$89,3,0)*VLOOKUP('Données projet'!$B$9,Paramètres!$A$1:$I$89,5,0)</f>
        <v>138.9024</v>
      </c>
      <c r="P38" s="13">
        <f t="shared" si="33"/>
        <v>36.045445680666425</v>
      </c>
      <c r="Q38" s="20">
        <f t="shared" si="53"/>
        <v>304.70083122716068</v>
      </c>
      <c r="R38" s="59">
        <f t="shared" si="0"/>
        <v>598.03416456049399</v>
      </c>
      <c r="S38" s="59">
        <f ca="1">AVERAGE(OFFSET($R$3,0,0,'Données projet'!$E$9+1,1))-AVERAGE(OFFSET($H$3,0,0,'Données projet'!$E$9+1,1))</f>
        <v>298.478198405424</v>
      </c>
      <c r="T38" s="59">
        <f t="shared" si="34"/>
        <v>313.2817272662549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30</v>
      </c>
      <c r="W38" s="16">
        <f>IF(ISNA(VLOOKUP(A38,'Données projet'!$A$35:$I$55,5,0)),0%,VLOOKUP(A38,'Données projet'!$A$35:$I$55,5,0)*VLOOKUP('Données projet'!$B$9,Paramètres!$A$1:$I$89,7,0))</f>
        <v>0.25800000000000001</v>
      </c>
      <c r="X38" s="16">
        <f>IF(ISNA(VLOOKUP(A38,'Données projet'!$A$35:$I$55,6,0)),0%,VLOOKUP(A38,'Données projet'!$A$35:$I$55,6,0)*VLOOKUP('Données projet'!$B$9,Paramètres!$A$1:$I$89,7,0))</f>
        <v>8.6000000000000007E-2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7.4748192683542856</v>
      </c>
      <c r="AA38" s="21">
        <f>EXP(-LN(2)/25)*AA37+(1-EXP(-LN(2)/25))/(LN(2)/25)*Calculateur!V38*Calculateur!X38*VLOOKUP('Données projet'!$B$9,Paramètres!$A$1:$I$89,3,0)*0.475*44/12</f>
        <v>17.288356689526953</v>
      </c>
      <c r="AB38" s="21">
        <f>EXP(-LN(2)/2)*AB37+(1-EXP(-LN(2)/2))/(LN(2)/2)*V38*Y38*VLOOKUP('Données projet'!$B$9,Paramètres!$A$1:$I$89,3,0)*0.475*44/12</f>
        <v>0</v>
      </c>
      <c r="AC38" s="22">
        <f t="shared" si="3"/>
        <v>24.763175957881238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17.737142857142853</v>
      </c>
      <c r="AI38" s="13">
        <f>IF('Données projet'!$A$62&gt;35,AI37+AH38-AQ37,IF(A38&lt;'Données projet'!$A$62,$AF$205^A38,IF(A38='Données projet'!$A$62,'Données projet'!$B$62,AI37+AH38-AQ37)))</f>
        <v>293.39285714285711</v>
      </c>
      <c r="AJ38" s="13">
        <f>AI38*VLOOKUP('Données projet'!$B$10,Paramètres!$A$1:$I$89,3,0)*VLOOKUP('Données projet'!$B$10,Paramètres!$A$1:$I$89,5,0)</f>
        <v>175.44892857142858</v>
      </c>
      <c r="AK38" s="13">
        <f t="shared" si="35"/>
        <v>44.308152462369684</v>
      </c>
      <c r="AL38" s="20">
        <f t="shared" si="4"/>
        <v>382.7435828005319</v>
      </c>
      <c r="AM38" s="59">
        <f t="shared" si="5"/>
        <v>676.07691613386521</v>
      </c>
      <c r="AN38" s="59">
        <f ca="1">AVERAGE(OFFSET($AM$3,0,0,'Données projet'!$E$10+1,1))-AVERAGE(OFFSET($H$3,0,0,'Données projet'!$E$10+1,1))</f>
        <v>300.80663531652721</v>
      </c>
      <c r="AO38" s="59">
        <f t="shared" si="36"/>
        <v>306.01967513533549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3.3574868293925682</v>
      </c>
      <c r="AV38" s="21">
        <f>EXP(-LN(2)/25)*AV37+(1-EXP(-LN(2)/25))/(LN(2)/25)*Calculateur!AQ38*Calculateur!AS38*VLOOKUP('Données projet'!$B$10,Paramètres!$A$1:$I$89,3,0)*0.475*44/12</f>
        <v>33.737680637486278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37.095167466878848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8.1999999999999993</v>
      </c>
      <c r="N39" s="13">
        <f>IF('Données projet'!$A$36&gt;35,N38+M39-V38,IF(A39&lt;'Données projet'!$A$36,$K$205^A39,IF(A39='Données projet'!$A$36,'Données projet'!$B$36,N38+M39-V38)))</f>
        <v>137.19999999999996</v>
      </c>
      <c r="O39" s="13">
        <f>N39*VLOOKUP('Données projet'!$B$9,Paramètres!$A$1:$I$89,3,0)*VLOOKUP('Données projet'!$B$9,Paramètres!$A$1:$I$89,5,0)</f>
        <v>119.85791999999998</v>
      </c>
      <c r="P39" s="13">
        <f t="shared" si="33"/>
        <v>31.641859182846893</v>
      </c>
      <c r="Q39" s="20">
        <f t="shared" si="53"/>
        <v>263.86211541012494</v>
      </c>
      <c r="R39" s="59">
        <f t="shared" si="0"/>
        <v>557.1954487434582</v>
      </c>
      <c r="S39" s="59">
        <f ca="1">AVERAGE(OFFSET($R$3,0,0,'Données projet'!$E$9+1,1))-AVERAGE(OFFSET($H$3,0,0,'Données projet'!$E$9+1,1))</f>
        <v>298.478198405424</v>
      </c>
      <c r="T39" s="59">
        <f t="shared" si="34"/>
        <v>313.2817272662549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7.3282426216914294</v>
      </c>
      <c r="AA39" s="21">
        <f>EXP(-LN(2)/25)*AA38+(1-EXP(-LN(2)/25))/(LN(2)/25)*Calculateur!V39*Calculateur!X39*VLOOKUP('Données projet'!$B$9,Paramètres!$A$1:$I$89,3,0)*0.475*44/12</f>
        <v>16.815605666696673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24.143848288388103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311.13</v>
      </c>
      <c r="AG39" s="12">
        <f>VLOOKUP(A39,'Données projet'!$A$61:$I$81,9,0)</f>
        <v>17.737142857142853</v>
      </c>
      <c r="AH39" s="12">
        <f t="array" ref="AH39">INDEX(AG:AG,MIN(IF(ISNUMBER(AG39:AG235),ROW(AG39:AG235),"")))</f>
        <v>17.737142857142853</v>
      </c>
      <c r="AI39" s="13">
        <f>IF('Données projet'!$A$62&gt;35,AI38+AH39-AQ38,IF(A39&lt;'Données projet'!$A$62,$AF$205^A39,IF(A39='Données projet'!$A$62,'Données projet'!$B$62,AI38+AH39-AQ38)))</f>
        <v>311.12999999999994</v>
      </c>
      <c r="AJ39" s="13">
        <f>AI39*VLOOKUP('Données projet'!$B$10,Paramètres!$A$1:$I$89,3,0)*VLOOKUP('Données projet'!$B$10,Paramètres!$A$1:$I$89,5,0)</f>
        <v>186.05573999999996</v>
      </c>
      <c r="AK39" s="13">
        <f t="shared" si="35"/>
        <v>46.66687117215772</v>
      </c>
      <c r="AL39" s="20">
        <f t="shared" si="4"/>
        <v>405.32521445817457</v>
      </c>
      <c r="AM39" s="59">
        <f t="shared" si="5"/>
        <v>698.65854779150789</v>
      </c>
      <c r="AN39" s="59">
        <f ca="1">AVERAGE(OFFSET($AM$3,0,0,'Données projet'!$E$10+1,1))-AVERAGE(OFFSET($H$3,0,0,'Données projet'!$E$10+1,1))</f>
        <v>300.80663531652721</v>
      </c>
      <c r="AO39" s="59">
        <f t="shared" si="36"/>
        <v>306.01967513533549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76.069999999999993</v>
      </c>
      <c r="AR39" s="16">
        <f>IF(ISNA(VLOOKUP(A39,'Données projet'!$A$61:$I$81,5,0)),0%,VLOOKUP(A39,'Données projet'!$A$61:$I$81,5,0)*VLOOKUP('Données projet'!$B$10,Paramètres!$A$1:$I$89,7,0))</f>
        <v>0.13500000000000001</v>
      </c>
      <c r="AS39" s="16">
        <f>IF(ISNA(VLOOKUP(A39,'Données projet'!$A$61:$I$81,6,0)),0%,VLOOKUP(A39,'Données projet'!$A$61:$I$81,6,0)*VLOOKUP('Données projet'!$B$10,Paramètres!$A$1:$I$89,7,0))</f>
        <v>0.22500000000000001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11.438254793987262</v>
      </c>
      <c r="AV39" s="21">
        <f>EXP(-LN(2)/25)*AV38+(1-EXP(-LN(2)/25))/(LN(2)/25)*Calculateur!AQ39*Calculateur!AS39*VLOOKUP('Données projet'!$B$10,Paramètres!$A$1:$I$89,3,0)*0.475*44/12</f>
        <v>46.339338553954832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57.777593347942094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8.1999999999999993</v>
      </c>
      <c r="N40" s="13">
        <f>IF('Données projet'!$A$36&gt;35,N39+M40-V39,IF(A40&lt;'Données projet'!$A$36,$K$205^A40,IF(A40='Données projet'!$A$36,'Données projet'!$B$36,N39+M40-V39)))</f>
        <v>145.39999999999995</v>
      </c>
      <c r="O40" s="13">
        <f>N40*VLOOKUP('Données projet'!$B$9,Paramètres!$A$1:$I$89,3,0)*VLOOKUP('Données projet'!$B$9,Paramètres!$A$1:$I$89,5,0)</f>
        <v>127.02143999999997</v>
      </c>
      <c r="P40" s="13">
        <f t="shared" si="33"/>
        <v>33.307175870664402</v>
      </c>
      <c r="Q40" s="20">
        <f t="shared" si="53"/>
        <v>279.23900597474045</v>
      </c>
      <c r="R40" s="59">
        <f t="shared" si="0"/>
        <v>572.57233930807377</v>
      </c>
      <c r="S40" s="59">
        <f ca="1">AVERAGE(OFFSET($R$3,0,0,'Données projet'!$E$9+1,1))-AVERAGE(OFFSET($H$3,0,0,'Données projet'!$E$9+1,1))</f>
        <v>298.478198405424</v>
      </c>
      <c r="T40" s="59">
        <f t="shared" si="34"/>
        <v>313.2817272662549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7.1845402536667047</v>
      </c>
      <c r="AA40" s="21">
        <f>EXP(-LN(2)/25)*AA39+(1-EXP(-LN(2)/25))/(LN(2)/25)*Calculateur!V40*Calculateur!X40*VLOOKUP('Données projet'!$B$9,Paramètres!$A$1:$I$89,3,0)*0.475*44/12</f>
        <v>16.355782045446581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23.540322299113285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16.536250000000003</v>
      </c>
      <c r="AI40" s="13">
        <f>IF('Données projet'!$A$62&gt;35,AI39+AH40-AQ39,IF(A40&lt;'Données projet'!$A$62,$AF$205^A40,IF(A40='Données projet'!$A$62,'Données projet'!$B$62,AI39+AH40-AQ39)))</f>
        <v>251.59624999999994</v>
      </c>
      <c r="AJ40" s="13">
        <f>AI40*VLOOKUP('Données projet'!$B$10,Paramètres!$A$1:$I$89,3,0)*VLOOKUP('Données projet'!$B$10,Paramètres!$A$1:$I$89,5,0)</f>
        <v>150.45455749999999</v>
      </c>
      <c r="AK40" s="13">
        <f t="shared" si="35"/>
        <v>38.681867245543785</v>
      </c>
      <c r="AL40" s="20">
        <f t="shared" si="4"/>
        <v>329.4126064318221</v>
      </c>
      <c r="AM40" s="59">
        <f t="shared" si="5"/>
        <v>622.74593976515541</v>
      </c>
      <c r="AN40" s="59">
        <f ca="1">AVERAGE(OFFSET($AM$3,0,0,'Données projet'!$E$10+1,1))-AVERAGE(OFFSET($H$3,0,0,'Données projet'!$E$10+1,1))</f>
        <v>300.80663531652721</v>
      </c>
      <c r="AO40" s="59">
        <f t="shared" si="36"/>
        <v>306.01967513533549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11.213957594123709</v>
      </c>
      <c r="AV40" s="21">
        <f>EXP(-LN(2)/25)*AV39+(1-EXP(-LN(2)/25))/(LN(2)/25)*Calculateur!AQ40*Calculateur!AS40*VLOOKUP('Données projet'!$B$10,Paramètres!$A$1:$I$89,3,0)*0.475*44/12</f>
        <v>45.072186904317036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56.286144498440748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8.1999999999999993</v>
      </c>
      <c r="N41" s="13">
        <f>IF('Données projet'!$A$36&gt;35,N40+M41-V40,IF(A41&lt;'Données projet'!$A$36,$K$205^A41,IF(A41='Données projet'!$A$36,'Données projet'!$B$36,N40+M41-V40)))</f>
        <v>153.59999999999994</v>
      </c>
      <c r="O41" s="13">
        <f>N41*VLOOKUP('Données projet'!$B$9,Paramètres!$A$1:$I$89,3,0)*VLOOKUP('Données projet'!$B$9,Paramètres!$A$1:$I$89,5,0)</f>
        <v>134.18495999999996</v>
      </c>
      <c r="P41" s="13">
        <f t="shared" si="33"/>
        <v>34.96159027064818</v>
      </c>
      <c r="Q41" s="20">
        <f t="shared" si="53"/>
        <v>294.59690838804551</v>
      </c>
      <c r="R41" s="59">
        <f t="shared" si="0"/>
        <v>587.93024172137882</v>
      </c>
      <c r="S41" s="59">
        <f ca="1">AVERAGE(OFFSET($R$3,0,0,'Données projet'!$E$9+1,1))-AVERAGE(OFFSET($H$3,0,0,'Données projet'!$E$9+1,1))</f>
        <v>298.478198405424</v>
      </c>
      <c r="T41" s="59">
        <f t="shared" si="34"/>
        <v>313.2817272662549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7.0436558014291553</v>
      </c>
      <c r="AA41" s="21">
        <f>EXP(-LN(2)/25)*AA40+(1-EXP(-LN(2)/25))/(LN(2)/25)*Calculateur!V41*Calculateur!X41*VLOOKUP('Données projet'!$B$9,Paramètres!$A$1:$I$89,3,0)*0.475*44/12</f>
        <v>15.908532325300648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22.952188126729801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16.536250000000003</v>
      </c>
      <c r="AI41" s="13">
        <f>IF('Données projet'!$A$62&gt;35,AI40+AH41-AQ40,IF(A41&lt;'Données projet'!$A$62,$AF$205^A41,IF(A41='Données projet'!$A$62,'Données projet'!$B$62,AI40+AH41-AQ40)))</f>
        <v>268.13249999999994</v>
      </c>
      <c r="AJ41" s="13">
        <f>AI41*VLOOKUP('Données projet'!$B$10,Paramètres!$A$1:$I$89,3,0)*VLOOKUP('Données projet'!$B$10,Paramètres!$A$1:$I$89,5,0)</f>
        <v>160.34323499999996</v>
      </c>
      <c r="AK41" s="13">
        <f t="shared" si="35"/>
        <v>40.919923361013716</v>
      </c>
      <c r="AL41" s="20">
        <f t="shared" si="4"/>
        <v>350.53333414543209</v>
      </c>
      <c r="AM41" s="59">
        <f t="shared" si="5"/>
        <v>643.86666747876541</v>
      </c>
      <c r="AN41" s="59">
        <f ca="1">AVERAGE(OFFSET($AM$3,0,0,'Données projet'!$E$10+1,1))-AVERAGE(OFFSET($H$3,0,0,'Données projet'!$E$10+1,1))</f>
        <v>300.80663531652721</v>
      </c>
      <c r="AO41" s="59">
        <f t="shared" si="36"/>
        <v>306.01967513533549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10.994058725541697</v>
      </c>
      <c r="AV41" s="21">
        <f>EXP(-LN(2)/25)*AV40+(1-EXP(-LN(2)/25))/(LN(2)/25)*Calculateur!AQ41*Calculateur!AS41*VLOOKUP('Données projet'!$B$10,Paramètres!$A$1:$I$89,3,0)*0.475*44/12</f>
        <v>43.839685583175189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54.833744308716888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8.1999999999999993</v>
      </c>
      <c r="N42" s="13">
        <f>IF('Données projet'!$A$36&gt;35,N41+M42-V41,IF(A42&lt;'Données projet'!$A$36,$K$205^A42,IF(A42='Données projet'!$A$36,'Données projet'!$B$36,N41+M42-V41)))</f>
        <v>161.79999999999993</v>
      </c>
      <c r="O42" s="13">
        <f>N42*VLOOKUP('Données projet'!$B$9,Paramètres!$A$1:$I$89,3,0)*VLOOKUP('Données projet'!$B$9,Paramètres!$A$1:$I$89,5,0)</f>
        <v>141.34847999999994</v>
      </c>
      <c r="P42" s="13">
        <f t="shared" si="33"/>
        <v>36.605750770707807</v>
      </c>
      <c r="Q42" s="20">
        <f t="shared" si="53"/>
        <v>309.93695192564934</v>
      </c>
      <c r="R42" s="59">
        <f t="shared" si="0"/>
        <v>603.27028525898265</v>
      </c>
      <c r="S42" s="59">
        <f ca="1">AVERAGE(OFFSET($R$3,0,0,'Données projet'!$E$9+1,1))-AVERAGE(OFFSET($H$3,0,0,'Données projet'!$E$9+1,1))</f>
        <v>298.478198405424</v>
      </c>
      <c r="T42" s="59">
        <f t="shared" si="34"/>
        <v>313.2817272662549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6.9055340073689537</v>
      </c>
      <c r="AA42" s="21">
        <f>EXP(-LN(2)/25)*AA41+(1-EXP(-LN(2)/25))/(LN(2)/25)*Calculateur!V42*Calculateur!X42*VLOOKUP('Données projet'!$B$9,Paramètres!$A$1:$I$89,3,0)*0.475*44/12</f>
        <v>15.473512672271946</v>
      </c>
      <c r="AB42" s="21">
        <f>EXP(-LN(2)/2)*AB41+(1-EXP(-LN(2)/2))/(LN(2)/2)*V42*Y42*VLOOKUP('Données projet'!$B$9,Paramètres!$A$1:$I$89,3,0)*0.475*44/12</f>
        <v>0</v>
      </c>
      <c r="AC42" s="22">
        <f t="shared" si="3"/>
        <v>22.379046679640901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16.536250000000003</v>
      </c>
      <c r="AI42" s="13">
        <f>IF('Données projet'!$A$62&gt;35,AI41+AH42-AQ41,IF(A42&lt;'Données projet'!$A$62,$AF$205^A42,IF(A42='Données projet'!$A$62,'Données projet'!$B$62,AI41+AH42-AQ41)))</f>
        <v>284.66874999999993</v>
      </c>
      <c r="AJ42" s="13">
        <f>AI42*VLOOKUP('Données projet'!$B$10,Paramètres!$A$1:$I$89,3,0)*VLOOKUP('Données projet'!$B$10,Paramètres!$A$1:$I$89,5,0)</f>
        <v>170.23191249999999</v>
      </c>
      <c r="AK42" s="13">
        <f t="shared" si="35"/>
        <v>43.141960148805921</v>
      </c>
      <c r="AL42" s="20">
        <f t="shared" si="4"/>
        <v>371.62616153000363</v>
      </c>
      <c r="AM42" s="59">
        <f t="shared" si="5"/>
        <v>664.95949486333689</v>
      </c>
      <c r="AN42" s="59">
        <f ca="1">AVERAGE(OFFSET($AM$3,0,0,'Données projet'!$E$10+1,1))-AVERAGE(OFFSET($H$3,0,0,'Données projet'!$E$10+1,1))</f>
        <v>300.80663531652721</v>
      </c>
      <c r="AO42" s="59">
        <f t="shared" si="36"/>
        <v>306.01967513533549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10.778471939647513</v>
      </c>
      <c r="AV42" s="21">
        <f>EXP(-LN(2)/25)*AV41+(1-EXP(-LN(2)/25))/(LN(2)/25)*Calculateur!AQ42*Calculateur!AS42*VLOOKUP('Données projet'!$B$10,Paramètres!$A$1:$I$89,3,0)*0.475*44/12</f>
        <v>42.640887075474396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53.419359015121913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170</v>
      </c>
      <c r="L43" s="12">
        <f>VLOOKUP(A43,'Données projet'!$A$35:$I$55,9,0)</f>
        <v>8.1999999999999993</v>
      </c>
      <c r="M43" s="12">
        <f t="array" ref="M43">INDEX(L:L,MIN(IF(ISNUMBER(L43:L239),ROW(L43:L239),"")))</f>
        <v>8.1999999999999993</v>
      </c>
      <c r="N43" s="13">
        <f>IF('Données projet'!$A$36&gt;35,N42+M43-V42,IF(A43&lt;'Données projet'!$A$36,$K$205^A43,IF(A43='Données projet'!$A$36,'Données projet'!$B$36,N42+M43-V42)))</f>
        <v>169.99999999999991</v>
      </c>
      <c r="O43" s="13">
        <f>N43*VLOOKUP('Données projet'!$B$9,Paramètres!$A$1:$I$89,3,0)*VLOOKUP('Données projet'!$B$9,Paramètres!$A$1:$I$89,5,0)</f>
        <v>148.51199999999994</v>
      </c>
      <c r="P43" s="13">
        <f t="shared" si="33"/>
        <v>38.240236326053513</v>
      </c>
      <c r="Q43" s="20">
        <f t="shared" si="53"/>
        <v>325.26014493454312</v>
      </c>
      <c r="R43" s="59">
        <f t="shared" si="0"/>
        <v>618.59347826787643</v>
      </c>
      <c r="S43" s="59">
        <f ca="1">AVERAGE(OFFSET($R$3,0,0,'Données projet'!$E$9+1,1))-AVERAGE(OFFSET($H$3,0,0,'Données projet'!$E$9+1,1))</f>
        <v>298.478198405424</v>
      </c>
      <c r="T43" s="59">
        <f t="shared" si="34"/>
        <v>313.2817272662549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28</v>
      </c>
      <c r="W43" s="16">
        <f>IF(ISNA(VLOOKUP(A43,'Données projet'!$A$35:$I$55,5,0)),0%,VLOOKUP(A43,'Données projet'!$A$35:$I$55,5,0)*VLOOKUP('Données projet'!$B$9,Paramètres!$A$1:$I$89,7,0))</f>
        <v>0.25800000000000001</v>
      </c>
      <c r="X43" s="16">
        <f>IF(ISNA(VLOOKUP(A43,'Données projet'!$A$35:$I$55,6,0)),0%,VLOOKUP(A43,'Données projet'!$A$35:$I$55,6,0)*VLOOKUP('Données projet'!$B$9,Paramètres!$A$1:$I$89,7,0))</f>
        <v>8.6000000000000007E-2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13.74661868124163</v>
      </c>
      <c r="AA43" s="21">
        <f>EXP(-LN(2)/25)*AA42+(1-EXP(-LN(2)/25))/(LN(2)/25)*Calculateur!V43*Calculateur!X43*VLOOKUP('Données projet'!$B$9,Paramètres!$A$1:$I$89,3,0)*0.475*44/12</f>
        <v>17.366731605525665</v>
      </c>
      <c r="AB43" s="21">
        <f>EXP(-LN(2)/2)*AB42+(1-EXP(-LN(2)/2))/(LN(2)/2)*V43*Y43*VLOOKUP('Données projet'!$B$9,Paramètres!$A$1:$I$89,3,0)*0.475*44/12</f>
        <v>0</v>
      </c>
      <c r="AC43" s="22">
        <f t="shared" si="3"/>
        <v>31.113350286767293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16.536250000000003</v>
      </c>
      <c r="AI43" s="13">
        <f>IF('Données projet'!$A$62&gt;35,AI42+AH43-AQ42,IF(A43&lt;'Données projet'!$A$62,$AF$205^A43,IF(A43='Données projet'!$A$62,'Données projet'!$B$62,AI42+AH43-AQ42)))</f>
        <v>301.20499999999993</v>
      </c>
      <c r="AJ43" s="13">
        <f>AI43*VLOOKUP('Données projet'!$B$10,Paramètres!$A$1:$I$89,3,0)*VLOOKUP('Données projet'!$B$10,Paramètres!$A$1:$I$89,5,0)</f>
        <v>180.12058999999999</v>
      </c>
      <c r="AK43" s="13">
        <f t="shared" si="35"/>
        <v>45.349014174000445</v>
      </c>
      <c r="AL43" s="20">
        <f t="shared" si="4"/>
        <v>392.69289393638411</v>
      </c>
      <c r="AM43" s="59">
        <f t="shared" si="5"/>
        <v>686.02622726971742</v>
      </c>
      <c r="AN43" s="59">
        <f ca="1">AVERAGE(OFFSET($AM$3,0,0,'Données projet'!$E$10+1,1))-AVERAGE(OFFSET($H$3,0,0,'Données projet'!$E$10+1,1))</f>
        <v>300.80663531652721</v>
      </c>
      <c r="AO43" s="59">
        <f t="shared" si="36"/>
        <v>306.01967513533549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10.567112679129758</v>
      </c>
      <c r="AV43" s="21">
        <f>EXP(-LN(2)/25)*AV42+(1-EXP(-LN(2)/25))/(LN(2)/25)*Calculateur!AQ43*Calculateur!AS43*VLOOKUP('Données projet'!$B$10,Paramètres!$A$1:$I$89,3,0)*0.475*44/12</f>
        <v>41.474869776008752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52.041982455138509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7.6</v>
      </c>
      <c r="N44" s="13">
        <f>IF('Données projet'!$A$36&gt;35,N43+M44-V43,IF(A44&lt;'Données projet'!$A$36,$K$205^A44,IF(A44='Données projet'!$A$36,'Données projet'!$B$36,N43+M44-V43)))</f>
        <v>149.59999999999991</v>
      </c>
      <c r="O44" s="13">
        <f>N44*VLOOKUP('Données projet'!$B$9,Paramètres!$A$1:$I$89,3,0)*VLOOKUP('Données projet'!$B$9,Paramètres!$A$1:$I$89,5,0)</f>
        <v>130.69055999999992</v>
      </c>
      <c r="P44" s="13">
        <f t="shared" si="33"/>
        <v>34.155878238422694</v>
      </c>
      <c r="Q44" s="20">
        <f t="shared" si="53"/>
        <v>287.107546598586</v>
      </c>
      <c r="R44" s="59">
        <f t="shared" si="0"/>
        <v>580.44087993191931</v>
      </c>
      <c r="S44" s="59">
        <f ca="1">AVERAGE(OFFSET($R$3,0,0,'Données projet'!$E$9+1,1))-AVERAGE(OFFSET($H$3,0,0,'Données projet'!$E$9+1,1))</f>
        <v>298.478198405424</v>
      </c>
      <c r="T44" s="59">
        <f t="shared" si="34"/>
        <v>313.2817272662549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13.477055873511965</v>
      </c>
      <c r="AA44" s="21">
        <f>EXP(-LN(2)/25)*AA43+(1-EXP(-LN(2)/25))/(LN(2)/25)*Calculateur!V44*Calculateur!X44*VLOOKUP('Données projet'!$B$9,Paramètres!$A$1:$I$89,3,0)*0.475*44/12</f>
        <v>16.891837416495843</v>
      </c>
      <c r="AB44" s="21">
        <f>EXP(-LN(2)/2)*AB43+(1-EXP(-LN(2)/2))/(LN(2)/2)*V44*Y44*VLOOKUP('Données projet'!$B$9,Paramètres!$A$1:$I$89,3,0)*0.475*44/12</f>
        <v>0</v>
      </c>
      <c r="AC44" s="22">
        <f t="shared" si="3"/>
        <v>30.368893290007808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16.536250000000003</v>
      </c>
      <c r="AI44" s="13">
        <f>IF('Données projet'!$A$62&gt;35,AI43+AH44-AQ43,IF(A44&lt;'Données projet'!$A$62,$AF$205^A44,IF(A44='Données projet'!$A$62,'Données projet'!$B$62,AI43+AH44-AQ43)))</f>
        <v>317.74124999999992</v>
      </c>
      <c r="AJ44" s="13">
        <f>AI44*VLOOKUP('Données projet'!$B$10,Paramètres!$A$1:$I$89,3,0)*VLOOKUP('Données projet'!$B$10,Paramètres!$A$1:$I$89,5,0)</f>
        <v>190.00926749999999</v>
      </c>
      <c r="AK44" s="13">
        <f t="shared" si="35"/>
        <v>47.542001758079778</v>
      </c>
      <c r="AL44" s="20">
        <f t="shared" si="4"/>
        <v>413.73512729115561</v>
      </c>
      <c r="AM44" s="59">
        <f t="shared" si="5"/>
        <v>707.06846062448892</v>
      </c>
      <c r="AN44" s="59">
        <f ca="1">AVERAGE(OFFSET($AM$3,0,0,'Données projet'!$E$10+1,1))-AVERAGE(OFFSET($H$3,0,0,'Données projet'!$E$10+1,1))</f>
        <v>300.80663531652721</v>
      </c>
      <c r="AO44" s="59">
        <f t="shared" si="36"/>
        <v>306.01967513533549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10.359898044794338</v>
      </c>
      <c r="AV44" s="21">
        <f>EXP(-LN(2)/25)*AV43+(1-EXP(-LN(2)/25))/(LN(2)/25)*Calculateur!AQ44*Calculateur!AS44*VLOOKUP('Données projet'!$B$10,Paramètres!$A$1:$I$89,3,0)*0.475*44/12</f>
        <v>40.340737280915185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50.700635325709527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7.6</v>
      </c>
      <c r="N45" s="13">
        <f>IF('Données projet'!$A$36&gt;35,N44+M45-V44,IF(A45&lt;'Données projet'!$A$36,$K$205^A45,IF(A45='Données projet'!$A$36,'Données projet'!$B$36,N44+M45-V44)))</f>
        <v>157.1999999999999</v>
      </c>
      <c r="O45" s="13">
        <f>N45*VLOOKUP('Données projet'!$B$9,Paramètres!$A$1:$I$89,3,0)*VLOOKUP('Données projet'!$B$9,Paramètres!$A$1:$I$89,5,0)</f>
        <v>137.32991999999993</v>
      </c>
      <c r="P45" s="13">
        <f t="shared" si="33"/>
        <v>35.684643836992151</v>
      </c>
      <c r="Q45" s="20">
        <f t="shared" si="53"/>
        <v>301.33369868276117</v>
      </c>
      <c r="R45" s="59">
        <f t="shared" si="0"/>
        <v>594.66703201609448</v>
      </c>
      <c r="S45" s="59">
        <f ca="1">AVERAGE(OFFSET($R$3,0,0,'Données projet'!$E$9+1,1))-AVERAGE(OFFSET($H$3,0,0,'Données projet'!$E$9+1,1))</f>
        <v>298.478198405424</v>
      </c>
      <c r="T45" s="59">
        <f t="shared" si="34"/>
        <v>313.2817272662549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13.212779028024801</v>
      </c>
      <c r="AA45" s="21">
        <f>EXP(-LN(2)/25)*AA44+(1-EXP(-LN(2)/25))/(LN(2)/25)*Calculateur!V45*Calculateur!X45*VLOOKUP('Données projet'!$B$9,Paramètres!$A$1:$I$89,3,0)*0.475*44/12</f>
        <v>16.429929234038642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29.642708262063444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16.536250000000003</v>
      </c>
      <c r="AI45" s="13">
        <f>IF('Données projet'!$A$62&gt;35,AI44+AH45-AQ44,IF(A45&lt;'Données projet'!$A$62,$AF$205^A45,IF(A45='Données projet'!$A$62,'Données projet'!$B$62,AI44+AH45-AQ44)))</f>
        <v>334.27749999999992</v>
      </c>
      <c r="AJ45" s="13">
        <f>AI45*VLOOKUP('Données projet'!$B$10,Paramètres!$A$1:$I$89,3,0)*VLOOKUP('Données projet'!$B$10,Paramètres!$A$1:$I$89,5,0)</f>
        <v>199.89794499999996</v>
      </c>
      <c r="AK45" s="13">
        <f t="shared" si="35"/>
        <v>49.721738459069584</v>
      </c>
      <c r="AL45" s="20">
        <f t="shared" si="4"/>
        <v>434.75428202454617</v>
      </c>
      <c r="AM45" s="59">
        <f t="shared" si="5"/>
        <v>728.08761535787949</v>
      </c>
      <c r="AN45" s="59">
        <f ca="1">AVERAGE(OFFSET($AM$3,0,0,'Données projet'!$E$10+1,1))-AVERAGE(OFFSET($H$3,0,0,'Données projet'!$E$10+1,1))</f>
        <v>300.80663531652721</v>
      </c>
      <c r="AO45" s="59">
        <f t="shared" si="36"/>
        <v>306.01967513533549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10.156746763049787</v>
      </c>
      <c r="AV45" s="21">
        <f>EXP(-LN(2)/25)*AV44+(1-EXP(-LN(2)/25))/(LN(2)/25)*Calculateur!AQ45*Calculateur!AS45*VLOOKUP('Données projet'!$B$10,Paramètres!$A$1:$I$89,3,0)*0.475*44/12</f>
        <v>39.237617698541385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49.394364461591174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7.6</v>
      </c>
      <c r="N46" s="13">
        <f>IF('Données projet'!$A$36&gt;35,N45+M46-V45,IF(A46&lt;'Données projet'!$A$36,$K$205^A46,IF(A46='Données projet'!$A$36,'Données projet'!$B$36,N45+M46-V45)))</f>
        <v>164.7999999999999</v>
      </c>
      <c r="O46" s="13">
        <f>N46*VLOOKUP('Données projet'!$B$9,Paramètres!$A$1:$I$89,3,0)*VLOOKUP('Données projet'!$B$9,Paramètres!$A$1:$I$89,5,0)</f>
        <v>143.96927999999994</v>
      </c>
      <c r="P46" s="13">
        <f t="shared" si="33"/>
        <v>37.20482696787677</v>
      </c>
      <c r="Q46" s="20">
        <f t="shared" si="53"/>
        <v>315.54490296905192</v>
      </c>
      <c r="R46" s="59">
        <f t="shared" si="0"/>
        <v>608.87823630238518</v>
      </c>
      <c r="S46" s="59">
        <f ca="1">AVERAGE(OFFSET($R$3,0,0,'Données projet'!$E$9+1,1))-AVERAGE(OFFSET($H$3,0,0,'Données projet'!$E$9+1,1))</f>
        <v>298.478198405424</v>
      </c>
      <c r="T46" s="59">
        <f t="shared" si="34"/>
        <v>313.2817272662549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12.953684490284681</v>
      </c>
      <c r="AA46" s="21">
        <f>EXP(-LN(2)/25)*AA45+(1-EXP(-LN(2)/25))/(LN(2)/25)*Calculateur!V46*Calculateur!X46*VLOOKUP('Données projet'!$B$9,Paramètres!$A$1:$I$89,3,0)*0.475*44/12</f>
        <v>15.980651955121429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28.93433644540611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16.536250000000003</v>
      </c>
      <c r="AI46" s="13">
        <f>IF('Données projet'!$A$62&gt;35,AI45+AH46-AQ45,IF(A46&lt;'Données projet'!$A$62,$AF$205^A46,IF(A46='Données projet'!$A$62,'Données projet'!$B$62,AI45+AH46-AQ45)))</f>
        <v>350.81374999999991</v>
      </c>
      <c r="AJ46" s="13">
        <f>AI46*VLOOKUP('Données projet'!$B$10,Paramètres!$A$1:$I$89,3,0)*VLOOKUP('Données projet'!$B$10,Paramètres!$A$1:$I$89,5,0)</f>
        <v>209.78662249999996</v>
      </c>
      <c r="AK46" s="13">
        <f t="shared" si="35"/>
        <v>51.888954587591464</v>
      </c>
      <c r="AL46" s="20">
        <f t="shared" si="4"/>
        <v>455.75163009422175</v>
      </c>
      <c r="AM46" s="59">
        <f t="shared" si="5"/>
        <v>749.08496342755507</v>
      </c>
      <c r="AN46" s="59">
        <f ca="1">AVERAGE(OFFSET($AM$3,0,0,'Données projet'!$E$10+1,1))-AVERAGE(OFFSET($H$3,0,0,'Données projet'!$E$10+1,1))</f>
        <v>300.80663531652721</v>
      </c>
      <c r="AO46" s="59">
        <f t="shared" si="36"/>
        <v>306.01967513533549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9.957579154030201</v>
      </c>
      <c r="AV46" s="21">
        <f>EXP(-LN(2)/25)*AV45+(1-EXP(-LN(2)/25))/(LN(2)/25)*Calculateur!AQ46*Calculateur!AS46*VLOOKUP('Données projet'!$B$10,Paramètres!$A$1:$I$89,3,0)*0.475*44/12</f>
        <v>38.164662979158138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48.122242133188337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7.6</v>
      </c>
      <c r="N47" s="13">
        <f>IF('Données projet'!$A$36&gt;35,N46+M47-V46,IF(A47&lt;'Données projet'!$A$36,$K$205^A47,IF(A47='Données projet'!$A$36,'Données projet'!$B$36,N46+M47-V46)))</f>
        <v>172.39999999999989</v>
      </c>
      <c r="O47" s="13">
        <f>N47*VLOOKUP('Données projet'!$B$9,Paramètres!$A$1:$I$89,3,0)*VLOOKUP('Données projet'!$B$9,Paramètres!$A$1:$I$89,5,0)</f>
        <v>150.60863999999992</v>
      </c>
      <c r="P47" s="13">
        <f t="shared" si="33"/>
        <v>38.716868630535259</v>
      </c>
      <c r="Q47" s="20">
        <f t="shared" si="53"/>
        <v>329.74192753151544</v>
      </c>
      <c r="R47" s="59">
        <f t="shared" si="0"/>
        <v>623.07526086484881</v>
      </c>
      <c r="S47" s="59">
        <f ca="1">AVERAGE(OFFSET($R$3,0,0,'Données projet'!$E$9+1,1))-AVERAGE(OFFSET($H$3,0,0,'Données projet'!$E$9+1,1))</f>
        <v>298.478198405424</v>
      </c>
      <c r="T47" s="59">
        <f t="shared" si="34"/>
        <v>313.2817272662549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12.699670638397581</v>
      </c>
      <c r="AA47" s="21">
        <f>EXP(-LN(2)/25)*AA46+(1-EXP(-LN(2)/25))/(LN(2)/25)*Calculateur!V47*Calculateur!X47*VLOOKUP('Données projet'!$B$9,Paramètres!$A$1:$I$89,3,0)*0.475*44/12</f>
        <v>15.543660187022672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28.243330825420252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367.35</v>
      </c>
      <c r="AG47" s="12">
        <f>VLOOKUP(A47,'Données projet'!$A$61:$I$81,9,0)</f>
        <v>16.536250000000003</v>
      </c>
      <c r="AH47" s="12">
        <f t="array" ref="AH47">INDEX(AG:AG,MIN(IF(ISNUMBER(AG47:AG243),ROW(AG47:AG243),"")))</f>
        <v>16.536250000000003</v>
      </c>
      <c r="AI47" s="13">
        <f>IF('Données projet'!$A$62&gt;35,AI46+AH47-AQ46,IF(A47&lt;'Données projet'!$A$62,$AF$205^A47,IF(A47='Données projet'!$A$62,'Données projet'!$B$62,AI46+AH47-AQ46)))</f>
        <v>367.34999999999991</v>
      </c>
      <c r="AJ47" s="13">
        <f>AI47*VLOOKUP('Données projet'!$B$10,Paramètres!$A$1:$I$89,3,0)*VLOOKUP('Données projet'!$B$10,Paramètres!$A$1:$I$89,5,0)</f>
        <v>219.67529999999996</v>
      </c>
      <c r="AK47" s="13">
        <f t="shared" si="35"/>
        <v>54.044307714561441</v>
      </c>
      <c r="AL47" s="20">
        <f t="shared" si="4"/>
        <v>476.72831676952774</v>
      </c>
      <c r="AM47" s="59">
        <f t="shared" si="5"/>
        <v>770.06165010286099</v>
      </c>
      <c r="AN47" s="59">
        <f ca="1">AVERAGE(OFFSET($AM$3,0,0,'Données projet'!$E$10+1,1))-AVERAGE(OFFSET($H$3,0,0,'Données projet'!$E$10+1,1))</f>
        <v>300.80663531652721</v>
      </c>
      <c r="AO47" s="59">
        <f t="shared" si="36"/>
        <v>306.01967513533549</v>
      </c>
      <c r="AP47" s="15">
        <f>IF(ISNA(VLOOKUP(A47,'Données projet'!$A$61:$I$81,3,0)),0,VLOOKUP(A47,'Données projet'!$A$61:$I$81,3,0))</f>
        <v>5</v>
      </c>
      <c r="AQ47" s="15">
        <f>IF(ISNA(VLOOKUP(A47,'Données projet'!$A$61:$I$81,4,0)),0,VLOOKUP(A47,'Données projet'!$A$61:$I$81,4,0))</f>
        <v>77.91</v>
      </c>
      <c r="AR47" s="16">
        <f>IF(ISNA(VLOOKUP(A47,'Données projet'!$A$61:$I$81,5,0)),0%,VLOOKUP(A47,'Données projet'!$A$61:$I$81,5,0)*VLOOKUP('Données projet'!$B$10,Paramètres!$A$1:$I$89,7,0))</f>
        <v>0.13500000000000001</v>
      </c>
      <c r="AS47" s="16">
        <f>IF(ISNA(VLOOKUP(A47,'Données projet'!$A$61:$I$81,6,0)),0%,VLOOKUP(A47,'Données projet'!$A$61:$I$81,6,0)*VLOOKUP('Données projet'!$B$10,Paramètres!$A$1:$I$89,7,0))</f>
        <v>0.22500000000000001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18.105975463014815</v>
      </c>
      <c r="AV47" s="21">
        <f>EXP(-LN(2)/25)*AV46+(1-EXP(-LN(2)/25))/(LN(2)/25)*Calculateur!AQ47*Calculateur!AS47*VLOOKUP('Données projet'!$B$10,Paramètres!$A$1:$I$89,3,0)*0.475*44/12</f>
        <v>50.972391930525085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69.078367393539907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180</v>
      </c>
      <c r="L48" s="12">
        <f>VLOOKUP(A48,'Données projet'!$A$35:$I$55,9,0)</f>
        <v>7.6</v>
      </c>
      <c r="M48" s="12">
        <f t="array" ref="M48">INDEX(L:L,MIN(IF(ISNUMBER(L48:L244),ROW(L48:L244),"")))</f>
        <v>7.6</v>
      </c>
      <c r="N48" s="13">
        <f>IF('Données projet'!$A$36&gt;35,N47+M48-V47,IF(A48&lt;'Données projet'!$A$36,$K$205^A48,IF(A48='Données projet'!$A$36,'Données projet'!$B$36,N47+M48-V47)))</f>
        <v>179.99999999999989</v>
      </c>
      <c r="O48" s="13">
        <f>N48*VLOOKUP('Données projet'!$B$9,Paramètres!$A$1:$I$89,3,0)*VLOOKUP('Données projet'!$B$9,Paramètres!$A$1:$I$89,5,0)</f>
        <v>157.24799999999991</v>
      </c>
      <c r="P48" s="13">
        <f t="shared" si="33"/>
        <v>40.22116874434861</v>
      </c>
      <c r="Q48" s="20">
        <f t="shared" si="53"/>
        <v>343.92546889640698</v>
      </c>
      <c r="R48" s="59">
        <f t="shared" si="0"/>
        <v>637.25880222974024</v>
      </c>
      <c r="S48" s="59">
        <f ca="1">AVERAGE(OFFSET($R$3,0,0,'Données projet'!$E$9+1,1))-AVERAGE(OFFSET($H$3,0,0,'Données projet'!$E$9+1,1))</f>
        <v>298.478198405424</v>
      </c>
      <c r="T48" s="59">
        <f t="shared" si="34"/>
        <v>313.2817272662549</v>
      </c>
      <c r="U48" s="15">
        <f>IF(ISNA(VLOOKUP(A48,'Données projet'!$A$35:$I$55,3,0)),0,VLOOKUP(A48,'Données projet'!$A$35:$I$55,3,0))</f>
        <v>6</v>
      </c>
      <c r="V48" s="15">
        <f>IF(ISNA(VLOOKUP(A48,'Données projet'!$A$35:$I$55,4,0)),0,VLOOKUP(A48,'Données projet'!$A$35:$I$55,4,0))</f>
        <v>26</v>
      </c>
      <c r="W48" s="16">
        <f>IF(ISNA(VLOOKUP(A48,'Données projet'!$A$35:$I$55,5,0)),0%,VLOOKUP(A48,'Données projet'!$A$35:$I$55,5,0)*VLOOKUP('Données projet'!$B$9,Paramètres!$A$1:$I$89,7,0))</f>
        <v>0.25800000000000001</v>
      </c>
      <c r="X48" s="16">
        <f>IF(ISNA(VLOOKUP(A48,'Données projet'!$A$35:$I$55,6,0)),0%,VLOOKUP(A48,'Données projet'!$A$35:$I$55,6,0)*VLOOKUP('Données projet'!$B$9,Paramètres!$A$1:$I$89,7,0))</f>
        <v>0.129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18.928814542453217</v>
      </c>
      <c r="AA48" s="21">
        <f>EXP(-LN(2)/25)*AA47+(1-EXP(-LN(2)/25))/(LN(2)/25)*Calculateur!V48*Calculateur!X48*VLOOKUP('Données projet'!$B$9,Paramètres!$A$1:$I$89,3,0)*0.475*44/12</f>
        <v>18.344952806401288</v>
      </c>
      <c r="AB48" s="21">
        <f>EXP(-LN(2)/2)*AB47+(1-EXP(-LN(2)/2))/(LN(2)/2)*V48*Y48*VLOOKUP('Données projet'!$B$9,Paramètres!$A$1:$I$89,3,0)*0.475*44/12</f>
        <v>0</v>
      </c>
      <c r="AC48" s="22">
        <f t="shared" si="3"/>
        <v>37.273767348854506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14.64374999999999</v>
      </c>
      <c r="AI48" s="13">
        <f>IF('Données projet'!$A$62&gt;35,AI47+AH48-AQ47,IF(A48&lt;'Données projet'!$A$62,$AF$205^A48,IF(A48='Données projet'!$A$62,'Données projet'!$B$62,AI47+AH48-AQ47)))</f>
        <v>304.0837499999999</v>
      </c>
      <c r="AJ48" s="13">
        <f>AI48*VLOOKUP('Données projet'!$B$10,Paramètres!$A$1:$I$89,3,0)*VLOOKUP('Données projet'!$B$10,Paramètres!$A$1:$I$89,5,0)</f>
        <v>181.84208249999998</v>
      </c>
      <c r="AK48" s="13">
        <f t="shared" si="35"/>
        <v>45.731772411922861</v>
      </c>
      <c r="AL48" s="20">
        <f t="shared" si="4"/>
        <v>396.35779730493226</v>
      </c>
      <c r="AM48" s="59">
        <f t="shared" si="5"/>
        <v>689.69113063826558</v>
      </c>
      <c r="AN48" s="59">
        <f ca="1">AVERAGE(OFFSET($AM$3,0,0,'Données projet'!$E$10+1,1))-AVERAGE(OFFSET($H$3,0,0,'Données projet'!$E$10+1,1))</f>
        <v>300.80663531652721</v>
      </c>
      <c r="AO48" s="59">
        <f t="shared" si="36"/>
        <v>306.01967513533549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17.750928327739665</v>
      </c>
      <c r="AV48" s="21">
        <f>EXP(-LN(2)/25)*AV47+(1-EXP(-LN(2)/25))/(LN(2)/25)*Calculateur!AQ48*Calculateur!AS48*VLOOKUP('Données projet'!$B$10,Paramètres!$A$1:$I$89,3,0)*0.475*44/12</f>
        <v>49.578549192663282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67.329477520402946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</v>
      </c>
      <c r="N49" s="13">
        <f>IF('Données projet'!$A$36&gt;35,N48+M49-V48,IF(A49&lt;'Données projet'!$A$36,$K$205^A49,IF(A49='Données projet'!$A$36,'Données projet'!$B$36,N48+M49-V48)))</f>
        <v>160.7999999999999</v>
      </c>
      <c r="O49" s="13">
        <f>N49*VLOOKUP('Données projet'!$B$9,Paramètres!$A$1:$I$89,3,0)*VLOOKUP('Données projet'!$B$9,Paramètres!$A$1:$I$89,5,0)</f>
        <v>140.47487999999993</v>
      </c>
      <c r="P49" s="13">
        <f t="shared" si="33"/>
        <v>36.405772385199683</v>
      </c>
      <c r="Q49" s="20">
        <f t="shared" si="53"/>
        <v>308.06713623755593</v>
      </c>
      <c r="R49" s="59">
        <f t="shared" si="0"/>
        <v>601.4004695708893</v>
      </c>
      <c r="S49" s="59">
        <f ca="1">AVERAGE(OFFSET($R$3,0,0,'Données projet'!$E$9+1,1))-AVERAGE(OFFSET($H$3,0,0,'Données projet'!$E$9+1,1))</f>
        <v>298.478198405424</v>
      </c>
      <c r="T49" s="59">
        <f t="shared" si="34"/>
        <v>313.2817272662549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18.557632034712565</v>
      </c>
      <c r="AA49" s="21">
        <f>EXP(-LN(2)/25)*AA48+(1-EXP(-LN(2)/25))/(LN(2)/25)*Calculateur!V49*Calculateur!X49*VLOOKUP('Données projet'!$B$9,Paramètres!$A$1:$I$89,3,0)*0.475*44/12</f>
        <v>17.843309107191104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36.400941141903672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14.64374999999999</v>
      </c>
      <c r="AI49" s="13">
        <f>IF('Données projet'!$A$62&gt;35,AI48+AH49-AQ48,IF(A49&lt;'Données projet'!$A$62,$AF$205^A49,IF(A49='Données projet'!$A$62,'Données projet'!$B$62,AI48+AH49-AQ48)))</f>
        <v>318.72749999999991</v>
      </c>
      <c r="AJ49" s="13">
        <f>AI49*VLOOKUP('Données projet'!$B$10,Paramètres!$A$1:$I$89,3,0)*VLOOKUP('Données projet'!$B$10,Paramètres!$A$1:$I$89,5,0)</f>
        <v>190.59904499999996</v>
      </c>
      <c r="AK49" s="13">
        <f t="shared" si="35"/>
        <v>47.672368921426973</v>
      </c>
      <c r="AL49" s="20">
        <f t="shared" si="4"/>
        <v>414.98937924648521</v>
      </c>
      <c r="AM49" s="59">
        <f t="shared" si="5"/>
        <v>708.32271257981847</v>
      </c>
      <c r="AN49" s="59">
        <f ca="1">AVERAGE(OFFSET($AM$3,0,0,'Données projet'!$E$10+1,1))-AVERAGE(OFFSET($H$3,0,0,'Données projet'!$E$10+1,1))</f>
        <v>300.80663531652721</v>
      </c>
      <c r="AO49" s="59">
        <f t="shared" si="36"/>
        <v>306.01967513533549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17.402843450229891</v>
      </c>
      <c r="AV49" s="21">
        <f>EXP(-LN(2)/25)*AV48+(1-EXP(-LN(2)/25))/(LN(2)/25)*Calculateur!AQ49*Calculateur!AS49*VLOOKUP('Données projet'!$B$10,Paramètres!$A$1:$I$89,3,0)*0.475*44/12</f>
        <v>48.222821157767314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65.625664607997209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</v>
      </c>
      <c r="N50" s="13">
        <f>IF('Données projet'!$A$36&gt;35,N49+M50-V49,IF(A50&lt;'Données projet'!$A$36,$K$205^A50,IF(A50='Données projet'!$A$36,'Données projet'!$B$36,N49+M50-V49)))</f>
        <v>167.59999999999991</v>
      </c>
      <c r="O50" s="13">
        <f>N50*VLOOKUP('Données projet'!$B$9,Paramètres!$A$1:$I$89,3,0)*VLOOKUP('Données projet'!$B$9,Paramètres!$A$1:$I$89,5,0)</f>
        <v>146.41535999999994</v>
      </c>
      <c r="P50" s="13">
        <f t="shared" si="33"/>
        <v>37.762820103024438</v>
      </c>
      <c r="Q50" s="20">
        <f t="shared" si="53"/>
        <v>320.77699701276748</v>
      </c>
      <c r="R50" s="59">
        <f t="shared" si="0"/>
        <v>614.1103303461008</v>
      </c>
      <c r="S50" s="59">
        <f ca="1">AVERAGE(OFFSET($R$3,0,0,'Données projet'!$E$9+1,1))-AVERAGE(OFFSET($H$3,0,0,'Données projet'!$E$9+1,1))</f>
        <v>298.478198405424</v>
      </c>
      <c r="T50" s="59">
        <f t="shared" si="34"/>
        <v>313.2817272662549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18.193728189549731</v>
      </c>
      <c r="AA50" s="21">
        <f>EXP(-LN(2)/25)*AA49+(1-EXP(-LN(2)/25))/(LN(2)/25)*Calculateur!V50*Calculateur!X50*VLOOKUP('Données projet'!$B$9,Paramètres!$A$1:$I$89,3,0)*0.475*44/12</f>
        <v>17.355382881316118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35.549111070865848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14.64374999999999</v>
      </c>
      <c r="AI50" s="13">
        <f>IF('Données projet'!$A$62&gt;35,AI49+AH50-AQ49,IF(A50&lt;'Données projet'!$A$62,$AF$205^A50,IF(A50='Données projet'!$A$62,'Données projet'!$B$62,AI49+AH50-AQ49)))</f>
        <v>333.37124999999992</v>
      </c>
      <c r="AJ50" s="13">
        <f>AI50*VLOOKUP('Données projet'!$B$10,Paramètres!$A$1:$I$89,3,0)*VLOOKUP('Données projet'!$B$10,Paramètres!$A$1:$I$89,5,0)</f>
        <v>199.35600749999998</v>
      </c>
      <c r="AK50" s="13">
        <f t="shared" si="35"/>
        <v>49.602611110771242</v>
      </c>
      <c r="AL50" s="20">
        <f t="shared" si="4"/>
        <v>433.6029274137598</v>
      </c>
      <c r="AM50" s="59">
        <f t="shared" si="5"/>
        <v>726.93626074709312</v>
      </c>
      <c r="AN50" s="59">
        <f ca="1">AVERAGE(OFFSET($AM$3,0,0,'Données projet'!$E$10+1,1))-AVERAGE(OFFSET($H$3,0,0,'Données projet'!$E$10+1,1))</f>
        <v>300.80663531652721</v>
      </c>
      <c r="AO50" s="59">
        <f t="shared" si="36"/>
        <v>306.01967513533549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17.061584304857274</v>
      </c>
      <c r="AV50" s="21">
        <f>EXP(-LN(2)/25)*AV49+(1-EXP(-LN(2)/25))/(LN(2)/25)*Calculateur!AQ50*Calculateur!AS50*VLOOKUP('Données projet'!$B$10,Paramètres!$A$1:$I$89,3,0)*0.475*44/12</f>
        <v>46.904165577280217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63.965749882137487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</v>
      </c>
      <c r="N51" s="13">
        <f>IF('Données projet'!$A$36&gt;35,N50+M51-V50,IF(A51&lt;'Données projet'!$A$36,$K$205^A51,IF(A51='Données projet'!$A$36,'Données projet'!$B$36,N50+M51-V50)))</f>
        <v>174.39999999999992</v>
      </c>
      <c r="O51" s="13">
        <f>N51*VLOOKUP('Données projet'!$B$9,Paramètres!$A$1:$I$89,3,0)*VLOOKUP('Données projet'!$B$9,Paramètres!$A$1:$I$89,5,0)</f>
        <v>152.35583999999994</v>
      </c>
      <c r="P51" s="13">
        <f t="shared" si="33"/>
        <v>39.113472184767602</v>
      </c>
      <c r="Q51" s="20">
        <f t="shared" si="53"/>
        <v>333.4757187218035</v>
      </c>
      <c r="R51" s="59">
        <f t="shared" si="0"/>
        <v>626.80905205513682</v>
      </c>
      <c r="S51" s="59">
        <f ca="1">AVERAGE(OFFSET($R$3,0,0,'Données projet'!$E$9+1,1))-AVERAGE(OFFSET($H$3,0,0,'Données projet'!$E$9+1,1))</f>
        <v>298.478198405424</v>
      </c>
      <c r="T51" s="59">
        <f t="shared" si="34"/>
        <v>313.2817272662549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17.83696027683111</v>
      </c>
      <c r="AA51" s="21">
        <f>EXP(-LN(2)/25)*AA50+(1-EXP(-LN(2)/25))/(LN(2)/25)*Calculateur!V51*Calculateur!X51*VLOOKUP('Données projet'!$B$9,Paramètres!$A$1:$I$89,3,0)*0.475*44/12</f>
        <v>16.880799023746608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34.717759300577718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14.64374999999999</v>
      </c>
      <c r="AI51" s="13">
        <f>IF('Données projet'!$A$62&gt;35,AI50+AH51-AQ50,IF(A51&lt;'Données projet'!$A$62,$AF$205^A51,IF(A51='Données projet'!$A$62,'Données projet'!$B$62,AI50+AH51-AQ50)))</f>
        <v>348.01499999999993</v>
      </c>
      <c r="AJ51" s="13">
        <f>AI51*VLOOKUP('Données projet'!$B$10,Paramètres!$A$1:$I$89,3,0)*VLOOKUP('Données projet'!$B$10,Paramètres!$A$1:$I$89,5,0)</f>
        <v>208.11296999999999</v>
      </c>
      <c r="AK51" s="13">
        <f t="shared" si="35"/>
        <v>51.52300578513217</v>
      </c>
      <c r="AL51" s="20">
        <f t="shared" si="4"/>
        <v>452.19932449243839</v>
      </c>
      <c r="AM51" s="59">
        <f t="shared" si="5"/>
        <v>745.53265782577171</v>
      </c>
      <c r="AN51" s="59">
        <f ca="1">AVERAGE(OFFSET($AM$3,0,0,'Données projet'!$E$10+1,1))-AVERAGE(OFFSET($H$3,0,0,'Données projet'!$E$10+1,1))</f>
        <v>300.80663531652721</v>
      </c>
      <c r="AO51" s="59">
        <f t="shared" si="36"/>
        <v>306.01967513533549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16.727017043177888</v>
      </c>
      <c r="AV51" s="21">
        <f>EXP(-LN(2)/25)*AV50+(1-EXP(-LN(2)/25))/(LN(2)/25)*Calculateur!AQ51*Calculateur!AS51*VLOOKUP('Données projet'!$B$10,Paramètres!$A$1:$I$89,3,0)*0.475*44/12</f>
        <v>45.621568702986622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62.34858574616451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</v>
      </c>
      <c r="N52" s="13">
        <f>IF('Données projet'!$A$36&gt;35,N51+M52-V51,IF(A52&lt;'Données projet'!$A$36,$K$205^A52,IF(A52='Données projet'!$A$36,'Données projet'!$B$36,N51+M52-V51)))</f>
        <v>181.19999999999993</v>
      </c>
      <c r="O52" s="13">
        <f>N52*VLOOKUP('Données projet'!$B$9,Paramètres!$A$1:$I$89,3,0)*VLOOKUP('Données projet'!$B$9,Paramètres!$A$1:$I$89,5,0)</f>
        <v>158.29631999999995</v>
      </c>
      <c r="P52" s="13">
        <f t="shared" si="33"/>
        <v>40.458006540983739</v>
      </c>
      <c r="Q52" s="20">
        <f t="shared" si="53"/>
        <v>346.16378539221324</v>
      </c>
      <c r="R52" s="59">
        <f t="shared" si="0"/>
        <v>639.49711872554656</v>
      </c>
      <c r="S52" s="59">
        <f ca="1">AVERAGE(OFFSET($R$3,0,0,'Données projet'!$E$9+1,1))-AVERAGE(OFFSET($H$3,0,0,'Données projet'!$E$9+1,1))</f>
        <v>298.478198405424</v>
      </c>
      <c r="T52" s="59">
        <f t="shared" si="34"/>
        <v>313.2817272662549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17.487188365273962</v>
      </c>
      <c r="AA52" s="21">
        <f>EXP(-LN(2)/25)*AA51+(1-EXP(-LN(2)/25))/(LN(2)/25)*Calculateur!V52*Calculateur!X52*VLOOKUP('Données projet'!$B$9,Paramètres!$A$1:$I$89,3,0)*0.475*44/12</f>
        <v>16.419192686719619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33.906381051993577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14.64374999999999</v>
      </c>
      <c r="AI52" s="13">
        <f>IF('Données projet'!$A$62&gt;35,AI51+AH52-AQ51,IF(A52&lt;'Données projet'!$A$62,$AF$205^A52,IF(A52='Données projet'!$A$62,'Données projet'!$B$62,AI51+AH52-AQ51)))</f>
        <v>362.65874999999994</v>
      </c>
      <c r="AJ52" s="13">
        <f>AI52*VLOOKUP('Données projet'!$B$10,Paramètres!$A$1:$I$89,3,0)*VLOOKUP('Données projet'!$B$10,Paramètres!$A$1:$I$89,5,0)</f>
        <v>216.86993249999998</v>
      </c>
      <c r="AK52" s="13">
        <f t="shared" si="35"/>
        <v>53.434014686329654</v>
      </c>
      <c r="AL52" s="20">
        <f t="shared" si="4"/>
        <v>470.77937468285745</v>
      </c>
      <c r="AM52" s="59">
        <f t="shared" si="5"/>
        <v>764.11270801619071</v>
      </c>
      <c r="AN52" s="59">
        <f ca="1">AVERAGE(OFFSET($AM$3,0,0,'Données projet'!$E$10+1,1))-AVERAGE(OFFSET($H$3,0,0,'Données projet'!$E$10+1,1))</f>
        <v>300.80663531652721</v>
      </c>
      <c r="AO52" s="59">
        <f t="shared" si="36"/>
        <v>306.01967513533549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16.399010441434154</v>
      </c>
      <c r="AV52" s="21">
        <f>EXP(-LN(2)/25)*AV51+(1-EXP(-LN(2)/25))/(LN(2)/25)*Calculateur!AQ52*Calculateur!AS52*VLOOKUP('Données projet'!$B$10,Paramètres!$A$1:$I$89,3,0)*0.475*44/12</f>
        <v>44.374044507669424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60.773054949103582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188</v>
      </c>
      <c r="L53" s="12">
        <f>VLOOKUP(A53,'Données projet'!$A$35:$I$55,9,0)</f>
        <v>6.8</v>
      </c>
      <c r="M53" s="12">
        <f t="array" ref="M53">INDEX(L:L,MIN(IF(ISNUMBER(L53:L249),ROW(L53:L249),"")))</f>
        <v>6.8</v>
      </c>
      <c r="N53" s="13">
        <f>IF('Données projet'!$A$36&gt;35,N52+M53-V52,IF(A53&lt;'Données projet'!$A$36,$K$205^A53,IF(A53='Données projet'!$A$36,'Données projet'!$B$36,N52+M53-V52)))</f>
        <v>187.99999999999994</v>
      </c>
      <c r="O53" s="13">
        <f>N53*VLOOKUP('Données projet'!$B$9,Paramètres!$A$1:$I$89,3,0)*VLOOKUP('Données projet'!$B$9,Paramètres!$A$1:$I$89,5,0)</f>
        <v>164.23679999999996</v>
      </c>
      <c r="P53" s="13">
        <f t="shared" si="33"/>
        <v>41.796679041964317</v>
      </c>
      <c r="Q53" s="20">
        <f t="shared" si="53"/>
        <v>358.84164266475449</v>
      </c>
      <c r="R53" s="59">
        <f t="shared" si="0"/>
        <v>652.1749759980878</v>
      </c>
      <c r="S53" s="59">
        <f ca="1">AVERAGE(OFFSET($R$3,0,0,'Données projet'!$E$9+1,1))-AVERAGE(OFFSET($H$3,0,0,'Données projet'!$E$9+1,1))</f>
        <v>298.478198405424</v>
      </c>
      <c r="T53" s="59">
        <f t="shared" si="34"/>
        <v>313.2817272662549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24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0.129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23.124130682246076</v>
      </c>
      <c r="AA53" s="21">
        <f>EXP(-LN(2)/25)*AA52+(1-EXP(-LN(2)/25))/(LN(2)/25)*Calculateur!V53*Calculateur!X53*VLOOKUP('Données projet'!$B$9,Paramètres!$A$1:$I$89,3,0)*0.475*44/12</f>
        <v>18.948364221959594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42.072494904205669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14.64374999999999</v>
      </c>
      <c r="AI53" s="13">
        <f>IF('Données projet'!$A$62&gt;35,AI52+AH53-AQ52,IF(A53&lt;'Données projet'!$A$62,$AF$205^A53,IF(A53='Données projet'!$A$62,'Données projet'!$B$62,AI52+AH53-AQ52)))</f>
        <v>377.30249999999995</v>
      </c>
      <c r="AJ53" s="13">
        <f>AI53*VLOOKUP('Données projet'!$B$10,Paramètres!$A$1:$I$89,3,0)*VLOOKUP('Données projet'!$B$10,Paramètres!$A$1:$I$89,5,0)</f>
        <v>225.62689499999999</v>
      </c>
      <c r="AK53" s="13">
        <f t="shared" si="35"/>
        <v>55.336060156511813</v>
      </c>
      <c r="AL53" s="20">
        <f t="shared" si="4"/>
        <v>489.34381356425803</v>
      </c>
      <c r="AM53" s="59">
        <f t="shared" si="5"/>
        <v>782.67714689759134</v>
      </c>
      <c r="AN53" s="59">
        <f ca="1">AVERAGE(OFFSET($AM$3,0,0,'Données projet'!$E$10+1,1))-AVERAGE(OFFSET($H$3,0,0,'Données projet'!$E$10+1,1))</f>
        <v>300.80663531652721</v>
      </c>
      <c r="AO53" s="59">
        <f t="shared" si="36"/>
        <v>306.01967513533549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16.077435849086342</v>
      </c>
      <c r="AV53" s="21">
        <f>EXP(-LN(2)/25)*AV52+(1-EXP(-LN(2)/25))/(LN(2)/25)*Calculateur!AQ53*Calculateur!AS53*VLOOKUP('Données projet'!$B$10,Paramètres!$A$1:$I$89,3,0)*0.475*44/12</f>
        <v>43.160633927077619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59.238069776163961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6</v>
      </c>
      <c r="N54" s="13">
        <f>IF('Données projet'!$A$36&gt;35,N53+M54-V53,IF(A54&lt;'Données projet'!$A$36,$K$205^A54,IF(A54='Données projet'!$A$36,'Données projet'!$B$36,N53+M54-V53)))</f>
        <v>169.99999999999994</v>
      </c>
      <c r="O54" s="13">
        <f>N54*VLOOKUP('Données projet'!$B$9,Paramètres!$A$1:$I$89,3,0)*VLOOKUP('Données projet'!$B$9,Paramètres!$A$1:$I$89,5,0)</f>
        <v>148.51199999999997</v>
      </c>
      <c r="P54" s="13">
        <f t="shared" si="33"/>
        <v>38.240236326053513</v>
      </c>
      <c r="Q54" s="20">
        <f t="shared" si="53"/>
        <v>325.26014493454312</v>
      </c>
      <c r="R54" s="59">
        <f t="shared" si="0"/>
        <v>618.59347826787643</v>
      </c>
      <c r="S54" s="59">
        <f ca="1">AVERAGE(OFFSET($R$3,0,0,'Données projet'!$E$9+1,1))-AVERAGE(OFFSET($H$3,0,0,'Données projet'!$E$9+1,1))</f>
        <v>298.478198405424</v>
      </c>
      <c r="T54" s="59">
        <f t="shared" si="34"/>
        <v>313.2817272662549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22.67068058389426</v>
      </c>
      <c r="AA54" s="21">
        <f>EXP(-LN(2)/25)*AA53+(1-EXP(-LN(2)/25))/(LN(2)/25)*Calculateur!V54*Calculateur!X54*VLOOKUP('Données projet'!$B$9,Paramètres!$A$1:$I$89,3,0)*0.475*44/12</f>
        <v>18.430220205858941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41.100900789753197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14.64374999999999</v>
      </c>
      <c r="AI54" s="13">
        <f>IF('Données projet'!$A$62&gt;35,AI53+AH54-AQ53,IF(A54&lt;'Données projet'!$A$62,$AF$205^A54,IF(A54='Données projet'!$A$62,'Données projet'!$B$62,AI53+AH54-AQ53)))</f>
        <v>391.94624999999996</v>
      </c>
      <c r="AJ54" s="13">
        <f>AI54*VLOOKUP('Données projet'!$B$10,Paramètres!$A$1:$I$89,3,0)*VLOOKUP('Données projet'!$B$10,Paramètres!$A$1:$I$89,5,0)</f>
        <v>234.3838575</v>
      </c>
      <c r="AK54" s="13">
        <f t="shared" si="35"/>
        <v>57.229529897835612</v>
      </c>
      <c r="AL54" s="20">
        <f t="shared" si="4"/>
        <v>507.89331638456366</v>
      </c>
      <c r="AM54" s="59">
        <f t="shared" si="5"/>
        <v>801.22664971789698</v>
      </c>
      <c r="AN54" s="59">
        <f ca="1">AVERAGE(OFFSET($AM$3,0,0,'Données projet'!$E$10+1,1))-AVERAGE(OFFSET($H$3,0,0,'Données projet'!$E$10+1,1))</f>
        <v>300.80663531652721</v>
      </c>
      <c r="AO54" s="59">
        <f t="shared" si="36"/>
        <v>306.01967513533549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15.762167138353337</v>
      </c>
      <c r="AV54" s="21">
        <f>EXP(-LN(2)/25)*AV53+(1-EXP(-LN(2)/25))/(LN(2)/25)*Calculateur!AQ54*Calculateur!AS54*VLOOKUP('Données projet'!$B$10,Paramètres!$A$1:$I$89,3,0)*0.475*44/12</f>
        <v>41.980404122622588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57.742571260975922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</v>
      </c>
      <c r="N55" s="13">
        <f>IF('Données projet'!$A$36&gt;35,N54+M55-V54,IF(A55&lt;'Données projet'!$A$36,$K$205^A55,IF(A55='Données projet'!$A$36,'Données projet'!$B$36,N54+M55-V54)))</f>
        <v>175.99999999999994</v>
      </c>
      <c r="O55" s="13">
        <f>N55*VLOOKUP('Données projet'!$B$9,Paramètres!$A$1:$I$89,3,0)*VLOOKUP('Données projet'!$B$9,Paramètres!$A$1:$I$89,5,0)</f>
        <v>153.75359999999998</v>
      </c>
      <c r="P55" s="13">
        <f t="shared" si="33"/>
        <v>39.430373774012359</v>
      </c>
      <c r="Q55" s="20">
        <f t="shared" si="53"/>
        <v>336.46208765640478</v>
      </c>
      <c r="R55" s="59">
        <f t="shared" si="0"/>
        <v>629.79542098973809</v>
      </c>
      <c r="S55" s="59">
        <f ca="1">AVERAGE(OFFSET($R$3,0,0,'Données projet'!$E$9+1,1))-AVERAGE(OFFSET($H$3,0,0,'Données projet'!$E$9+1,1))</f>
        <v>298.478198405424</v>
      </c>
      <c r="T55" s="59">
        <f t="shared" si="34"/>
        <v>313.2817272662549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22.226122365393874</v>
      </c>
      <c r="AA55" s="21">
        <f>EXP(-LN(2)/25)*AA54+(1-EXP(-LN(2)/25))/(LN(2)/25)*Calculateur!V55*Calculateur!X55*VLOOKUP('Données projet'!$B$9,Paramètres!$A$1:$I$89,3,0)*0.475*44/12</f>
        <v>17.92624486512657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40.15236723052044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406.59</v>
      </c>
      <c r="AG55" s="12">
        <f>VLOOKUP(A55,'Données projet'!$A$61:$I$81,9,0)</f>
        <v>14.64374999999999</v>
      </c>
      <c r="AH55" s="12">
        <f t="array" ref="AH55">INDEX(AG:AG,MIN(IF(ISNUMBER(AG55:AG251),ROW(AG55:AG251),"")))</f>
        <v>14.64374999999999</v>
      </c>
      <c r="AI55" s="13">
        <f>IF('Données projet'!$A$62&gt;35,AI54+AH55-AQ54,IF(A55&lt;'Données projet'!$A$62,$AF$205^A55,IF(A55='Données projet'!$A$62,'Données projet'!$B$62,AI54+AH55-AQ54)))</f>
        <v>406.59</v>
      </c>
      <c r="AJ55" s="13">
        <f>AI55*VLOOKUP('Données projet'!$B$10,Paramètres!$A$1:$I$89,3,0)*VLOOKUP('Données projet'!$B$10,Paramètres!$A$1:$I$89,5,0)</f>
        <v>243.14081999999999</v>
      </c>
      <c r="AK55" s="13">
        <f t="shared" si="35"/>
        <v>59.114781000830845</v>
      </c>
      <c r="AL55" s="20">
        <f t="shared" si="4"/>
        <v>526.42850507644698</v>
      </c>
      <c r="AM55" s="59">
        <f t="shared" si="5"/>
        <v>819.76183840978024</v>
      </c>
      <c r="AN55" s="59">
        <f ca="1">AVERAGE(OFFSET($AM$3,0,0,'Données projet'!$E$10+1,1))-AVERAGE(OFFSET($H$3,0,0,'Données projet'!$E$10+1,1))</f>
        <v>300.80663531652721</v>
      </c>
      <c r="AO55" s="59">
        <f t="shared" si="36"/>
        <v>306.01967513533549</v>
      </c>
      <c r="AP55" s="15">
        <f>IF(ISNA(VLOOKUP(A55,'Données projet'!$A$61:$I$81,3,0)),0,VLOOKUP(A55,'Données projet'!$A$61:$I$81,3,0))</f>
        <v>6</v>
      </c>
      <c r="AQ55" s="15">
        <f>IF(ISNA(VLOOKUP(A55,'Données projet'!$A$61:$I$81,4,0)),0,VLOOKUP(A55,'Données projet'!$A$61:$I$81,4,0))</f>
        <v>75.37</v>
      </c>
      <c r="AR55" s="16">
        <f>IF(ISNA(VLOOKUP(A55,'Données projet'!$A$61:$I$81,5,0)),0%,VLOOKUP(A55,'Données projet'!$A$61:$I$81,5,0)*VLOOKUP('Données projet'!$B$10,Paramètres!$A$1:$I$89,7,0))</f>
        <v>0.315</v>
      </c>
      <c r="AS55" s="16">
        <f>IF(ISNA(VLOOKUP(A55,'Données projet'!$A$61:$I$81,6,0)),0%,VLOOKUP(A55,'Données projet'!$A$61:$I$81,6,0)*VLOOKUP('Données projet'!$B$10,Paramètres!$A$1:$I$89,7,0))</f>
        <v>0.13500000000000001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34.286909070273168</v>
      </c>
      <c r="AV55" s="21">
        <f>EXP(-LN(2)/25)*AV54+(1-EXP(-LN(2)/25))/(LN(2)/25)*Calculateur!AQ55*Calculateur!AS55*VLOOKUP('Données projet'!$B$10,Paramètres!$A$1:$I$89,3,0)*0.475*44/12</f>
        <v>48.872307388581874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83.159216458855042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</v>
      </c>
      <c r="N56" s="13">
        <f>IF('Données projet'!$A$36&gt;35,N55+M56-V55,IF(A56&lt;'Données projet'!$A$36,$K$205^A56,IF(A56='Données projet'!$A$36,'Données projet'!$B$36,N55+M56-V55)))</f>
        <v>181.99999999999994</v>
      </c>
      <c r="O56" s="13">
        <f>N56*VLOOKUP('Données projet'!$B$9,Paramètres!$A$1:$I$89,3,0)*VLOOKUP('Données projet'!$B$9,Paramètres!$A$1:$I$89,5,0)</f>
        <v>158.99519999999995</v>
      </c>
      <c r="P56" s="13">
        <f t="shared" si="33"/>
        <v>40.615796933386008</v>
      </c>
      <c r="Q56" s="20">
        <f t="shared" si="53"/>
        <v>347.65581965898053</v>
      </c>
      <c r="R56" s="59">
        <f t="shared" si="0"/>
        <v>640.98915299231385</v>
      </c>
      <c r="S56" s="59">
        <f ca="1">AVERAGE(OFFSET($R$3,0,0,'Données projet'!$E$9+1,1))-AVERAGE(OFFSET($H$3,0,0,'Données projet'!$E$9+1,1))</f>
        <v>298.478198405424</v>
      </c>
      <c r="T56" s="59">
        <f t="shared" si="34"/>
        <v>313.2817272662549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21.790281662404539</v>
      </c>
      <c r="AA56" s="21">
        <f>EXP(-LN(2)/25)*AA55+(1-EXP(-LN(2)/25))/(LN(2)/25)*Calculateur!V56*Calculateur!X56*VLOOKUP('Données projet'!$B$9,Paramètres!$A$1:$I$89,3,0)*0.475*44/12</f>
        <v>17.436050756589438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39.226332418993977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13.14</v>
      </c>
      <c r="AI56" s="13">
        <f>IF('Données projet'!$A$62&gt;35,AI55+AH56-AQ55,IF(A56&lt;'Données projet'!$A$62,$AF$205^A56,IF(A56='Données projet'!$A$62,'Données projet'!$B$62,AI55+AH56-AQ55)))</f>
        <v>344.35999999999996</v>
      </c>
      <c r="AJ56" s="13">
        <f>AI56*VLOOKUP('Données projet'!$B$10,Paramètres!$A$1:$I$89,3,0)*VLOOKUP('Données projet'!$B$10,Paramètres!$A$1:$I$89,5,0)</f>
        <v>205.92728</v>
      </c>
      <c r="AK56" s="13">
        <f t="shared" si="35"/>
        <v>51.04458202864172</v>
      </c>
      <c r="AL56" s="20">
        <f t="shared" si="4"/>
        <v>447.55932636655098</v>
      </c>
      <c r="AM56" s="59">
        <f t="shared" si="5"/>
        <v>740.89265969988423</v>
      </c>
      <c r="AN56" s="59">
        <f ca="1">AVERAGE(OFFSET($AM$3,0,0,'Données projet'!$E$10+1,1))-AVERAGE(OFFSET($H$3,0,0,'Données projet'!$E$10+1,1))</f>
        <v>300.80663531652721</v>
      </c>
      <c r="AO56" s="59">
        <f t="shared" si="36"/>
        <v>306.01967513533549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33.614563696354665</v>
      </c>
      <c r="AV56" s="21">
        <f>EXP(-LN(2)/25)*AV55+(1-EXP(-LN(2)/25))/(LN(2)/25)*Calculateur!AQ56*Calculateur!AS56*VLOOKUP('Données projet'!$B$10,Paramètres!$A$1:$I$89,3,0)*0.475*44/12</f>
        <v>47.535891572958157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81.150455269312829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</v>
      </c>
      <c r="N57" s="13">
        <f>IF('Données projet'!$A$36&gt;35,N56+M57-V56,IF(A57&lt;'Données projet'!$A$36,$K$205^A57,IF(A57='Données projet'!$A$36,'Données projet'!$B$36,N56+M57-V56)))</f>
        <v>187.99999999999994</v>
      </c>
      <c r="O57" s="13">
        <f>N57*VLOOKUP('Données projet'!$B$9,Paramètres!$A$1:$I$89,3,0)*VLOOKUP('Données projet'!$B$9,Paramètres!$A$1:$I$89,5,0)</f>
        <v>164.23679999999996</v>
      </c>
      <c r="P57" s="13">
        <f t="shared" si="33"/>
        <v>41.796679041964317</v>
      </c>
      <c r="Q57" s="20">
        <f t="shared" si="53"/>
        <v>358.84164266475449</v>
      </c>
      <c r="R57" s="59">
        <f t="shared" si="0"/>
        <v>652.1749759980878</v>
      </c>
      <c r="S57" s="59">
        <f ca="1">AVERAGE(OFFSET($R$3,0,0,'Données projet'!$E$9+1,1))-AVERAGE(OFFSET($H$3,0,0,'Données projet'!$E$9+1,1))</f>
        <v>298.478198405424</v>
      </c>
      <c r="T57" s="59">
        <f t="shared" si="34"/>
        <v>313.2817272662549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21.362987529764247</v>
      </c>
      <c r="AA57" s="21">
        <f>EXP(-LN(2)/25)*AA56+(1-EXP(-LN(2)/25))/(LN(2)/25)*Calculateur!V57*Calculateur!X57*VLOOKUP('Données projet'!$B$9,Paramètres!$A$1:$I$89,3,0)*0.475*44/12</f>
        <v>16.959261031728442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38.322248561492685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13.14</v>
      </c>
      <c r="AI57" s="13">
        <f>IF('Données projet'!$A$62&gt;35,AI56+AH57-AQ56,IF(A57&lt;'Données projet'!$A$62,$AF$205^A57,IF(A57='Données projet'!$A$62,'Données projet'!$B$62,AI56+AH57-AQ56)))</f>
        <v>357.49999999999994</v>
      </c>
      <c r="AJ57" s="13">
        <f>AI57*VLOOKUP('Données projet'!$B$10,Paramètres!$A$1:$I$89,3,0)*VLOOKUP('Données projet'!$B$10,Paramètres!$A$1:$I$89,5,0)</f>
        <v>213.785</v>
      </c>
      <c r="AK57" s="13">
        <f t="shared" si="35"/>
        <v>52.761841557402377</v>
      </c>
      <c r="AL57" s="20">
        <f t="shared" si="4"/>
        <v>464.23574904580914</v>
      </c>
      <c r="AM57" s="59">
        <f t="shared" si="5"/>
        <v>757.5690823791424</v>
      </c>
      <c r="AN57" s="59">
        <f ca="1">AVERAGE(OFFSET($AM$3,0,0,'Données projet'!$E$10+1,1))-AVERAGE(OFFSET($H$3,0,0,'Données projet'!$E$10+1,1))</f>
        <v>300.80663531652721</v>
      </c>
      <c r="AO57" s="59">
        <f t="shared" si="36"/>
        <v>306.01967513533549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32.955402605128512</v>
      </c>
      <c r="AV57" s="21">
        <f>EXP(-LN(2)/25)*AV56+(1-EXP(-LN(2)/25))/(LN(2)/25)*Calculateur!AQ57*Calculateur!AS57*VLOOKUP('Données projet'!$B$10,Paramètres!$A$1:$I$89,3,0)*0.475*44/12</f>
        <v>46.236020118091723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79.191422723220228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194</v>
      </c>
      <c r="L58" s="12">
        <f>VLOOKUP(A58,'Données projet'!$A$35:$I$55,9,0)</f>
        <v>6</v>
      </c>
      <c r="M58" s="12">
        <f t="array" ref="M58">INDEX(L:L,MIN(IF(ISNUMBER(L58:L254),ROW(L58:L254),"")))</f>
        <v>6</v>
      </c>
      <c r="N58" s="13">
        <f>IF('Données projet'!$A$36&gt;35,N57+M58-V57,IF(A58&lt;'Données projet'!$A$36,$K$205^A58,IF(A58='Données projet'!$A$36,'Données projet'!$B$36,N57+M58-V57)))</f>
        <v>193.99999999999994</v>
      </c>
      <c r="O58" s="13">
        <f>N58*VLOOKUP('Données projet'!$B$9,Paramètres!$A$1:$I$89,3,0)*VLOOKUP('Données projet'!$B$9,Paramètres!$A$1:$I$89,5,0)</f>
        <v>169.47839999999997</v>
      </c>
      <c r="P58" s="13">
        <f t="shared" si="33"/>
        <v>42.973181651930297</v>
      </c>
      <c r="Q58" s="20">
        <f t="shared" si="53"/>
        <v>370.01983804377852</v>
      </c>
      <c r="R58" s="59">
        <f t="shared" si="0"/>
        <v>663.35317137711183</v>
      </c>
      <c r="S58" s="59">
        <f ca="1">AVERAGE(OFFSET($R$3,0,0,'Données projet'!$E$9+1,1))-AVERAGE(OFFSET($H$3,0,0,'Données projet'!$E$9+1,1))</f>
        <v>298.478198405424</v>
      </c>
      <c r="T58" s="59">
        <f t="shared" si="34"/>
        <v>313.2817272662549</v>
      </c>
      <c r="U58" s="15">
        <f>IF(ISNA(VLOOKUP(A58,'Données projet'!$A$35:$I$55,3,0)),0,VLOOKUP(A58,'Données projet'!$A$35:$I$55,3,0))</f>
        <v>8</v>
      </c>
      <c r="V58" s="15">
        <f>IF(ISNA(VLOOKUP(A58,'Données projet'!$A$35:$I$55,4,0)),0,VLOOKUP(A58,'Données projet'!$A$35:$I$55,4,0))</f>
        <v>21</v>
      </c>
      <c r="W58" s="16">
        <f>IF(ISNA(VLOOKUP(A58,'Données projet'!$A$35:$I$55,5,0)),0%,VLOOKUP(A58,'Données projet'!$A$35:$I$55,5,0)*VLOOKUP('Données projet'!$B$9,Paramètres!$A$1:$I$89,7,0))</f>
        <v>0.25800000000000001</v>
      </c>
      <c r="X58" s="16">
        <f>IF(ISNA(VLOOKUP(A58,'Données projet'!$A$35:$I$55,6,0)),0%,VLOOKUP(A58,'Données projet'!$A$35:$I$55,6,0)*VLOOKUP('Données projet'!$B$9,Paramètres!$A$1:$I$89,7,0))</f>
        <v>0.129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26.176445862289345</v>
      </c>
      <c r="AA58" s="21">
        <f>EXP(-LN(2)/25)*AA57+(1-EXP(-LN(2)/25))/(LN(2)/25)*Calculateur!V58*Calculateur!X58*VLOOKUP('Données projet'!$B$9,Paramètres!$A$1:$I$89,3,0)*0.475*44/12</f>
        <v>19.101394966834924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45.277840829124273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13.14</v>
      </c>
      <c r="AI58" s="13">
        <f>IF('Données projet'!$A$62&gt;35,AI57+AH58-AQ57,IF(A58&lt;'Données projet'!$A$62,$AF$205^A58,IF(A58='Données projet'!$A$62,'Données projet'!$B$62,AI57+AH58-AQ57)))</f>
        <v>370.63999999999993</v>
      </c>
      <c r="AJ58" s="13">
        <f>AI58*VLOOKUP('Données projet'!$B$10,Paramètres!$A$1:$I$89,3,0)*VLOOKUP('Données projet'!$B$10,Paramètres!$A$1:$I$89,5,0)</f>
        <v>221.64272</v>
      </c>
      <c r="AK58" s="13">
        <f t="shared" si="35"/>
        <v>54.471768066609272</v>
      </c>
      <c r="AL58" s="20">
        <f t="shared" si="4"/>
        <v>480.89940004934442</v>
      </c>
      <c r="AM58" s="59">
        <f t="shared" si="5"/>
        <v>774.23273338267768</v>
      </c>
      <c r="AN58" s="59">
        <f ca="1">AVERAGE(OFFSET($AM$3,0,0,'Données projet'!$E$10+1,1))-AVERAGE(OFFSET($H$3,0,0,'Données projet'!$E$10+1,1))</f>
        <v>300.80663531652721</v>
      </c>
      <c r="AO58" s="59">
        <f t="shared" si="36"/>
        <v>306.01967513533549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32.309167260852739</v>
      </c>
      <c r="AV58" s="21">
        <f>EXP(-LN(2)/25)*AV57+(1-EXP(-LN(2)/25))/(LN(2)/25)*Calculateur!AQ58*Calculateur!AS58*VLOOKUP('Données projet'!$B$10,Paramètres!$A$1:$I$89,3,0)*0.475*44/12</f>
        <v>44.97169371651588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77.280860977368619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5.2</v>
      </c>
      <c r="N59" s="13">
        <f>IF('Données projet'!$A$36&gt;35,N58+M59-V58,IF(A59&lt;'Données projet'!$A$36,$K$205^A59,IF(A59='Données projet'!$A$36,'Données projet'!$B$36,N58+M59-V58)))</f>
        <v>178.19999999999993</v>
      </c>
      <c r="O59" s="13">
        <f>N59*VLOOKUP('Données projet'!$B$9,Paramètres!$A$1:$I$89,3,0)*VLOOKUP('Données projet'!$B$9,Paramètres!$A$1:$I$89,5,0)</f>
        <v>155.67551999999998</v>
      </c>
      <c r="P59" s="13">
        <f t="shared" si="33"/>
        <v>39.865566884055099</v>
      </c>
      <c r="Q59" s="20">
        <f t="shared" si="53"/>
        <v>340.56739298972923</v>
      </c>
      <c r="R59" s="59">
        <f t="shared" si="0"/>
        <v>633.9007263230626</v>
      </c>
      <c r="S59" s="59">
        <f ca="1">AVERAGE(OFFSET($R$3,0,0,'Données projet'!$E$9+1,1))-AVERAGE(OFFSET($H$3,0,0,'Données projet'!$E$9+1,1))</f>
        <v>298.478198405424</v>
      </c>
      <c r="T59" s="59">
        <f t="shared" si="34"/>
        <v>313.2817272662549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25.663141724985309</v>
      </c>
      <c r="AA59" s="21">
        <f>EXP(-LN(2)/25)*AA58+(1-EXP(-LN(2)/25))/(LN(2)/25)*Calculateur!V59*Calculateur!X59*VLOOKUP('Données projet'!$B$9,Paramètres!$A$1:$I$89,3,0)*0.475*44/12</f>
        <v>18.57906631696812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44.242208041953432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13.14</v>
      </c>
      <c r="AI59" s="13">
        <f>IF('Données projet'!$A$62&gt;35,AI58+AH59-AQ58,IF(A59&lt;'Données projet'!$A$62,$AF$205^A59,IF(A59='Données projet'!$A$62,'Données projet'!$B$62,AI58+AH59-AQ58)))</f>
        <v>383.77999999999992</v>
      </c>
      <c r="AJ59" s="13">
        <f>AI59*VLOOKUP('Données projet'!$B$10,Paramètres!$A$1:$I$89,3,0)*VLOOKUP('Données projet'!$B$10,Paramètres!$A$1:$I$89,5,0)</f>
        <v>229.50043999999997</v>
      </c>
      <c r="AK59" s="13">
        <f t="shared" si="35"/>
        <v>56.174651313961498</v>
      </c>
      <c r="AL59" s="20">
        <f t="shared" si="4"/>
        <v>497.55078403848285</v>
      </c>
      <c r="AM59" s="59">
        <f t="shared" si="5"/>
        <v>790.88411737181616</v>
      </c>
      <c r="AN59" s="59">
        <f ca="1">AVERAGE(OFFSET($AM$3,0,0,'Données projet'!$E$10+1,1))-AVERAGE(OFFSET($H$3,0,0,'Données projet'!$E$10+1,1))</f>
        <v>300.80663531652721</v>
      </c>
      <c r="AO59" s="59">
        <f t="shared" si="36"/>
        <v>306.01967513533549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31.675604197513575</v>
      </c>
      <c r="AV59" s="21">
        <f>EXP(-LN(2)/25)*AV58+(1-EXP(-LN(2)/25))/(LN(2)/25)*Calculateur!AQ59*Calculateur!AS59*VLOOKUP('Données projet'!$B$10,Paramètres!$A$1:$I$89,3,0)*0.475*44/12</f>
        <v>43.741940386879165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75.417544584392743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5.2</v>
      </c>
      <c r="N60" s="13">
        <f>IF('Données projet'!$A$36&gt;35,N59+M60-V59,IF(A60&lt;'Données projet'!$A$36,$K$205^A60,IF(A60='Données projet'!$A$36,'Données projet'!$B$36,N59+M60-V59)))</f>
        <v>183.39999999999992</v>
      </c>
      <c r="O60" s="13">
        <f>N60*VLOOKUP('Données projet'!$B$9,Paramètres!$A$1:$I$89,3,0)*VLOOKUP('Données projet'!$B$9,Paramètres!$A$1:$I$89,5,0)</f>
        <v>160.21823999999995</v>
      </c>
      <c r="P60" s="13">
        <f t="shared" si="33"/>
        <v>40.891736142170217</v>
      </c>
      <c r="Q60" s="20">
        <f t="shared" si="53"/>
        <v>350.2665417809464</v>
      </c>
      <c r="R60" s="59">
        <f t="shared" si="0"/>
        <v>643.59987511427971</v>
      </c>
      <c r="S60" s="59">
        <f ca="1">AVERAGE(OFFSET($R$3,0,0,'Données projet'!$E$9+1,1))-AVERAGE(OFFSET($H$3,0,0,'Données projet'!$E$9+1,1))</f>
        <v>298.478198405424</v>
      </c>
      <c r="T60" s="59">
        <f t="shared" si="34"/>
        <v>313.2817272662549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25.159903168729198</v>
      </c>
      <c r="AA60" s="21">
        <f>EXP(-LN(2)/25)*AA59+(1-EXP(-LN(2)/25))/(LN(2)/25)*Calculateur!V60*Calculateur!X60*VLOOKUP('Données projet'!$B$9,Paramètres!$A$1:$I$89,3,0)*0.475*44/12</f>
        <v>18.071020771499992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43.230923940229189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13.14</v>
      </c>
      <c r="AI60" s="13">
        <f>IF('Données projet'!$A$62&gt;35,AI59+AH60-AQ59,IF(A60&lt;'Données projet'!$A$62,$AF$205^A60,IF(A60='Données projet'!$A$62,'Données projet'!$B$62,AI59+AH60-AQ59)))</f>
        <v>396.9199999999999</v>
      </c>
      <c r="AJ60" s="13">
        <f>AI60*VLOOKUP('Données projet'!$B$10,Paramètres!$A$1:$I$89,3,0)*VLOOKUP('Données projet'!$B$10,Paramètres!$A$1:$I$89,5,0)</f>
        <v>237.35815999999997</v>
      </c>
      <c r="AK60" s="13">
        <f t="shared" si="35"/>
        <v>57.870760090028412</v>
      </c>
      <c r="AL60" s="20">
        <f t="shared" si="4"/>
        <v>514.19036915679942</v>
      </c>
      <c r="AM60" s="59">
        <f t="shared" si="5"/>
        <v>807.52370249013279</v>
      </c>
      <c r="AN60" s="59">
        <f ca="1">AVERAGE(OFFSET($AM$3,0,0,'Données projet'!$E$10+1,1))-AVERAGE(OFFSET($H$3,0,0,'Données projet'!$E$10+1,1))</f>
        <v>300.80663531652721</v>
      </c>
      <c r="AO60" s="59">
        <f t="shared" si="36"/>
        <v>306.01967513533549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31.054464919411181</v>
      </c>
      <c r="AV60" s="21">
        <f>EXP(-LN(2)/25)*AV59+(1-EXP(-LN(2)/25))/(LN(2)/25)*Calculateur!AQ60*Calculateur!AS60*VLOOKUP('Données projet'!$B$10,Paramètres!$A$1:$I$89,3,0)*0.475*44/12</f>
        <v>42.545814726711285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73.600279646122459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5.2</v>
      </c>
      <c r="N61" s="13">
        <f>IF('Données projet'!$A$36&gt;35,N60+M61-V60,IF(A61&lt;'Données projet'!$A$36,$K$205^A61,IF(A61='Données projet'!$A$36,'Données projet'!$B$36,N60+M61-V60)))</f>
        <v>188.59999999999991</v>
      </c>
      <c r="O61" s="13">
        <f>N61*VLOOKUP('Données projet'!$B$9,Paramètres!$A$1:$I$89,3,0)*VLOOKUP('Données projet'!$B$9,Paramètres!$A$1:$I$89,5,0)</f>
        <v>164.76095999999993</v>
      </c>
      <c r="P61" s="13">
        <f t="shared" si="33"/>
        <v>41.91452380971991</v>
      </c>
      <c r="Q61" s="20">
        <f t="shared" si="53"/>
        <v>359.95980096859535</v>
      </c>
      <c r="R61" s="59">
        <f t="shared" si="0"/>
        <v>653.2931343019286</v>
      </c>
      <c r="S61" s="59">
        <f ca="1">AVERAGE(OFFSET($R$3,0,0,'Données projet'!$E$9+1,1))-AVERAGE(OFFSET($H$3,0,0,'Données projet'!$E$9+1,1))</f>
        <v>298.478198405424</v>
      </c>
      <c r="T61" s="59">
        <f t="shared" si="34"/>
        <v>313.2817272662549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24.666532813616058</v>
      </c>
      <c r="AA61" s="21">
        <f>EXP(-LN(2)/25)*AA60+(1-EXP(-LN(2)/25))/(LN(2)/25)*Calculateur!V61*Calculateur!X61*VLOOKUP('Données projet'!$B$9,Paramètres!$A$1:$I$89,3,0)*0.475*44/12</f>
        <v>17.576867758189643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42.243400571805701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13.14</v>
      </c>
      <c r="AI61" s="13">
        <f>IF('Données projet'!$A$62&gt;35,AI60+AH61-AQ60,IF(A61&lt;'Données projet'!$A$62,$AF$205^A61,IF(A61='Données projet'!$A$62,'Données projet'!$B$62,AI60+AH61-AQ60)))</f>
        <v>410.05999999999989</v>
      </c>
      <c r="AJ61" s="13">
        <f>AI61*VLOOKUP('Données projet'!$B$10,Paramètres!$A$1:$I$89,3,0)*VLOOKUP('Données projet'!$B$10,Paramètres!$A$1:$I$89,5,0)</f>
        <v>245.21587999999994</v>
      </c>
      <c r="AK61" s="13">
        <f t="shared" si="35"/>
        <v>59.560344378839609</v>
      </c>
      <c r="AL61" s="20">
        <f t="shared" si="4"/>
        <v>530.81859079314563</v>
      </c>
      <c r="AM61" s="59">
        <f t="shared" si="5"/>
        <v>824.15192412647889</v>
      </c>
      <c r="AN61" s="59">
        <f ca="1">AVERAGE(OFFSET($AM$3,0,0,'Données projet'!$E$10+1,1))-AVERAGE(OFFSET($H$3,0,0,'Données projet'!$E$10+1,1))</f>
        <v>300.80663531652721</v>
      </c>
      <c r="AO61" s="59">
        <f t="shared" si="36"/>
        <v>306.01967513533549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30.445505803694825</v>
      </c>
      <c r="AV61" s="21">
        <f>EXP(-LN(2)/25)*AV60+(1-EXP(-LN(2)/25))/(LN(2)/25)*Calculateur!AQ61*Calculateur!AS61*VLOOKUP('Données projet'!$B$10,Paramètres!$A$1:$I$89,3,0)*0.475*44/12</f>
        <v>41.38239718562221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71.827902989317039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5.2</v>
      </c>
      <c r="N62" s="13">
        <f>IF('Données projet'!$A$36&gt;35,N61+M62-V61,IF(A62&lt;'Données projet'!$A$36,$K$205^A62,IF(A62='Données projet'!$A$36,'Données projet'!$B$36,N61+M62-V61)))</f>
        <v>193.7999999999999</v>
      </c>
      <c r="O62" s="13">
        <f>N62*VLOOKUP('Données projet'!$B$9,Paramètres!$A$1:$I$89,3,0)*VLOOKUP('Données projet'!$B$9,Paramètres!$A$1:$I$89,5,0)</f>
        <v>169.30367999999993</v>
      </c>
      <c r="P62" s="13">
        <f t="shared" si="33"/>
        <v>42.934033834973214</v>
      </c>
      <c r="Q62" s="20">
        <f t="shared" si="53"/>
        <v>369.64735159591152</v>
      </c>
      <c r="R62" s="59">
        <f t="shared" si="0"/>
        <v>662.98068492924483</v>
      </c>
      <c r="S62" s="59">
        <f ca="1">AVERAGE(OFFSET($R$3,0,0,'Données projet'!$E$9+1,1))-AVERAGE(OFFSET($H$3,0,0,'Données projet'!$E$9+1,1))</f>
        <v>298.478198405424</v>
      </c>
      <c r="T62" s="59">
        <f t="shared" si="34"/>
        <v>313.2817272662549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24.182837150240484</v>
      </c>
      <c r="AA62" s="21">
        <f>EXP(-LN(2)/25)*AA61+(1-EXP(-LN(2)/25))/(LN(2)/25)*Calculateur!V62*Calculateur!X62*VLOOKUP('Données projet'!$B$9,Paramètres!$A$1:$I$89,3,0)*0.475*44/12</f>
        <v>17.096227385014643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41.279064535255131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13.14</v>
      </c>
      <c r="AI62" s="13">
        <f>IF('Données projet'!$A$62&gt;35,AI61+AH62-AQ61,IF(A62&lt;'Données projet'!$A$62,$AF$205^A62,IF(A62='Données projet'!$A$62,'Données projet'!$B$62,AI61+AH62-AQ61)))</f>
        <v>423.19999999999987</v>
      </c>
      <c r="AJ62" s="13">
        <f>AI62*VLOOKUP('Données projet'!$B$10,Paramètres!$A$1:$I$89,3,0)*VLOOKUP('Données projet'!$B$10,Paramètres!$A$1:$I$89,5,0)</f>
        <v>253.07359999999994</v>
      </c>
      <c r="AK62" s="13">
        <f t="shared" si="35"/>
        <v>61.243637233758619</v>
      </c>
      <c r="AL62" s="20">
        <f t="shared" si="4"/>
        <v>547.43585484879611</v>
      </c>
      <c r="AM62" s="59">
        <f t="shared" si="5"/>
        <v>840.76918818212948</v>
      </c>
      <c r="AN62" s="59">
        <f ca="1">AVERAGE(OFFSET($AM$3,0,0,'Données projet'!$E$10+1,1))-AVERAGE(OFFSET($H$3,0,0,'Données projet'!$E$10+1,1))</f>
        <v>300.80663531652721</v>
      </c>
      <c r="AO62" s="59">
        <f t="shared" si="36"/>
        <v>306.01967513533549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29.848488004809283</v>
      </c>
      <c r="AV62" s="21">
        <f>EXP(-LN(2)/25)*AV61+(1-EXP(-LN(2)/25))/(LN(2)/25)*Calculateur!AQ62*Calculateur!AS62*VLOOKUP('Données projet'!$B$10,Paramètres!$A$1:$I$89,3,0)*0.475*44/12</f>
        <v>40.250793358375681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70.099281363184957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199</v>
      </c>
      <c r="L63" s="12">
        <f>VLOOKUP(A63,'Données projet'!$A$35:$I$55,9,0)</f>
        <v>5.2</v>
      </c>
      <c r="M63" s="12">
        <f t="array" ref="M63">INDEX(L:L,MIN(IF(ISNUMBER(L63:L259),ROW(L63:L259),"")))</f>
        <v>5.2</v>
      </c>
      <c r="N63" s="13">
        <f>IF('Données projet'!$A$36&gt;35,N62+M63-V62,IF(A63&lt;'Données projet'!$A$36,$K$205^A63,IF(A63='Données projet'!$A$36,'Données projet'!$B$36,N62+M63-V62)))</f>
        <v>198.99999999999989</v>
      </c>
      <c r="O63" s="13">
        <f>N63*VLOOKUP('Données projet'!$B$9,Paramètres!$A$1:$I$89,3,0)*VLOOKUP('Données projet'!$B$9,Paramètres!$A$1:$I$89,5,0)</f>
        <v>173.8463999999999</v>
      </c>
      <c r="P63" s="13">
        <f t="shared" si="33"/>
        <v>43.950364270382252</v>
      </c>
      <c r="Q63" s="20">
        <f t="shared" si="53"/>
        <v>379.32936443758223</v>
      </c>
      <c r="R63" s="59">
        <f t="shared" si="0"/>
        <v>672.66269777091554</v>
      </c>
      <c r="S63" s="59">
        <f ca="1">AVERAGE(OFFSET($R$3,0,0,'Données projet'!$E$9+1,1))-AVERAGE(OFFSET($H$3,0,0,'Données projet'!$E$9+1,1))</f>
        <v>298.478198405424</v>
      </c>
      <c r="T63" s="59">
        <f t="shared" si="34"/>
        <v>313.2817272662549</v>
      </c>
      <c r="U63" s="15">
        <f>IF(ISNA(VLOOKUP(A63,'Données projet'!$A$35:$I$55,3,0)),0,VLOOKUP(A63,'Données projet'!$A$35:$I$55,3,0))</f>
        <v>9</v>
      </c>
      <c r="V63" s="15">
        <f>IF(ISNA(VLOOKUP(A63,'Données projet'!$A$35:$I$55,4,0)),0,VLOOKUP(A63,'Données projet'!$A$35:$I$55,4,0))</f>
        <v>19</v>
      </c>
      <c r="W63" s="16">
        <f>IF(ISNA(VLOOKUP(A63,'Données projet'!$A$35:$I$55,5,0)),0%,VLOOKUP(A63,'Données projet'!$A$35:$I$55,5,0)*VLOOKUP('Données projet'!$B$9,Paramètres!$A$1:$I$89,7,0))</f>
        <v>0.25800000000000001</v>
      </c>
      <c r="X63" s="16">
        <f>IF(ISNA(VLOOKUP(A63,'Données projet'!$A$35:$I$55,6,0)),0%,VLOOKUP(A63,'Données projet'!$A$35:$I$55,6,0)*VLOOKUP('Données projet'!$B$9,Paramètres!$A$1:$I$89,7,0))</f>
        <v>0.129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28.442678667089531</v>
      </c>
      <c r="AA63" s="21">
        <f>EXP(-LN(2)/25)*AA62+(1-EXP(-LN(2)/25))/(LN(2)/25)*Calculateur!V63*Calculateur!X63*VLOOKUP('Données projet'!$B$9,Paramètres!$A$1:$I$89,3,0)*0.475*44/12</f>
        <v>18.986436366095585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47.429115033185113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436.34</v>
      </c>
      <c r="AG63" s="12">
        <f>VLOOKUP(A63,'Données projet'!$A$61:$I$81,9,0)</f>
        <v>13.14</v>
      </c>
      <c r="AH63" s="12">
        <f t="array" ref="AH63">INDEX(AG:AG,MIN(IF(ISNUMBER(AG63:AG259),ROW(AG63:AG259),"")))</f>
        <v>13.14</v>
      </c>
      <c r="AI63" s="13">
        <f>IF('Données projet'!$A$62&gt;35,AI62+AH63-AQ62,IF(A63&lt;'Données projet'!$A$62,$AF$205^A63,IF(A63='Données projet'!$A$62,'Données projet'!$B$62,AI62+AH63-AQ62)))</f>
        <v>436.33999999999986</v>
      </c>
      <c r="AJ63" s="13">
        <f>AI63*VLOOKUP('Données projet'!$B$10,Paramètres!$A$1:$I$89,3,0)*VLOOKUP('Données projet'!$B$10,Paramètres!$A$1:$I$89,5,0)</f>
        <v>260.93131999999991</v>
      </c>
      <c r="AK63" s="13">
        <f t="shared" si="35"/>
        <v>62.92085641383472</v>
      </c>
      <c r="AL63" s="20">
        <f t="shared" si="4"/>
        <v>564.04254058742856</v>
      </c>
      <c r="AM63" s="59">
        <f t="shared" si="5"/>
        <v>857.37587392076193</v>
      </c>
      <c r="AN63" s="59">
        <f ca="1">AVERAGE(OFFSET($AM$3,0,0,'Données projet'!$E$10+1,1))-AVERAGE(OFFSET($H$3,0,0,'Données projet'!$E$10+1,1))</f>
        <v>300.80663531652721</v>
      </c>
      <c r="AO63" s="59">
        <f t="shared" si="36"/>
        <v>306.01967513533549</v>
      </c>
      <c r="AP63" s="15">
        <f>IF(ISNA(VLOOKUP(A63,'Données projet'!$A$61:$I$81,3,0)),0,VLOOKUP(A63,'Données projet'!$A$61:$I$81,3,0))</f>
        <v>7</v>
      </c>
      <c r="AQ63" s="15">
        <f>IF(ISNA(VLOOKUP(A63,'Données projet'!$A$61:$I$81,4,0)),0,VLOOKUP(A63,'Données projet'!$A$61:$I$81,4,0))</f>
        <v>436.34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138.2979749040349</v>
      </c>
      <c r="AV63" s="21">
        <f>EXP(-LN(2)/25)*AV62+(1-EXP(-LN(2)/25))/(LN(2)/25)*Calculateur!AQ63*Calculateur!AS63*VLOOKUP('Données projet'!$B$10,Paramètres!$A$1:$I$89,3,0)*0.475*44/12</f>
        <v>85.695341582912519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223.99331648694744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4.5999999999999996</v>
      </c>
      <c r="N64" s="13">
        <f>IF('Données projet'!$A$36&gt;35,N63+M64-V63,IF(A64&lt;'Données projet'!$A$36,$K$205^A64,IF(A64='Données projet'!$A$36,'Données projet'!$B$36,N63+M64-V63)))</f>
        <v>184.59999999999988</v>
      </c>
      <c r="O64" s="13">
        <f>N64*VLOOKUP('Données projet'!$B$9,Paramètres!$A$1:$I$89,3,0)*VLOOKUP('Données projet'!$B$9,Paramètres!$A$1:$I$89,5,0)</f>
        <v>161.26655999999991</v>
      </c>
      <c r="P64" s="13">
        <f t="shared" si="33"/>
        <v>41.128060321982481</v>
      </c>
      <c r="Q64" s="20">
        <f t="shared" si="53"/>
        <v>352.50396372745263</v>
      </c>
      <c r="R64" s="59">
        <f t="shared" si="0"/>
        <v>645.83729706078589</v>
      </c>
      <c r="S64" s="59">
        <f ca="1">AVERAGE(OFFSET($R$3,0,0,'Données projet'!$E$9+1,1))-AVERAGE(OFFSET($H$3,0,0,'Données projet'!$E$9+1,1))</f>
        <v>298.478198405424</v>
      </c>
      <c r="T64" s="59">
        <f t="shared" si="34"/>
        <v>313.2817272662549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27.884935086748889</v>
      </c>
      <c r="AA64" s="21">
        <f>EXP(-LN(2)/25)*AA63+(1-EXP(-LN(2)/25))/(LN(2)/25)*Calculateur!V64*Calculateur!X64*VLOOKUP('Données projet'!$B$9,Paramètres!$A$1:$I$89,3,0)*0.475*44/12</f>
        <v>18.467251265211406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46.352186351960299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-1.1368683772161603E-13</v>
      </c>
      <c r="AJ64" s="13">
        <f>AI64*VLOOKUP('Données projet'!$B$10,Paramètres!$A$1:$I$89,3,0)*VLOOKUP('Données projet'!$B$10,Paramètres!$A$1:$I$89,5,0)</f>
        <v>-6.7984728957526396E-14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300.80663531652721</v>
      </c>
      <c r="AO64" s="59">
        <f t="shared" si="36"/>
        <v>306.01967513533549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135.58603596960225</v>
      </c>
      <c r="AV64" s="21">
        <f>EXP(-LN(2)/25)*AV63+(1-EXP(-LN(2)/25))/(LN(2)/25)*Calculateur!AQ64*Calculateur!AS64*VLOOKUP('Données projet'!$B$10,Paramètres!$A$1:$I$89,3,0)*0.475*44/12</f>
        <v>83.351997960805619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218.93803393040787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4.5999999999999996</v>
      </c>
      <c r="N65" s="13">
        <f>IF('Données projet'!$A$36&gt;35,N64+M65-V64,IF(A65&lt;'Données projet'!$A$36,$K$205^A65,IF(A65='Données projet'!$A$36,'Données projet'!$B$36,N64+M65-V64)))</f>
        <v>189.19999999999987</v>
      </c>
      <c r="O65" s="13">
        <f>N65*VLOOKUP('Données projet'!$B$9,Paramètres!$A$1:$I$89,3,0)*VLOOKUP('Données projet'!$B$9,Paramètres!$A$1:$I$89,5,0)</f>
        <v>165.28511999999992</v>
      </c>
      <c r="P65" s="13">
        <f t="shared" si="33"/>
        <v>42.032324946671743</v>
      </c>
      <c r="Q65" s="20">
        <f t="shared" si="53"/>
        <v>361.07788328211979</v>
      </c>
      <c r="R65" s="59">
        <f t="shared" si="0"/>
        <v>654.4112166154531</v>
      </c>
      <c r="S65" s="59">
        <f ca="1">AVERAGE(OFFSET($R$3,0,0,'Données projet'!$E$9+1,1))-AVERAGE(OFFSET($H$3,0,0,'Données projet'!$E$9+1,1))</f>
        <v>298.478198405424</v>
      </c>
      <c r="T65" s="59">
        <f t="shared" si="34"/>
        <v>313.2817272662549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27.338128517828732</v>
      </c>
      <c r="AA65" s="21">
        <f>EXP(-LN(2)/25)*AA64+(1-EXP(-LN(2)/25))/(LN(2)/25)*Calculateur!V65*Calculateur!X65*VLOOKUP('Données projet'!$B$9,Paramètres!$A$1:$I$89,3,0)*0.475*44/12</f>
        <v>17.962263308213664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45.3003918260424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-1.1368683772161603E-13</v>
      </c>
      <c r="AJ65" s="13">
        <f>AI65*VLOOKUP('Données projet'!$B$10,Paramètres!$A$1:$I$89,3,0)*VLOOKUP('Données projet'!$B$10,Paramètres!$A$1:$I$89,5,0)</f>
        <v>-6.7984728957526396E-14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300.80663531652721</v>
      </c>
      <c r="AO65" s="59">
        <f t="shared" si="36"/>
        <v>306.01967513533549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132.92727650355442</v>
      </c>
      <c r="AV65" s="21">
        <f>EXP(-LN(2)/25)*AV64+(1-EXP(-LN(2)/25))/(LN(2)/25)*Calculateur!AQ65*Calculateur!AS65*VLOOKUP('Données projet'!$B$10,Paramètres!$A$1:$I$89,3,0)*0.475*44/12</f>
        <v>81.072733193276321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214.00000969683074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4.5999999999999996</v>
      </c>
      <c r="N66" s="13">
        <f>IF('Données projet'!$A$36&gt;35,N65+M66-V65,IF(A66&lt;'Données projet'!$A$36,$K$205^A66,IF(A66='Données projet'!$A$36,'Données projet'!$B$36,N65+M66-V65)))</f>
        <v>193.79999999999987</v>
      </c>
      <c r="O66" s="13">
        <f>N66*VLOOKUP('Données projet'!$B$9,Paramètres!$A$1:$I$89,3,0)*VLOOKUP('Données projet'!$B$9,Paramètres!$A$1:$I$89,5,0)</f>
        <v>169.3036799999999</v>
      </c>
      <c r="P66" s="13">
        <f t="shared" si="33"/>
        <v>42.934033834973214</v>
      </c>
      <c r="Q66" s="20">
        <f t="shared" si="53"/>
        <v>369.64735159591146</v>
      </c>
      <c r="R66" s="59">
        <f t="shared" si="0"/>
        <v>662.98068492924472</v>
      </c>
      <c r="S66" s="59">
        <f ca="1">AVERAGE(OFFSET($R$3,0,0,'Données projet'!$E$9+1,1))-AVERAGE(OFFSET($H$3,0,0,'Données projet'!$E$9+1,1))</f>
        <v>298.478198405424</v>
      </c>
      <c r="T66" s="59">
        <f t="shared" si="34"/>
        <v>313.2817272662549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26.802044492206026</v>
      </c>
      <c r="AA66" s="21">
        <f>EXP(-LN(2)/25)*AA65+(1-EXP(-LN(2)/25))/(LN(2)/25)*Calculateur!V66*Calculateur!X66*VLOOKUP('Données projet'!$B$9,Paramètres!$A$1:$I$89,3,0)*0.475*44/12</f>
        <v>17.471084273456189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44.273128765662214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-1.1368683772161603E-13</v>
      </c>
      <c r="AJ66" s="13">
        <f>AI66*VLOOKUP('Données projet'!$B$10,Paramètres!$A$1:$I$89,3,0)*VLOOKUP('Données projet'!$B$10,Paramètres!$A$1:$I$89,5,0)</f>
        <v>-6.7984728957526396E-14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300.80663531652721</v>
      </c>
      <c r="AO66" s="59">
        <f t="shared" si="36"/>
        <v>306.01967513533549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130.32065368895263</v>
      </c>
      <c r="AV66" s="21">
        <f>EXP(-LN(2)/25)*AV65+(1-EXP(-LN(2)/25))/(LN(2)/25)*Calculateur!AQ66*Calculateur!AS66*VLOOKUP('Données projet'!$B$10,Paramètres!$A$1:$I$89,3,0)*0.475*44/12</f>
        <v>78.855795040676441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209.17644872962907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4.5999999999999996</v>
      </c>
      <c r="N67" s="13">
        <f>IF('Données projet'!$A$36&gt;35,N66+M67-V66,IF(A67&lt;'Données projet'!$A$36,$K$205^A67,IF(A67='Données projet'!$A$36,'Données projet'!$B$36,N66+M67-V66)))</f>
        <v>198.39999999999986</v>
      </c>
      <c r="O67" s="13">
        <f>N67*VLOOKUP('Données projet'!$B$9,Paramètres!$A$1:$I$89,3,0)*VLOOKUP('Données projet'!$B$9,Paramètres!$A$1:$I$89,5,0)</f>
        <v>173.32223999999988</v>
      </c>
      <c r="P67" s="13">
        <f t="shared" si="33"/>
        <v>43.833254629845086</v>
      </c>
      <c r="Q67" s="20">
        <f t="shared" ref="Q67:Q98" si="54">(O67+P67)*0.475*44/12</f>
        <v>378.2124864803132</v>
      </c>
      <c r="R67" s="59">
        <f t="shared" ref="R67:R130" si="55">Q67+(I67+J67)*44/12</f>
        <v>671.54581981364652</v>
      </c>
      <c r="S67" s="59">
        <f ca="1">AVERAGE(OFFSET($R$3,0,0,'Données projet'!$E$9+1,1))-AVERAGE(OFFSET($H$3,0,0,'Données projet'!$E$9+1,1))</f>
        <v>298.478198405424</v>
      </c>
      <c r="T67" s="59">
        <f t="shared" si="34"/>
        <v>313.2817272662549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26.276472747346812</v>
      </c>
      <c r="AA67" s="21">
        <f>EXP(-LN(2)/25)*AA66+(1-EXP(-LN(2)/25))/(LN(2)/25)*Calculateur!V67*Calculateur!X67*VLOOKUP('Données projet'!$B$9,Paramètres!$A$1:$I$89,3,0)*0.475*44/12</f>
        <v>16.993336555234137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43.269809302580953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-1.1368683772161603E-13</v>
      </c>
      <c r="AJ67" s="13">
        <f>AI67*VLOOKUP('Données projet'!$B$10,Paramètres!$A$1:$I$89,3,0)*VLOOKUP('Données projet'!$B$10,Paramètres!$A$1:$I$89,5,0)</f>
        <v>-6.7984728957526396E-14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300.80663531652721</v>
      </c>
      <c r="AO67" s="59">
        <f t="shared" si="36"/>
        <v>306.01967513533549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127.76514515786226</v>
      </c>
      <c r="AV67" s="21">
        <f>EXP(-LN(2)/25)*AV66+(1-EXP(-LN(2)/25))/(LN(2)/25)*Calculateur!AQ67*Calculateur!AS67*VLOOKUP('Données projet'!$B$10,Paramètres!$A$1:$I$89,3,0)*0.475*44/12</f>
        <v>76.699479178443113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204.46462433630538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203</v>
      </c>
      <c r="L68" s="12">
        <f>VLOOKUP(A68,'Données projet'!$A$35:$I$55,9,0)</f>
        <v>4.5999999999999996</v>
      </c>
      <c r="M68" s="12">
        <f t="array" ref="M68">INDEX(L:L,MIN(IF(ISNUMBER(L68:L264),ROW(L68:L264),"")))</f>
        <v>4.5999999999999996</v>
      </c>
      <c r="N68" s="13">
        <f>IF('Données projet'!$A$36&gt;35,N67+M68-V67,IF(A68&lt;'Données projet'!$A$36,$K$205^A68,IF(A68='Données projet'!$A$36,'Données projet'!$B$36,N67+M68-V67)))</f>
        <v>202.99999999999986</v>
      </c>
      <c r="O68" s="13">
        <f>N68*VLOOKUP('Données projet'!$B$9,Paramètres!$A$1:$I$89,3,0)*VLOOKUP('Données projet'!$B$9,Paramètres!$A$1:$I$89,5,0)</f>
        <v>177.34079999999992</v>
      </c>
      <c r="P68" s="13">
        <f t="shared" si="33"/>
        <v>44.73005165860306</v>
      </c>
      <c r="Q68" s="20">
        <f t="shared" si="54"/>
        <v>386.7733999720669</v>
      </c>
      <c r="R68" s="59">
        <f t="shared" si="55"/>
        <v>680.10673330540021</v>
      </c>
      <c r="S68" s="59">
        <f ca="1">AVERAGE(OFFSET($R$3,0,0,'Données projet'!$E$9+1,1))-AVERAGE(OFFSET($H$3,0,0,'Données projet'!$E$9+1,1))</f>
        <v>298.478198405424</v>
      </c>
      <c r="T68" s="59">
        <f t="shared" si="34"/>
        <v>313.2817272662549</v>
      </c>
      <c r="U68" s="15">
        <f>IF(ISNA(VLOOKUP(A68,'Données projet'!$A$35:$I$55,3,0)),0,VLOOKUP(A68,'Données projet'!$A$35:$I$55,3,0))</f>
        <v>10</v>
      </c>
      <c r="V68" s="15">
        <f>IF(ISNA(VLOOKUP(A68,'Données projet'!$A$35:$I$55,4,0)),0,VLOOKUP(A68,'Données projet'!$A$35:$I$55,4,0))</f>
        <v>17</v>
      </c>
      <c r="W68" s="16">
        <f>IF(ISNA(VLOOKUP(A68,'Données projet'!$A$35:$I$55,5,0)),0%,VLOOKUP(A68,'Données projet'!$A$35:$I$55,5,0)*VLOOKUP('Données projet'!$B$9,Paramètres!$A$1:$I$89,7,0))</f>
        <v>0.25800000000000001</v>
      </c>
      <c r="X68" s="16">
        <f>IF(ISNA(VLOOKUP(A68,'Données projet'!$A$35:$I$55,6,0)),0%,VLOOKUP(A68,'Données projet'!$A$35:$I$55,6,0)*VLOOKUP('Données projet'!$B$9,Paramètres!$A$1:$I$89,7,0))</f>
        <v>0.129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29.996938062571271</v>
      </c>
      <c r="AA68" s="21">
        <f>EXP(-LN(2)/25)*AA67+(1-EXP(-LN(2)/25))/(LN(2)/25)*Calculateur!V68*Calculateur!X68*VLOOKUP('Données projet'!$B$9,Paramètres!$A$1:$I$89,3,0)*0.475*44/12</f>
        <v>18.638179489574043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48.635117552145317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-1.1368683772161603E-13</v>
      </c>
      <c r="AJ68" s="13">
        <f>AI68*VLOOKUP('Données projet'!$B$10,Paramètres!$A$1:$I$89,3,0)*VLOOKUP('Données projet'!$B$10,Paramètres!$A$1:$I$89,5,0)</f>
        <v>-6.7984728957526396E-14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300.80663531652721</v>
      </c>
      <c r="AO68" s="59">
        <f t="shared" si="36"/>
        <v>306.01967513533549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125.25974859036027</v>
      </c>
      <c r="AV68" s="21">
        <f>EXP(-LN(2)/25)*AV67+(1-EXP(-LN(2)/25))/(LN(2)/25)*Calculateur!AQ68*Calculateur!AS68*VLOOKUP('Données projet'!$B$10,Paramètres!$A$1:$I$89,3,0)*0.475*44/12</f>
        <v>74.60212788685827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199.86187647721854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</v>
      </c>
      <c r="N69" s="13">
        <f>IF('Données projet'!$A$36&gt;35,N68+M69-V68,IF(A69&lt;'Données projet'!$A$36,$K$205^A69,IF(A69='Données projet'!$A$36,'Données projet'!$B$36,N68+M69-V68)))</f>
        <v>189.99999999999986</v>
      </c>
      <c r="O69" s="13">
        <f>N69*VLOOKUP('Données projet'!$B$9,Paramètres!$A$1:$I$89,3,0)*VLOOKUP('Données projet'!$B$9,Paramètres!$A$1:$I$89,5,0)</f>
        <v>165.9839999999999</v>
      </c>
      <c r="P69" s="13">
        <f t="shared" ref="P69:P132" si="87">EXP(-1.0587+0.8836*LN(O69)+0.284)</f>
        <v>42.189325525922243</v>
      </c>
      <c r="Q69" s="20">
        <f t="shared" si="54"/>
        <v>362.56854195764771</v>
      </c>
      <c r="R69" s="59">
        <f t="shared" si="55"/>
        <v>655.90187529098102</v>
      </c>
      <c r="S69" s="59">
        <f ca="1">AVERAGE(OFFSET($R$3,0,0,'Données projet'!$E$9+1,1))-AVERAGE(OFFSET($H$3,0,0,'Données projet'!$E$9+1,1))</f>
        <v>298.478198405424</v>
      </c>
      <c r="T69" s="59">
        <f t="shared" ref="T69:T132" si="88">$T$3</f>
        <v>313.2817272662549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29.408716403489855</v>
      </c>
      <c r="AA69" s="21">
        <f>EXP(-LN(2)/25)*AA68+(1-EXP(-LN(2)/25))/(LN(2)/25)*Calculateur!V69*Calculateur!X69*VLOOKUP('Données projet'!$B$9,Paramètres!$A$1:$I$89,3,0)*0.475*44/12</f>
        <v>18.128517491292378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47.537233894782233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-1.1368683772161603E-13</v>
      </c>
      <c r="AJ69" s="13">
        <f>AI69*VLOOKUP('Données projet'!$B$10,Paramètres!$A$1:$I$89,3,0)*VLOOKUP('Données projet'!$B$10,Paramètres!$A$1:$I$89,5,0)</f>
        <v>-6.7984728957526396E-14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300.80663531652721</v>
      </c>
      <c r="AO69" s="59">
        <f t="shared" ref="AO69:AO132" si="90">$AO$3</f>
        <v>306.01967513533549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122.80348132140598</v>
      </c>
      <c r="AV69" s="21">
        <f>EXP(-LN(2)/25)*AV68+(1-EXP(-LN(2)/25))/(LN(2)/25)*Calculateur!AQ69*Calculateur!AS69*VLOOKUP('Données projet'!$B$10,Paramètres!$A$1:$I$89,3,0)*0.475*44/12</f>
        <v>72.562128776636726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195.36561009804271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</v>
      </c>
      <c r="N70" s="13">
        <f>IF('Données projet'!$A$36&gt;35,N69+M70-V69,IF(A70&lt;'Données projet'!$A$36,$K$205^A70,IF(A70='Données projet'!$A$36,'Données projet'!$B$36,N69+M70-V69)))</f>
        <v>193.99999999999986</v>
      </c>
      <c r="O70" s="13">
        <f>N70*VLOOKUP('Données projet'!$B$9,Paramètres!$A$1:$I$89,3,0)*VLOOKUP('Données projet'!$B$9,Paramètres!$A$1:$I$89,5,0)</f>
        <v>169.47839999999991</v>
      </c>
      <c r="P70" s="13">
        <f t="shared" si="87"/>
        <v>42.973181651930297</v>
      </c>
      <c r="Q70" s="20">
        <f t="shared" si="54"/>
        <v>370.01983804377841</v>
      </c>
      <c r="R70" s="59">
        <f t="shared" si="55"/>
        <v>663.35317137711172</v>
      </c>
      <c r="S70" s="59">
        <f ca="1">AVERAGE(OFFSET($R$3,0,0,'Données projet'!$E$9+1,1))-AVERAGE(OFFSET($H$3,0,0,'Données projet'!$E$9+1,1))</f>
        <v>298.478198405424</v>
      </c>
      <c r="T70" s="59">
        <f t="shared" si="88"/>
        <v>313.2817272662549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28.832029412363241</v>
      </c>
      <c r="AA70" s="21">
        <f>EXP(-LN(2)/25)*AA69+(1-EXP(-LN(2)/25))/(LN(2)/25)*Calculateur!V70*Calculateur!X70*VLOOKUP('Données projet'!$B$9,Paramètres!$A$1:$I$89,3,0)*0.475*44/12</f>
        <v>17.632792227155687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46.464821639518931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-1.1368683772161603E-13</v>
      </c>
      <c r="AJ70" s="13">
        <f>AI70*VLOOKUP('Données projet'!$B$10,Paramètres!$A$1:$I$89,3,0)*VLOOKUP('Données projet'!$B$10,Paramètres!$A$1:$I$89,5,0)</f>
        <v>-6.7984728957526396E-14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300.80663531652721</v>
      </c>
      <c r="AO70" s="59">
        <f t="shared" si="90"/>
        <v>306.01967513533549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120.39537995542079</v>
      </c>
      <c r="AV70" s="21">
        <f>EXP(-LN(2)/25)*AV69+(1-EXP(-LN(2)/25))/(LN(2)/25)*Calculateur!AQ70*Calculateur!AS70*VLOOKUP('Données projet'!$B$10,Paramètres!$A$1:$I$89,3,0)*0.475*44/12</f>
        <v>70.577913549363089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190.9732935047839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</v>
      </c>
      <c r="N71" s="13">
        <f>IF('Données projet'!$A$36&gt;35,N70+M71-V70,IF(A71&lt;'Données projet'!$A$36,$K$205^A71,IF(A71='Données projet'!$A$36,'Données projet'!$B$36,N70+M71-V70)))</f>
        <v>197.99999999999986</v>
      </c>
      <c r="O71" s="13">
        <f>N71*VLOOKUP('Données projet'!$B$9,Paramètres!$A$1:$I$89,3,0)*VLOOKUP('Données projet'!$B$9,Paramètres!$A$1:$I$89,5,0)</f>
        <v>172.97279999999989</v>
      </c>
      <c r="P71" s="13">
        <f t="shared" si="87"/>
        <v>43.755158638197244</v>
      </c>
      <c r="Q71" s="20">
        <f t="shared" si="54"/>
        <v>377.46786129486003</v>
      </c>
      <c r="R71" s="59">
        <f t="shared" si="55"/>
        <v>670.80119462819334</v>
      </c>
      <c r="S71" s="59">
        <f ca="1">AVERAGE(OFFSET($R$3,0,0,'Données projet'!$E$9+1,1))-AVERAGE(OFFSET($H$3,0,0,'Données projet'!$E$9+1,1))</f>
        <v>298.478198405424</v>
      </c>
      <c r="T71" s="59">
        <f t="shared" si="88"/>
        <v>313.2817272662549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28.266650901388285</v>
      </c>
      <c r="AA71" s="21">
        <f>EXP(-LN(2)/25)*AA70+(1-EXP(-LN(2)/25))/(LN(2)/25)*Calculateur!V71*Calculateur!X71*VLOOKUP('Données projet'!$B$9,Paramètres!$A$1:$I$89,3,0)*0.475*44/12</f>
        <v>17.15062259643587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45.417273497824155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-1.1368683772161603E-13</v>
      </c>
      <c r="AJ71" s="13">
        <f>AI71*VLOOKUP('Données projet'!$B$10,Paramètres!$A$1:$I$89,3,0)*VLOOKUP('Données projet'!$B$10,Paramètres!$A$1:$I$89,5,0)</f>
        <v>-6.7984728957526396E-14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300.80663531652721</v>
      </c>
      <c r="AO71" s="59">
        <f t="shared" si="90"/>
        <v>306.01967513533549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118.03449998842576</v>
      </c>
      <c r="AV71" s="21">
        <f>EXP(-LN(2)/25)*AV70+(1-EXP(-LN(2)/25))/(LN(2)/25)*Calculateur!AQ71*Calculateur!AS71*VLOOKUP('Données projet'!$B$10,Paramètres!$A$1:$I$89,3,0)*0.475*44/12</f>
        <v>68.647956791824583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186.68245678025033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</v>
      </c>
      <c r="N72" s="13">
        <f>IF('Données projet'!$A$36&gt;35,N71+M72-V71,IF(A72&lt;'Données projet'!$A$36,$K$205^A72,IF(A72='Données projet'!$A$36,'Données projet'!$B$36,N71+M72-V71)))</f>
        <v>201.99999999999986</v>
      </c>
      <c r="O72" s="13">
        <f>N72*VLOOKUP('Données projet'!$B$9,Paramètres!$A$1:$I$89,3,0)*VLOOKUP('Données projet'!$B$9,Paramètres!$A$1:$I$89,5,0)</f>
        <v>176.46719999999991</v>
      </c>
      <c r="P72" s="13">
        <f t="shared" si="87"/>
        <v>44.535298821989393</v>
      </c>
      <c r="Q72" s="20">
        <f t="shared" si="54"/>
        <v>384.91268544829796</v>
      </c>
      <c r="R72" s="59">
        <f t="shared" si="55"/>
        <v>678.24601878163128</v>
      </c>
      <c r="S72" s="59">
        <f ca="1">AVERAGE(OFFSET($R$3,0,0,'Données projet'!$E$9+1,1))-AVERAGE(OFFSET($H$3,0,0,'Données projet'!$E$9+1,1))</f>
        <v>298.478198405424</v>
      </c>
      <c r="T72" s="59">
        <f t="shared" si="88"/>
        <v>313.2817272662549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27.712359118166709</v>
      </c>
      <c r="AA72" s="21">
        <f>EXP(-LN(2)/25)*AA71+(1-EXP(-LN(2)/25))/(LN(2)/25)*Calculateur!V72*Calculateur!X72*VLOOKUP('Données projet'!$B$9,Paramètres!$A$1:$I$89,3,0)*0.475*44/12</f>
        <v>16.681637919624286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44.393997037790996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-1.1368683772161603E-13</v>
      </c>
      <c r="AJ72" s="13">
        <f>AI72*VLOOKUP('Données projet'!$B$10,Paramètres!$A$1:$I$89,3,0)*VLOOKUP('Données projet'!$B$10,Paramètres!$A$1:$I$89,5,0)</f>
        <v>-6.7984728957526396E-14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300.80663531652721</v>
      </c>
      <c r="AO72" s="59">
        <f t="shared" si="90"/>
        <v>306.01967513533549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115.71991543758892</v>
      </c>
      <c r="AV72" s="21">
        <f>EXP(-LN(2)/25)*AV71+(1-EXP(-LN(2)/25))/(LN(2)/25)*Calculateur!AQ72*Calculateur!AS72*VLOOKUP('Données projet'!$B$10,Paramètres!$A$1:$I$89,3,0)*0.475*44/12</f>
        <v>66.770774803312989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182.49069024090193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206</v>
      </c>
      <c r="L73" s="12">
        <f>VLOOKUP(A73,'Données projet'!$A$35:$I$55,9,0)</f>
        <v>4</v>
      </c>
      <c r="M73" s="12">
        <f t="array" ref="M73">INDEX(L:L,MIN(IF(ISNUMBER(L73:L269),ROW(L73:L269),"")))</f>
        <v>4</v>
      </c>
      <c r="N73" s="13">
        <f>IF('Données projet'!$A$36&gt;35,N72+M73-V72,IF(A73&lt;'Données projet'!$A$36,$K$205^A73,IF(A73='Données projet'!$A$36,'Données projet'!$B$36,N72+M73-V72)))</f>
        <v>205.99999999999986</v>
      </c>
      <c r="O73" s="13">
        <f>N73*VLOOKUP('Données projet'!$B$9,Paramètres!$A$1:$I$89,3,0)*VLOOKUP('Données projet'!$B$9,Paramètres!$A$1:$I$89,5,0)</f>
        <v>179.96159999999989</v>
      </c>
      <c r="P73" s="13">
        <f t="shared" si="87"/>
        <v>45.313642767960104</v>
      </c>
      <c r="Q73" s="20">
        <f t="shared" si="54"/>
        <v>392.35438115419691</v>
      </c>
      <c r="R73" s="59">
        <f t="shared" si="55"/>
        <v>685.68771448753023</v>
      </c>
      <c r="S73" s="59">
        <f ca="1">AVERAGE(OFFSET($R$3,0,0,'Données projet'!$E$9+1,1))-AVERAGE(OFFSET($H$3,0,0,'Données projet'!$E$9+1,1))</f>
        <v>298.478198405424</v>
      </c>
      <c r="T73" s="59">
        <f t="shared" si="88"/>
        <v>313.2817272662549</v>
      </c>
      <c r="U73" s="15">
        <f>IF(ISNA(VLOOKUP(A73,'Données projet'!$A$35:$I$55,3,0)),0,VLOOKUP(A73,'Données projet'!$A$35:$I$55,3,0))</f>
        <v>11</v>
      </c>
      <c r="V73" s="15">
        <f>IF(ISNA(VLOOKUP(A73,'Données projet'!$A$35:$I$55,4,0)),0,VLOOKUP(A73,'Données projet'!$A$35:$I$55,4,0))</f>
        <v>15</v>
      </c>
      <c r="W73" s="16">
        <f>IF(ISNA(VLOOKUP(A73,'Données projet'!$A$35:$I$55,5,0)),0%,VLOOKUP(A73,'Données projet'!$A$35:$I$55,5,0)*VLOOKUP('Données projet'!$B$9,Paramètres!$A$1:$I$89,7,0))</f>
        <v>0.25800000000000001</v>
      </c>
      <c r="X73" s="16">
        <f>IF(ISNA(VLOOKUP(A73,'Données projet'!$A$35:$I$55,6,0)),0%,VLOOKUP(A73,'Données projet'!$A$35:$I$55,6,0)*VLOOKUP('Données projet'!$B$9,Paramètres!$A$1:$I$89,7,0))</f>
        <v>0.129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30.906346292906647</v>
      </c>
      <c r="AA73" s="21">
        <f>EXP(-LN(2)/25)*AA72+(1-EXP(-LN(2)/25))/(LN(2)/25)*Calculateur!V73*Calculateur!X73*VLOOKUP('Données projet'!$B$9,Paramètres!$A$1:$I$89,3,0)*0.475*44/12</f>
        <v>18.086824667654284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48.993170960560931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-1.1368683772161603E-13</v>
      </c>
      <c r="AJ73" s="13">
        <f>AI73*VLOOKUP('Données projet'!$B$10,Paramètres!$A$1:$I$89,3,0)*VLOOKUP('Données projet'!$B$10,Paramètres!$A$1:$I$89,5,0)</f>
        <v>-6.7984728957526396E-14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300.80663531652721</v>
      </c>
      <c r="AO73" s="59">
        <f t="shared" si="90"/>
        <v>306.01967513533549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113.4507184780368</v>
      </c>
      <c r="AV73" s="21">
        <f>EXP(-LN(2)/25)*AV72+(1-EXP(-LN(2)/25))/(LN(2)/25)*Calculateur!AQ73*Calculateur!AS73*VLOOKUP('Données projet'!$B$10,Paramètres!$A$1:$I$89,3,0)*0.475*44/12</f>
        <v>64.944924454993952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178.39564293303076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3.6</v>
      </c>
      <c r="N74" s="13">
        <f>IF('Données projet'!$A$36&gt;35,N73+M74-V73,IF(A74&lt;'Données projet'!$A$36,$K$205^A74,IF(A74='Données projet'!$A$36,'Données projet'!$B$36,N73+M74-V73)))</f>
        <v>194.59999999999985</v>
      </c>
      <c r="O74" s="13">
        <f>N74*VLOOKUP('Données projet'!$B$9,Paramètres!$A$1:$I$89,3,0)*VLOOKUP('Données projet'!$B$9,Paramètres!$A$1:$I$89,5,0)</f>
        <v>170.0025599999999</v>
      </c>
      <c r="P74" s="13">
        <f t="shared" si="87"/>
        <v>43.090596939649544</v>
      </c>
      <c r="Q74" s="20">
        <f t="shared" si="54"/>
        <v>371.13724833655607</v>
      </c>
      <c r="R74" s="59">
        <f t="shared" si="55"/>
        <v>664.47058166988938</v>
      </c>
      <c r="S74" s="59">
        <f ca="1">AVERAGE(OFFSET($R$3,0,0,'Données projet'!$E$9+1,1))-AVERAGE(OFFSET($H$3,0,0,'Données projet'!$E$9+1,1))</f>
        <v>298.478198405424</v>
      </c>
      <c r="T74" s="59">
        <f t="shared" si="88"/>
        <v>313.2817272662549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30.300291693112605</v>
      </c>
      <c r="AA74" s="21">
        <f>EXP(-LN(2)/25)*AA73+(1-EXP(-LN(2)/25))/(LN(2)/25)*Calculateur!V74*Calculateur!X74*VLOOKUP('Données projet'!$B$9,Paramètres!$A$1:$I$89,3,0)*0.475*44/12</f>
        <v>17.592239495972507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47.892531189085112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-1.1368683772161603E-13</v>
      </c>
      <c r="AJ74" s="13">
        <f>AI74*VLOOKUP('Données projet'!$B$10,Paramètres!$A$1:$I$89,3,0)*VLOOKUP('Données projet'!$B$10,Paramètres!$A$1:$I$89,5,0)</f>
        <v>-6.7984728957526396E-14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300.80663531652721</v>
      </c>
      <c r="AO74" s="59">
        <f t="shared" si="90"/>
        <v>306.01967513533549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111.22601908678803</v>
      </c>
      <c r="AV74" s="21">
        <f>EXP(-LN(2)/25)*AV73+(1-EXP(-LN(2)/25))/(LN(2)/25)*Calculateur!AQ74*Calculateur!AS74*VLOOKUP('Données projet'!$B$10,Paramètres!$A$1:$I$89,3,0)*0.475*44/12</f>
        <v>63.169002080466996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174.39502116725504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3.6</v>
      </c>
      <c r="N75" s="13">
        <f>IF('Données projet'!$A$36&gt;35,N74+M75-V74,IF(A75&lt;'Données projet'!$A$36,$K$205^A75,IF(A75='Données projet'!$A$36,'Données projet'!$B$36,N74+M75-V74)))</f>
        <v>198.19999999999985</v>
      </c>
      <c r="O75" s="13">
        <f>N75*VLOOKUP('Données projet'!$B$9,Paramètres!$A$1:$I$89,3,0)*VLOOKUP('Données projet'!$B$9,Paramètres!$A$1:$I$89,5,0)</f>
        <v>173.14751999999987</v>
      </c>
      <c r="P75" s="13">
        <f t="shared" si="87"/>
        <v>43.794208927254033</v>
      </c>
      <c r="Q75" s="20">
        <f t="shared" si="54"/>
        <v>377.84017788163391</v>
      </c>
      <c r="R75" s="59">
        <f t="shared" si="55"/>
        <v>671.17351121496722</v>
      </c>
      <c r="S75" s="59">
        <f ca="1">AVERAGE(OFFSET($R$3,0,0,'Données projet'!$E$9+1,1))-AVERAGE(OFFSET($H$3,0,0,'Données projet'!$E$9+1,1))</f>
        <v>298.478198405424</v>
      </c>
      <c r="T75" s="59">
        <f t="shared" si="88"/>
        <v>313.2817272662549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29.706121454363718</v>
      </c>
      <c r="AA75" s="21">
        <f>EXP(-LN(2)/25)*AA74+(1-EXP(-LN(2)/25))/(LN(2)/25)*Calculateur!V75*Calculateur!X75*VLOOKUP('Données projet'!$B$9,Paramètres!$A$1:$I$89,3,0)*0.475*44/12</f>
        <v>17.111178781819472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46.817300236183186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-1.1368683772161603E-13</v>
      </c>
      <c r="AJ75" s="13">
        <f>AI75*VLOOKUP('Données projet'!$B$10,Paramètres!$A$1:$I$89,3,0)*VLOOKUP('Données projet'!$B$10,Paramètres!$A$1:$I$89,5,0)</f>
        <v>-6.7984728957526396E-14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300.80663531652721</v>
      </c>
      <c r="AO75" s="59">
        <f t="shared" si="90"/>
        <v>306.01967513533549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109.044944693669</v>
      </c>
      <c r="AV75" s="21">
        <f>EXP(-LN(2)/25)*AV74+(1-EXP(-LN(2)/25))/(LN(2)/25)*Calculateur!AQ75*Calculateur!AS75*VLOOKUP('Données projet'!$B$10,Paramètres!$A$1:$I$89,3,0)*0.475*44/12</f>
        <v>61.441642396663184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170.48658709033219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3.6</v>
      </c>
      <c r="N76" s="13">
        <f>IF('Données projet'!$A$36&gt;35,N75+M76-V75,IF(A76&lt;'Données projet'!$A$36,$K$205^A76,IF(A76='Données projet'!$A$36,'Données projet'!$B$36,N75+M76-V75)))</f>
        <v>201.79999999999984</v>
      </c>
      <c r="O76" s="13">
        <f>N76*VLOOKUP('Données projet'!$B$9,Paramètres!$A$1:$I$89,3,0)*VLOOKUP('Données projet'!$B$9,Paramètres!$A$1:$I$89,5,0)</f>
        <v>176.2924799999999</v>
      </c>
      <c r="P76" s="13">
        <f t="shared" si="87"/>
        <v>44.496334803721858</v>
      </c>
      <c r="Q76" s="20">
        <f t="shared" si="54"/>
        <v>384.54051911648202</v>
      </c>
      <c r="R76" s="59">
        <f t="shared" si="55"/>
        <v>677.87385244981533</v>
      </c>
      <c r="S76" s="59">
        <f ca="1">AVERAGE(OFFSET($R$3,0,0,'Données projet'!$E$9+1,1))-AVERAGE(OFFSET($H$3,0,0,'Données projet'!$E$9+1,1))</f>
        <v>298.478198405424</v>
      </c>
      <c r="T76" s="59">
        <f t="shared" si="88"/>
        <v>313.2817272662549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29.123602531588634</v>
      </c>
      <c r="AA76" s="21">
        <f>EXP(-LN(2)/25)*AA75+(1-EXP(-LN(2)/25))/(LN(2)/25)*Calculateur!V76*Calculateur!X76*VLOOKUP('Données projet'!$B$9,Paramètres!$A$1:$I$89,3,0)*0.475*44/12</f>
        <v>16.643272698192835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45.766875229781469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-1.1368683772161603E-13</v>
      </c>
      <c r="AJ76" s="13">
        <f>AI76*VLOOKUP('Données projet'!$B$10,Paramètres!$A$1:$I$89,3,0)*VLOOKUP('Données projet'!$B$10,Paramètres!$A$1:$I$89,5,0)</f>
        <v>-6.7984728957526396E-14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300.80663531652721</v>
      </c>
      <c r="AO76" s="59">
        <f t="shared" si="90"/>
        <v>306.01967513533549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106.90663983907501</v>
      </c>
      <c r="AV76" s="21">
        <f>EXP(-LN(2)/25)*AV75+(1-EXP(-LN(2)/25))/(LN(2)/25)*Calculateur!AQ76*Calculateur!AS76*VLOOKUP('Données projet'!$B$10,Paramètres!$A$1:$I$89,3,0)*0.475*44/12</f>
        <v>59.761517454250885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166.66815729332589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3.6</v>
      </c>
      <c r="N77" s="13">
        <f>IF('Données projet'!$A$36&gt;35,N76+M77-V76,IF(A77&lt;'Données projet'!$A$36,$K$205^A77,IF(A77='Données projet'!$A$36,'Données projet'!$B$36,N76+M77-V76)))</f>
        <v>205.39999999999984</v>
      </c>
      <c r="O77" s="13">
        <f>N77*VLOOKUP('Données projet'!$B$9,Paramètres!$A$1:$I$89,3,0)*VLOOKUP('Données projet'!$B$9,Paramètres!$A$1:$I$89,5,0)</f>
        <v>179.43743999999987</v>
      </c>
      <c r="P77" s="13">
        <f t="shared" si="87"/>
        <v>45.197004138831581</v>
      </c>
      <c r="Q77" s="20">
        <f t="shared" si="54"/>
        <v>391.23832354179808</v>
      </c>
      <c r="R77" s="59">
        <f t="shared" si="55"/>
        <v>684.57165687513134</v>
      </c>
      <c r="S77" s="59">
        <f ca="1">AVERAGE(OFFSET($R$3,0,0,'Données projet'!$E$9+1,1))-AVERAGE(OFFSET($H$3,0,0,'Données projet'!$E$9+1,1))</f>
        <v>298.478198405424</v>
      </c>
      <c r="T77" s="59">
        <f t="shared" si="88"/>
        <v>313.2817272662549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28.55250644958771</v>
      </c>
      <c r="AA77" s="21">
        <f>EXP(-LN(2)/25)*AA76+(1-EXP(-LN(2)/25))/(LN(2)/25)*Calculateur!V77*Calculateur!X77*VLOOKUP('Données projet'!$B$9,Paramètres!$A$1:$I$89,3,0)*0.475*44/12</f>
        <v>16.188161531029078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44.740667980616792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-1.1368683772161603E-13</v>
      </c>
      <c r="AJ77" s="13">
        <f>AI77*VLOOKUP('Données projet'!$B$10,Paramètres!$A$1:$I$89,3,0)*VLOOKUP('Données projet'!$B$10,Paramètres!$A$1:$I$89,5,0)</f>
        <v>-6.7984728957526396E-14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300.80663531652721</v>
      </c>
      <c r="AO77" s="59">
        <f t="shared" si="90"/>
        <v>306.01967513533549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104.81026583844243</v>
      </c>
      <c r="AV77" s="21">
        <f>EXP(-LN(2)/25)*AV76+(1-EXP(-LN(2)/25))/(LN(2)/25)*Calculateur!AQ77*Calculateur!AS77*VLOOKUP('Données projet'!$B$10,Paramètres!$A$1:$I$89,3,0)*0.475*44/12</f>
        <v>58.127335616742776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162.93760145518522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209</v>
      </c>
      <c r="L78" s="12">
        <f>VLOOKUP(A78,'Données projet'!$A$35:$I$55,9,0)</f>
        <v>3.6</v>
      </c>
      <c r="M78" s="12">
        <f t="array" ref="M78">INDEX(L:L,MIN(IF(ISNUMBER(L78:L274),ROW(L78:L274),"")))</f>
        <v>3.6</v>
      </c>
      <c r="N78" s="13">
        <f>IF('Données projet'!$A$36&gt;35,N77+M78-V77,IF(A78&lt;'Données projet'!$A$36,$K$205^A78,IF(A78='Données projet'!$A$36,'Données projet'!$B$36,N77+M78-V77)))</f>
        <v>208.99999999999983</v>
      </c>
      <c r="O78" s="13">
        <f>N78*VLOOKUP('Données projet'!$B$9,Paramètres!$A$1:$I$89,3,0)*VLOOKUP('Données projet'!$B$9,Paramètres!$A$1:$I$89,5,0)</f>
        <v>182.58239999999989</v>
      </c>
      <c r="P78" s="13">
        <f t="shared" si="87"/>
        <v>45.896245406460245</v>
      </c>
      <c r="Q78" s="20">
        <f t="shared" si="54"/>
        <v>397.93364074958475</v>
      </c>
      <c r="R78" s="59">
        <f t="shared" si="55"/>
        <v>691.26697408291807</v>
      </c>
      <c r="S78" s="59">
        <f ca="1">AVERAGE(OFFSET($R$3,0,0,'Données projet'!$E$9+1,1))-AVERAGE(OFFSET($H$3,0,0,'Données projet'!$E$9+1,1))</f>
        <v>298.478198405424</v>
      </c>
      <c r="T78" s="59">
        <f t="shared" si="88"/>
        <v>313.2817272662549</v>
      </c>
      <c r="U78" s="15">
        <f>IF(ISNA(VLOOKUP(A78,'Données projet'!$A$35:$I$55,3,0)),0,VLOOKUP(A78,'Données projet'!$A$35:$I$55,3,0))</f>
        <v>12</v>
      </c>
      <c r="V78" s="15">
        <f>IF(ISNA(VLOOKUP(A78,'Données projet'!$A$35:$I$55,4,0)),0,VLOOKUP(A78,'Données projet'!$A$35:$I$55,4,0))</f>
        <v>13</v>
      </c>
      <c r="W78" s="16">
        <f>IF(ISNA(VLOOKUP(A78,'Données projet'!$A$35:$I$55,5,0)),0%,VLOOKUP(A78,'Données projet'!$A$35:$I$55,5,0)*VLOOKUP('Données projet'!$B$9,Paramètres!$A$1:$I$89,7,0))</f>
        <v>0.25800000000000001</v>
      </c>
      <c r="X78" s="16">
        <f>IF(ISNA(VLOOKUP(A78,'Données projet'!$A$35:$I$55,6,0)),0%,VLOOKUP(A78,'Données projet'!$A$35:$I$55,6,0)*VLOOKUP('Données projet'!$B$9,Paramètres!$A$1:$I$89,7,0))</f>
        <v>0.129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31.2316975630408</v>
      </c>
      <c r="AA78" s="21">
        <f>EXP(-LN(2)/25)*AA77+(1-EXP(-LN(2)/25))/(LN(2)/25)*Calculateur!V78*Calculateur!X78*VLOOKUP('Données projet'!$B$9,Paramètres!$A$1:$I$89,3,0)*0.475*44/12</f>
        <v>17.358662814963829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48.590360378004632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-1.1368683772161603E-13</v>
      </c>
      <c r="AJ78" s="13">
        <f>AI78*VLOOKUP('Données projet'!$B$10,Paramètres!$A$1:$I$89,3,0)*VLOOKUP('Données projet'!$B$10,Paramètres!$A$1:$I$89,5,0)</f>
        <v>-6.7984728957526396E-14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300.80663531652721</v>
      </c>
      <c r="AO78" s="59">
        <f t="shared" si="90"/>
        <v>306.01967513533549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102.75500045330038</v>
      </c>
      <c r="AV78" s="21">
        <f>EXP(-LN(2)/25)*AV77+(1-EXP(-LN(2)/25))/(LN(2)/25)*Calculateur!AQ78*Calculateur!AS78*VLOOKUP('Données projet'!$B$10,Paramètres!$A$1:$I$89,3,0)*0.475*44/12</f>
        <v>56.537840567519218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159.29284102081959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</v>
      </c>
      <c r="N79" s="13">
        <f>IF('Données projet'!$A$36&gt;35,N78+M79-V78,IF(A79&lt;'Données projet'!$A$36,$K$205^A79,IF(A79='Données projet'!$A$36,'Données projet'!$B$36,N78+M79-V78)))</f>
        <v>198.99999999999983</v>
      </c>
      <c r="O79" s="13">
        <f>N79*VLOOKUP('Données projet'!$B$9,Paramètres!$A$1:$I$89,3,0)*VLOOKUP('Données projet'!$B$9,Paramètres!$A$1:$I$89,5,0)</f>
        <v>173.84639999999987</v>
      </c>
      <c r="P79" s="13">
        <f t="shared" si="87"/>
        <v>43.950364270382252</v>
      </c>
      <c r="Q79" s="20">
        <f t="shared" si="54"/>
        <v>379.32936443758223</v>
      </c>
      <c r="R79" s="59">
        <f t="shared" si="55"/>
        <v>672.66269777091554</v>
      </c>
      <c r="S79" s="59">
        <f ca="1">AVERAGE(OFFSET($R$3,0,0,'Données projet'!$E$9+1,1))-AVERAGE(OFFSET($H$3,0,0,'Données projet'!$E$9+1,1))</f>
        <v>298.478198405424</v>
      </c>
      <c r="T79" s="59">
        <f t="shared" si="88"/>
        <v>313.2817272662549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30.619263023284105</v>
      </c>
      <c r="AA79" s="21">
        <f>EXP(-LN(2)/25)*AA78+(1-EXP(-LN(2)/25))/(LN(2)/25)*Calculateur!V79*Calculateur!X79*VLOOKUP('Données projet'!$B$9,Paramètres!$A$1:$I$89,3,0)*0.475*44/12</f>
        <v>16.883989267436238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47.50325229072034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-1.1368683772161603E-13</v>
      </c>
      <c r="AJ79" s="13">
        <f>AI79*VLOOKUP('Données projet'!$B$10,Paramètres!$A$1:$I$89,3,0)*VLOOKUP('Données projet'!$B$10,Paramètres!$A$1:$I$89,5,0)</f>
        <v>-6.7984728957526396E-14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300.80663531652721</v>
      </c>
      <c r="AO79" s="59">
        <f t="shared" si="90"/>
        <v>306.01967513533549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100.74003756877286</v>
      </c>
      <c r="AV79" s="21">
        <f>EXP(-LN(2)/25)*AV78+(1-EXP(-LN(2)/25))/(LN(2)/25)*Calculateur!AQ79*Calculateur!AS79*VLOOKUP('Données projet'!$B$10,Paramètres!$A$1:$I$89,3,0)*0.475*44/12</f>
        <v>54.991810344004591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155.73184791277745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</v>
      </c>
      <c r="N80" s="13">
        <f>IF('Données projet'!$A$36&gt;35,N79+M80-V79,IF(A80&lt;'Données projet'!$A$36,$K$205^A80,IF(A80='Données projet'!$A$36,'Données projet'!$B$36,N79+M80-V79)))</f>
        <v>201.99999999999983</v>
      </c>
      <c r="O80" s="13">
        <f>N80*VLOOKUP('Données projet'!$B$9,Paramètres!$A$1:$I$89,3,0)*VLOOKUP('Données projet'!$B$9,Paramètres!$A$1:$I$89,5,0)</f>
        <v>176.46719999999988</v>
      </c>
      <c r="P80" s="13">
        <f t="shared" si="87"/>
        <v>44.53529882198935</v>
      </c>
      <c r="Q80" s="20">
        <f t="shared" si="54"/>
        <v>384.91268544829791</v>
      </c>
      <c r="R80" s="59">
        <f t="shared" si="55"/>
        <v>678.24601878163116</v>
      </c>
      <c r="S80" s="59">
        <f ca="1">AVERAGE(OFFSET($R$3,0,0,'Données projet'!$E$9+1,1))-AVERAGE(OFFSET($H$3,0,0,'Données projet'!$E$9+1,1))</f>
        <v>298.478198405424</v>
      </c>
      <c r="T80" s="59">
        <f t="shared" si="88"/>
        <v>313.2817272662549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30.018837951303855</v>
      </c>
      <c r="AA80" s="21">
        <f>EXP(-LN(2)/25)*AA79+(1-EXP(-LN(2)/25))/(LN(2)/25)*Calculateur!V80*Calculateur!X80*VLOOKUP('Données projet'!$B$9,Paramètres!$A$1:$I$89,3,0)*0.475*44/12</f>
        <v>16.422295693027788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46.441133644331643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300.80663531652721</v>
      </c>
      <c r="AO80" s="59">
        <f t="shared" si="90"/>
        <v>306.01967513533549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98.764586877404923</v>
      </c>
      <c r="AV80" s="21">
        <f>EXP(-LN(2)/25)*AV79+(1-EXP(-LN(2)/25))/(LN(2)/25)*Calculateur!AQ80*Calculateur!AS80*VLOOKUP('Données projet'!$B$10,Paramètres!$A$1:$I$89,3,0)*0.475*44/12</f>
        <v>53.488056398254166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152.2526432756591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</v>
      </c>
      <c r="N81" s="13">
        <f>IF('Données projet'!$A$36&gt;35,N80+M81-V80,IF(A81&lt;'Données projet'!$A$36,$K$205^A81,IF(A81='Données projet'!$A$36,'Données projet'!$B$36,N80+M81-V80)))</f>
        <v>204.99999999999983</v>
      </c>
      <c r="O81" s="13">
        <f>N81*VLOOKUP('Données projet'!$B$9,Paramètres!$A$1:$I$89,3,0)*VLOOKUP('Données projet'!$B$9,Paramètres!$A$1:$I$89,5,0)</f>
        <v>179.08799999999988</v>
      </c>
      <c r="P81" s="13">
        <f t="shared" si="87"/>
        <v>45.119223023956792</v>
      </c>
      <c r="Q81" s="20">
        <f t="shared" si="54"/>
        <v>390.49424676672447</v>
      </c>
      <c r="R81" s="59">
        <f t="shared" si="55"/>
        <v>683.82758010005773</v>
      </c>
      <c r="S81" s="59">
        <f ca="1">AVERAGE(OFFSET($R$3,0,0,'Données projet'!$E$9+1,1))-AVERAGE(OFFSET($H$3,0,0,'Données projet'!$E$9+1,1))</f>
        <v>298.478198405424</v>
      </c>
      <c r="T81" s="59">
        <f t="shared" si="88"/>
        <v>313.2817272662549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29.430186848762006</v>
      </c>
      <c r="AA81" s="21">
        <f>EXP(-LN(2)/25)*AA80+(1-EXP(-LN(2)/25))/(LN(2)/25)*Calculateur!V81*Calculateur!X81*VLOOKUP('Données projet'!$B$9,Paramètres!$A$1:$I$89,3,0)*0.475*44/12</f>
        <v>15.973227153690946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45.403414002452948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300.80663531652721</v>
      </c>
      <c r="AO81" s="59">
        <f t="shared" si="90"/>
        <v>306.01967513533549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96.827873569188753</v>
      </c>
      <c r="AV81" s="21">
        <f>EXP(-LN(2)/25)*AV80+(1-EXP(-LN(2)/25))/(LN(2)/25)*Calculateur!AQ81*Calculateur!AS81*VLOOKUP('Données projet'!$B$10,Paramètres!$A$1:$I$89,3,0)*0.475*44/12</f>
        <v>52.025422683229266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148.85329625241803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</v>
      </c>
      <c r="N82" s="13">
        <f>IF('Données projet'!$A$36&gt;35,N81+M82-V81,IF(A82&lt;'Données projet'!$A$36,$K$205^A82,IF(A82='Données projet'!$A$36,'Données projet'!$B$36,N81+M82-V81)))</f>
        <v>207.99999999999983</v>
      </c>
      <c r="O82" s="13">
        <f>N82*VLOOKUP('Données projet'!$B$9,Paramètres!$A$1:$I$89,3,0)*VLOOKUP('Données projet'!$B$9,Paramètres!$A$1:$I$89,5,0)</f>
        <v>181.70879999999988</v>
      </c>
      <c r="P82" s="13">
        <f t="shared" si="87"/>
        <v>45.702153370067769</v>
      </c>
      <c r="Q82" s="20">
        <f t="shared" si="54"/>
        <v>396.07407711953448</v>
      </c>
      <c r="R82" s="59">
        <f t="shared" si="55"/>
        <v>689.40741045286779</v>
      </c>
      <c r="S82" s="59">
        <f ca="1">AVERAGE(OFFSET($R$3,0,0,'Données projet'!$E$9+1,1))-AVERAGE(OFFSET($H$3,0,0,'Données projet'!$E$9+1,1))</f>
        <v>298.478198405424</v>
      </c>
      <c r="T82" s="59">
        <f t="shared" si="88"/>
        <v>313.2817272662549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28.853078835299282</v>
      </c>
      <c r="AA82" s="21">
        <f>EXP(-LN(2)/25)*AA81+(1-EXP(-LN(2)/25))/(LN(2)/25)*Calculateur!V82*Calculateur!X82*VLOOKUP('Données projet'!$B$9,Paramètres!$A$1:$I$89,3,0)*0.475*44/12</f>
        <v>15.536438417177758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44.389517252477042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300.80663531652721</v>
      </c>
      <c r="AO82" s="59">
        <f t="shared" si="90"/>
        <v>306.01967513533549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94.92913802766823</v>
      </c>
      <c r="AV82" s="21">
        <f>EXP(-LN(2)/25)*AV81+(1-EXP(-LN(2)/25))/(LN(2)/25)*Calculateur!AQ82*Calculateur!AS82*VLOOKUP('Données projet'!$B$10,Paramètres!$A$1:$I$89,3,0)*0.475*44/12</f>
        <v>50.602784764058292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145.53192279172652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211</v>
      </c>
      <c r="L83" s="12">
        <f>VLOOKUP(A83,'Données projet'!$A$35:$I$55,9,0)</f>
        <v>3</v>
      </c>
      <c r="M83" s="12">
        <f t="array" ref="M83">INDEX(L:L,MIN(IF(ISNUMBER(L83:L279),ROW(L83:L279),"")))</f>
        <v>3</v>
      </c>
      <c r="N83" s="13">
        <f>IF('Données projet'!$A$36&gt;35,N82+M83-V82,IF(A83&lt;'Données projet'!$A$36,$K$205^A83,IF(A83='Données projet'!$A$36,'Données projet'!$B$36,N82+M83-V82)))</f>
        <v>210.99999999999983</v>
      </c>
      <c r="O83" s="13">
        <f>N83*VLOOKUP('Données projet'!$B$9,Paramètres!$A$1:$I$89,3,0)*VLOOKUP('Données projet'!$B$9,Paramètres!$A$1:$I$89,5,0)</f>
        <v>184.32959999999986</v>
      </c>
      <c r="P83" s="13">
        <f t="shared" si="87"/>
        <v>46.284105851003019</v>
      </c>
      <c r="Q83" s="20">
        <f t="shared" si="54"/>
        <v>401.65220435716333</v>
      </c>
      <c r="R83" s="59">
        <f t="shared" si="55"/>
        <v>694.98553769049659</v>
      </c>
      <c r="S83" s="59">
        <f ca="1">AVERAGE(OFFSET($R$3,0,0,'Données projet'!$E$9+1,1))-AVERAGE(OFFSET($H$3,0,0,'Données projet'!$E$9+1,1))</f>
        <v>298.478198405424</v>
      </c>
      <c r="T83" s="59">
        <f t="shared" si="88"/>
        <v>313.2817272662549</v>
      </c>
      <c r="U83" s="15">
        <f>IF(ISNA(VLOOKUP(A83,'Données projet'!$A$35:$I$55,3,0)),0,VLOOKUP(A83,'Données projet'!$A$35:$I$55,3,0))</f>
        <v>13</v>
      </c>
      <c r="V83" s="15">
        <f>IF(ISNA(VLOOKUP(A83,'Données projet'!$A$35:$I$55,4,0)),0,VLOOKUP(A83,'Données projet'!$A$35:$I$55,4,0))</f>
        <v>11</v>
      </c>
      <c r="W83" s="16">
        <f>IF(ISNA(VLOOKUP(A83,'Données projet'!$A$35:$I$55,5,0)),0%,VLOOKUP(A83,'Données projet'!$A$35:$I$55,5,0)*VLOOKUP('Données projet'!$B$9,Paramètres!$A$1:$I$89,7,0))</f>
        <v>0.25800000000000001</v>
      </c>
      <c r="X83" s="16">
        <f>IF(ISNA(VLOOKUP(A83,'Données projet'!$A$35:$I$55,6,0)),0%,VLOOKUP(A83,'Données projet'!$A$35:$I$55,6,0)*VLOOKUP('Données projet'!$B$9,Paramètres!$A$1:$I$89,7,0))</f>
        <v>0.129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31.028054623042671</v>
      </c>
      <c r="AA83" s="21">
        <f>EXP(-LN(2)/25)*AA82+(1-EXP(-LN(2)/25))/(LN(2)/25)*Calculateur!V83*Calculateur!X83*VLOOKUP('Données projet'!$B$9,Paramètres!$A$1:$I$89,3,0)*0.475*44/12</f>
        <v>16.476581502041224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47.504636125083891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300.80663531652721</v>
      </c>
      <c r="AO83" s="59">
        <f t="shared" si="90"/>
        <v>306.01967513533549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93.067635532002598</v>
      </c>
      <c r="AV83" s="21">
        <f>EXP(-LN(2)/25)*AV82+(1-EXP(-LN(2)/25))/(LN(2)/25)*Calculateur!AQ83*Calculateur!AS83*VLOOKUP('Données projet'!$B$10,Paramètres!$A$1:$I$89,3,0)*0.475*44/12</f>
        <v>49.219048953600321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142.2866844856029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2.6</v>
      </c>
      <c r="N84" s="13">
        <f>IF('Données projet'!$A$36&gt;35,N83+M84-V83,IF(A84&lt;'Données projet'!$A$36,$K$205^A84,IF(A84='Données projet'!$A$36,'Données projet'!$B$36,N83+M84-V83)))</f>
        <v>202.59999999999982</v>
      </c>
      <c r="O84" s="13">
        <f>N84*VLOOKUP('Données projet'!$B$9,Paramètres!$A$1:$I$89,3,0)*VLOOKUP('Données projet'!$B$9,Paramètres!$A$1:$I$89,5,0)</f>
        <v>176.99135999999987</v>
      </c>
      <c r="P84" s="13">
        <f t="shared" si="87"/>
        <v>44.65216395512175</v>
      </c>
      <c r="Q84" s="20">
        <f t="shared" si="54"/>
        <v>386.02913755517011</v>
      </c>
      <c r="R84" s="59">
        <f t="shared" si="55"/>
        <v>679.36247088850337</v>
      </c>
      <c r="S84" s="59">
        <f ca="1">AVERAGE(OFFSET($R$3,0,0,'Données projet'!$E$9+1,1))-AVERAGE(OFFSET($H$3,0,0,'Données projet'!$E$9+1,1))</f>
        <v>298.478198405424</v>
      </c>
      <c r="T84" s="59">
        <f t="shared" si="88"/>
        <v>313.2817272662549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30.41961339712941</v>
      </c>
      <c r="AA84" s="21">
        <f>EXP(-LN(2)/25)*AA83+(1-EXP(-LN(2)/25))/(LN(2)/25)*Calculateur!V84*Calculateur!X84*VLOOKUP('Données projet'!$B$9,Paramètres!$A$1:$I$89,3,0)*0.475*44/12</f>
        <v>16.026028514402142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46.445641911531553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300.80663531652721</v>
      </c>
      <c r="AO84" s="59">
        <f t="shared" si="90"/>
        <v>306.01967513533549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91.242635964872562</v>
      </c>
      <c r="AV84" s="21">
        <f>EXP(-LN(2)/25)*AV83+(1-EXP(-LN(2)/25))/(LN(2)/25)*Calculateur!AQ84*Calculateur!AS84*VLOOKUP('Données projet'!$B$10,Paramètres!$A$1:$I$89,3,0)*0.475*44/12</f>
        <v>47.873151471646828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139.11578743651938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2.6</v>
      </c>
      <c r="N85" s="13">
        <f>IF('Données projet'!$A$36&gt;35,N84+M85-V84,IF(A85&lt;'Données projet'!$A$36,$K$205^A85,IF(A85='Données projet'!$A$36,'Données projet'!$B$36,N84+M85-V84)))</f>
        <v>205.19999999999982</v>
      </c>
      <c r="O85" s="13">
        <f>N85*VLOOKUP('Données projet'!$B$9,Paramètres!$A$1:$I$89,3,0)*VLOOKUP('Données projet'!$B$9,Paramètres!$A$1:$I$89,5,0)</f>
        <v>179.26271999999986</v>
      </c>
      <c r="P85" s="13">
        <f t="shared" si="87"/>
        <v>45.158115787467111</v>
      </c>
      <c r="Q85" s="20">
        <f t="shared" si="54"/>
        <v>390.86628899650492</v>
      </c>
      <c r="R85" s="59">
        <f t="shared" si="55"/>
        <v>684.19962232983823</v>
      </c>
      <c r="S85" s="59">
        <f ca="1">AVERAGE(OFFSET($R$3,0,0,'Données projet'!$E$9+1,1))-AVERAGE(OFFSET($H$3,0,0,'Données projet'!$E$9+1,1))</f>
        <v>298.478198405424</v>
      </c>
      <c r="T85" s="59">
        <f t="shared" si="88"/>
        <v>313.2817272662549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29.823103332543806</v>
      </c>
      <c r="AA85" s="21">
        <f>EXP(-LN(2)/25)*AA84+(1-EXP(-LN(2)/25))/(LN(2)/25)*Calculateur!V85*Calculateur!X85*VLOOKUP('Données projet'!$B$9,Paramètres!$A$1:$I$89,3,0)*0.475*44/12</f>
        <v>15.587795921903604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45.410899254447408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300.80663531652721</v>
      </c>
      <c r="AO85" s="59">
        <f t="shared" si="90"/>
        <v>306.01967513533549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89.453423526114122</v>
      </c>
      <c r="AV85" s="21">
        <f>EXP(-LN(2)/25)*AV84+(1-EXP(-LN(2)/25))/(LN(2)/25)*Calculateur!AQ85*Calculateur!AS85*VLOOKUP('Données projet'!$B$10,Paramètres!$A$1:$I$89,3,0)*0.475*44/12</f>
        <v>46.564057627115027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136.01748115322914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2.6</v>
      </c>
      <c r="N86" s="13">
        <f>IF('Données projet'!$A$36&gt;35,N85+M86-V85,IF(A86&lt;'Données projet'!$A$36,$K$205^A86,IF(A86='Données projet'!$A$36,'Données projet'!$B$36,N85+M86-V85)))</f>
        <v>207.79999999999981</v>
      </c>
      <c r="O86" s="13">
        <f>N86*VLOOKUP('Données projet'!$B$9,Paramètres!$A$1:$I$89,3,0)*VLOOKUP('Données projet'!$B$9,Paramètres!$A$1:$I$89,5,0)</f>
        <v>181.53407999999988</v>
      </c>
      <c r="P86" s="13">
        <f t="shared" si="87"/>
        <v>45.663321943731859</v>
      </c>
      <c r="Q86" s="20">
        <f t="shared" si="54"/>
        <v>395.7021417186661</v>
      </c>
      <c r="R86" s="59">
        <f t="shared" si="55"/>
        <v>689.03547505199936</v>
      </c>
      <c r="S86" s="59">
        <f ca="1">AVERAGE(OFFSET($R$3,0,0,'Données projet'!$E$9+1,1))-AVERAGE(OFFSET($H$3,0,0,'Données projet'!$E$9+1,1))</f>
        <v>298.478198405424</v>
      </c>
      <c r="T86" s="59">
        <f t="shared" si="88"/>
        <v>313.2817272662549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29.238290466489513</v>
      </c>
      <c r="AA86" s="21">
        <f>EXP(-LN(2)/25)*AA85+(1-EXP(-LN(2)/25))/(LN(2)/25)*Calculateur!V86*Calculateur!X86*VLOOKUP('Données projet'!$B$9,Paramètres!$A$1:$I$89,3,0)*0.475*44/12</f>
        <v>15.161546822692589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44.399837289182102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300.80663531652721</v>
      </c>
      <c r="AO86" s="59">
        <f t="shared" si="90"/>
        <v>306.01967513533549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87.699296451967911</v>
      </c>
      <c r="AV86" s="21">
        <f>EXP(-LN(2)/25)*AV85+(1-EXP(-LN(2)/25))/(LN(2)/25)*Calculateur!AQ86*Calculateur!AS86*VLOOKUP('Données projet'!$B$10,Paramètres!$A$1:$I$89,3,0)*0.475*44/12</f>
        <v>45.290761022604201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132.9900574745721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2.6</v>
      </c>
      <c r="N87" s="13">
        <f>IF('Données projet'!$A$36&gt;35,N86+M87-V86,IF(A87&lt;'Données projet'!$A$36,$K$205^A87,IF(A87='Données projet'!$A$36,'Données projet'!$B$36,N86+M87-V86)))</f>
        <v>210.39999999999981</v>
      </c>
      <c r="O87" s="13">
        <f>N87*VLOOKUP('Données projet'!$B$9,Paramètres!$A$1:$I$89,3,0)*VLOOKUP('Données projet'!$B$9,Paramètres!$A$1:$I$89,5,0)</f>
        <v>183.80543999999986</v>
      </c>
      <c r="P87" s="13">
        <f t="shared" si="87"/>
        <v>46.167792832805993</v>
      </c>
      <c r="Q87" s="20">
        <f t="shared" si="54"/>
        <v>400.53671385047022</v>
      </c>
      <c r="R87" s="59">
        <f t="shared" si="55"/>
        <v>693.87004718380354</v>
      </c>
      <c r="S87" s="59">
        <f ca="1">AVERAGE(OFFSET($R$3,0,0,'Données projet'!$E$9+1,1))-AVERAGE(OFFSET($H$3,0,0,'Données projet'!$E$9+1,1))</f>
        <v>298.478198405424</v>
      </c>
      <c r="T87" s="59">
        <f t="shared" si="88"/>
        <v>313.2817272662549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28.664945424037917</v>
      </c>
      <c r="AA87" s="21">
        <f>EXP(-LN(2)/25)*AA86+(1-EXP(-LN(2)/25))/(LN(2)/25)*Calculateur!V87*Calculateur!X87*VLOOKUP('Données projet'!$B$9,Paramètres!$A$1:$I$89,3,0)*0.475*44/12</f>
        <v>14.746953527514965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43.411898951552885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300.80663531652721</v>
      </c>
      <c r="AO87" s="59">
        <f t="shared" si="90"/>
        <v>306.01967513533549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85.979566739833828</v>
      </c>
      <c r="AV87" s="21">
        <f>EXP(-LN(2)/25)*AV86+(1-EXP(-LN(2)/25))/(LN(2)/25)*Calculateur!AQ87*Calculateur!AS87*VLOOKUP('Données projet'!$B$10,Paramètres!$A$1:$I$89,3,0)*0.475*44/12</f>
        <v>44.052282780703479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130.03184952053732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213</v>
      </c>
      <c r="L88" s="12">
        <f>VLOOKUP(A88,'Données projet'!$A$35:$I$55,9,0)</f>
        <v>2.6</v>
      </c>
      <c r="M88" s="12">
        <f t="array" ref="M88">INDEX(L:L,MIN(IF(ISNUMBER(L88:L284),ROW(L88:L284),"")))</f>
        <v>2.6</v>
      </c>
      <c r="N88" s="13">
        <f>IF('Données projet'!$A$36&gt;35,N87+M88-V87,IF(A88&lt;'Données projet'!$A$36,$K$205^A88,IF(A88='Données projet'!$A$36,'Données projet'!$B$36,N87+M88-V87)))</f>
        <v>212.9999999999998</v>
      </c>
      <c r="O88" s="13">
        <f>N88*VLOOKUP('Données projet'!$B$9,Paramètres!$A$1:$I$89,3,0)*VLOOKUP('Données projet'!$B$9,Paramètres!$A$1:$I$89,5,0)</f>
        <v>186.07679999999985</v>
      </c>
      <c r="P88" s="13">
        <f t="shared" si="87"/>
        <v>46.67153859152863</v>
      </c>
      <c r="Q88" s="20">
        <f t="shared" si="54"/>
        <v>405.37002304691208</v>
      </c>
      <c r="R88" s="59">
        <f t="shared" si="55"/>
        <v>698.7033563802454</v>
      </c>
      <c r="S88" s="59">
        <f ca="1">AVERAGE(OFFSET($R$3,0,0,'Données projet'!$E$9+1,1))-AVERAGE(OFFSET($H$3,0,0,'Données projet'!$E$9+1,1))</f>
        <v>298.478198405424</v>
      </c>
      <c r="T88" s="59">
        <f t="shared" si="88"/>
        <v>313.2817272662549</v>
      </c>
      <c r="U88" s="15">
        <f>IF(ISNA(VLOOKUP(A88,'Données projet'!$A$35:$I$55,3,0)),0,VLOOKUP(A88,'Données projet'!$A$35:$I$55,3,0))</f>
        <v>14</v>
      </c>
      <c r="V88" s="15">
        <f>IF(ISNA(VLOOKUP(A88,'Données projet'!$A$35:$I$55,4,0)),0,VLOOKUP(A88,'Données projet'!$A$35:$I$55,4,0))</f>
        <v>10</v>
      </c>
      <c r="W88" s="16">
        <f>IF(ISNA(VLOOKUP(A88,'Données projet'!$A$35:$I$55,5,0)),0%,VLOOKUP(A88,'Données projet'!$A$35:$I$55,5,0)*VLOOKUP('Données projet'!$B$9,Paramètres!$A$1:$I$89,7,0))</f>
        <v>0.25800000000000001</v>
      </c>
      <c r="X88" s="16">
        <f>IF(ISNA(VLOOKUP(A88,'Données projet'!$A$35:$I$55,6,0)),0%,VLOOKUP(A88,'Données projet'!$A$35:$I$55,6,0)*VLOOKUP('Données projet'!$B$9,Paramètres!$A$1:$I$89,7,0))</f>
        <v>0.129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30.594449750947614</v>
      </c>
      <c r="AA88" s="21">
        <f>EXP(-LN(2)/25)*AA87+(1-EXP(-LN(2)/25))/(LN(2)/25)*Calculateur!V88*Calculateur!X88*VLOOKUP('Données projet'!$B$9,Paramètres!$A$1:$I$89,3,0)*0.475*44/12</f>
        <v>15.584595317257376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46.179045068204992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300.80663531652721</v>
      </c>
      <c r="AO88" s="59">
        <f t="shared" si="90"/>
        <v>306.01967513533549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84.293559878423139</v>
      </c>
      <c r="AV88" s="21">
        <f>EXP(-LN(2)/25)*AV87+(1-EXP(-LN(2)/25))/(LN(2)/25)*Calculateur!AQ88*Calculateur!AS88*VLOOKUP('Données projet'!$B$10,Paramètres!$A$1:$I$89,3,0)*0.475*44/12</f>
        <v>42.847670791456274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127.14123066987941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2.4</v>
      </c>
      <c r="N89" s="13">
        <f>IF('Données projet'!$A$36&gt;35,N88+M89-V88,IF(A89&lt;'Données projet'!$A$36,$K$205^A89,IF(A89='Données projet'!$A$36,'Données projet'!$B$36,N88+M89-V88)))</f>
        <v>205.39999999999981</v>
      </c>
      <c r="O89" s="13">
        <f>N89*VLOOKUP('Données projet'!$B$9,Paramètres!$A$1:$I$89,3,0)*VLOOKUP('Données projet'!$B$9,Paramètres!$A$1:$I$89,5,0)</f>
        <v>179.43743999999984</v>
      </c>
      <c r="P89" s="13">
        <f t="shared" si="87"/>
        <v>45.197004138831581</v>
      </c>
      <c r="Q89" s="20">
        <f t="shared" si="54"/>
        <v>391.23832354179802</v>
      </c>
      <c r="R89" s="59">
        <f t="shared" si="55"/>
        <v>684.57165687513134</v>
      </c>
      <c r="S89" s="59">
        <f ca="1">AVERAGE(OFFSET($R$3,0,0,'Données projet'!$E$9+1,1))-AVERAGE(OFFSET($H$3,0,0,'Données projet'!$E$9+1,1))</f>
        <v>298.478198405424</v>
      </c>
      <c r="T89" s="59">
        <f t="shared" si="88"/>
        <v>313.2817272662549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29.994511252103283</v>
      </c>
      <c r="AA89" s="21">
        <f>EXP(-LN(2)/25)*AA88+(1-EXP(-LN(2)/25))/(LN(2)/25)*Calculateur!V89*Calculateur!X89*VLOOKUP('Données projet'!$B$9,Paramètres!$A$1:$I$89,3,0)*0.475*44/12</f>
        <v>15.158433738748725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45.152944990852006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300.80663531652721</v>
      </c>
      <c r="AO89" s="59">
        <f t="shared" si="90"/>
        <v>306.01967513533549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82.64061458320208</v>
      </c>
      <c r="AV89" s="21">
        <f>EXP(-LN(2)/25)*AV88+(1-EXP(-LN(2)/25))/(LN(2)/25)*Calculateur!AQ89*Calculateur!AS89*VLOOKUP('Données projet'!$B$10,Paramètres!$A$1:$I$89,3,0)*0.475*44/12</f>
        <v>41.675998980402824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124.3166135636049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2.4</v>
      </c>
      <c r="N90" s="13">
        <f>IF('Données projet'!$A$36&gt;35,N89+M90-V89,IF(A90&lt;'Données projet'!$A$36,$K$205^A90,IF(A90='Données projet'!$A$36,'Données projet'!$B$36,N89+M90-V89)))</f>
        <v>207.79999999999981</v>
      </c>
      <c r="O90" s="13">
        <f>N90*VLOOKUP('Données projet'!$B$9,Paramètres!$A$1:$I$89,3,0)*VLOOKUP('Données projet'!$B$9,Paramètres!$A$1:$I$89,5,0)</f>
        <v>181.53407999999988</v>
      </c>
      <c r="P90" s="13">
        <f t="shared" si="87"/>
        <v>45.663321943731859</v>
      </c>
      <c r="Q90" s="20">
        <f t="shared" si="54"/>
        <v>395.7021417186661</v>
      </c>
      <c r="R90" s="59">
        <f t="shared" si="55"/>
        <v>689.03547505199936</v>
      </c>
      <c r="S90" s="59">
        <f ca="1">AVERAGE(OFFSET($R$3,0,0,'Données projet'!$E$9+1,1))-AVERAGE(OFFSET($H$3,0,0,'Données projet'!$E$9+1,1))</f>
        <v>298.478198405424</v>
      </c>
      <c r="T90" s="59">
        <f t="shared" si="88"/>
        <v>313.2817272662549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29.406337181294937</v>
      </c>
      <c r="AA90" s="21">
        <f>EXP(-LN(2)/25)*AA89+(1-EXP(-LN(2)/25))/(LN(2)/25)*Calculateur!V90*Calculateur!X90*VLOOKUP('Données projet'!$B$9,Paramètres!$A$1:$I$89,3,0)*0.475*44/12</f>
        <v>14.743925571015255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44.150262752310191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300.80663531652721</v>
      </c>
      <c r="AO90" s="59">
        <f t="shared" si="90"/>
        <v>306.01967513533549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81.020082537023228</v>
      </c>
      <c r="AV90" s="21">
        <f>EXP(-LN(2)/25)*AV89+(1-EXP(-LN(2)/25))/(LN(2)/25)*Calculateur!AQ90*Calculateur!AS90*VLOOKUP('Données projet'!$B$10,Paramètres!$A$1:$I$89,3,0)*0.475*44/12</f>
        <v>40.536366596638175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121.5564491336614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2.4</v>
      </c>
      <c r="N91" s="13">
        <f>IF('Données projet'!$A$36&gt;35,N90+M91-V90,IF(A91&lt;'Données projet'!$A$36,$K$205^A91,IF(A91='Données projet'!$A$36,'Données projet'!$B$36,N90+M91-V90)))</f>
        <v>210.19999999999982</v>
      </c>
      <c r="O91" s="13">
        <f>N91*VLOOKUP('Données projet'!$B$9,Paramètres!$A$1:$I$89,3,0)*VLOOKUP('Données projet'!$B$9,Paramètres!$A$1:$I$89,5,0)</f>
        <v>183.63071999999985</v>
      </c>
      <c r="P91" s="13">
        <f t="shared" si="87"/>
        <v>46.129013251634404</v>
      </c>
      <c r="Q91" s="20">
        <f t="shared" si="54"/>
        <v>400.16486874659631</v>
      </c>
      <c r="R91" s="59">
        <f t="shared" si="55"/>
        <v>693.49820207992957</v>
      </c>
      <c r="S91" s="59">
        <f ca="1">AVERAGE(OFFSET($R$3,0,0,'Données projet'!$E$9+1,1))-AVERAGE(OFFSET($H$3,0,0,'Données projet'!$E$9+1,1))</f>
        <v>298.478198405424</v>
      </c>
      <c r="T91" s="59">
        <f t="shared" si="88"/>
        <v>313.2817272662549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28.829696845264383</v>
      </c>
      <c r="AA91" s="21">
        <f>EXP(-LN(2)/25)*AA90+(1-EXP(-LN(2)/25))/(LN(2)/25)*Calculateur!V91*Calculateur!X91*VLOOKUP('Données projet'!$B$9,Paramètres!$A$1:$I$89,3,0)*0.475*44/12</f>
        <v>14.340752150926495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43.170448996190878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300.80663531652721</v>
      </c>
      <c r="AO91" s="59">
        <f t="shared" si="90"/>
        <v>306.01967513533549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79.431328135842989</v>
      </c>
      <c r="AV91" s="21">
        <f>EXP(-LN(2)/25)*AV90+(1-EXP(-LN(2)/25))/(LN(2)/25)*Calculateur!AQ91*Calculateur!AS91*VLOOKUP('Données projet'!$B$10,Paramètres!$A$1:$I$89,3,0)*0.475*44/12</f>
        <v>39.427897520338234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118.85922565618122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2.4</v>
      </c>
      <c r="N92" s="13">
        <f>IF('Données projet'!$A$36&gt;35,N91+M92-V91,IF(A92&lt;'Données projet'!$A$36,$K$205^A92,IF(A92='Données projet'!$A$36,'Données projet'!$B$36,N91+M92-V91)))</f>
        <v>212.59999999999982</v>
      </c>
      <c r="O92" s="13">
        <f>N92*VLOOKUP('Données projet'!$B$9,Paramètres!$A$1:$I$89,3,0)*VLOOKUP('Données projet'!$B$9,Paramètres!$A$1:$I$89,5,0)</f>
        <v>185.72735999999986</v>
      </c>
      <c r="P92" s="13">
        <f t="shared" si="87"/>
        <v>46.59408604336376</v>
      </c>
      <c r="Q92" s="20">
        <f t="shared" si="54"/>
        <v>404.62651852552494</v>
      </c>
      <c r="R92" s="59">
        <f t="shared" si="55"/>
        <v>697.9598518588582</v>
      </c>
      <c r="S92" s="59">
        <f ca="1">AVERAGE(OFFSET($R$3,0,0,'Données projet'!$E$9+1,1))-AVERAGE(OFFSET($H$3,0,0,'Données projet'!$E$9+1,1))</f>
        <v>298.478198405424</v>
      </c>
      <c r="T92" s="59">
        <f t="shared" si="88"/>
        <v>313.2817272662549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28.264364074507512</v>
      </c>
      <c r="AA92" s="21">
        <f>EXP(-LN(2)/25)*AA91+(1-EXP(-LN(2)/25))/(LN(2)/25)*Calculateur!V92*Calculateur!X92*VLOOKUP('Données projet'!$B$9,Paramètres!$A$1:$I$89,3,0)*0.475*44/12</f>
        <v>13.948603529212031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42.212967603719541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300.80663531652721</v>
      </c>
      <c r="AO92" s="59">
        <f t="shared" si="90"/>
        <v>306.01967513533549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77.87372823942539</v>
      </c>
      <c r="AV92" s="21">
        <f>EXP(-LN(2)/25)*AV91+(1-EXP(-LN(2)/25))/(LN(2)/25)*Calculateur!AQ92*Calculateur!AS92*VLOOKUP('Données projet'!$B$10,Paramètres!$A$1:$I$89,3,0)*0.475*44/12</f>
        <v>38.349739589221571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116.22346782864696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215</v>
      </c>
      <c r="L93" s="12">
        <f>VLOOKUP(A93,'Données projet'!$A$35:$I$55,9,0)</f>
        <v>2.4</v>
      </c>
      <c r="M93" s="12">
        <f t="array" ref="M93">INDEX(L:L,MIN(IF(ISNUMBER(L93:L289),ROW(L93:L289),"")))</f>
        <v>2.4</v>
      </c>
      <c r="N93" s="13">
        <f>IF('Données projet'!$A$36&gt;35,N92+M93-V92,IF(A93&lt;'Données projet'!$A$36,$K$205^A93,IF(A93='Données projet'!$A$36,'Données projet'!$B$36,N92+M93-V92)))</f>
        <v>214.99999999999983</v>
      </c>
      <c r="O93" s="13">
        <f>N93*VLOOKUP('Données projet'!$B$9,Paramètres!$A$1:$I$89,3,0)*VLOOKUP('Données projet'!$B$9,Paramètres!$A$1:$I$89,5,0)</f>
        <v>187.82399999999987</v>
      </c>
      <c r="P93" s="13">
        <f t="shared" si="87"/>
        <v>47.058548109182688</v>
      </c>
      <c r="Q93" s="20">
        <f t="shared" si="54"/>
        <v>409.08710462349296</v>
      </c>
      <c r="R93" s="59">
        <f t="shared" si="55"/>
        <v>702.42043795682628</v>
      </c>
      <c r="S93" s="59">
        <f ca="1">AVERAGE(OFFSET($R$3,0,0,'Données projet'!$E$9+1,1))-AVERAGE(OFFSET($H$3,0,0,'Données projet'!$E$9+1,1))</f>
        <v>298.478198405424</v>
      </c>
      <c r="T93" s="59">
        <f t="shared" si="88"/>
        <v>313.2817272662549</v>
      </c>
      <c r="U93" s="15">
        <f>IF(ISNA(VLOOKUP(A93,'Données projet'!$A$35:$I$55,3,0)),0,VLOOKUP(A93,'Données projet'!$A$35:$I$55,3,0))</f>
        <v>15</v>
      </c>
      <c r="V93" s="15">
        <f>IF(ISNA(VLOOKUP(A93,'Données projet'!$A$35:$I$55,4,0)),0,VLOOKUP(A93,'Données projet'!$A$35:$I$55,4,0))</f>
        <v>215</v>
      </c>
      <c r="W93" s="16">
        <f>IF(ISNA(VLOOKUP(A93,'Données projet'!$A$35:$I$55,5,0)),0%,VLOOKUP(A93,'Données projet'!$A$35:$I$55,5,0)*VLOOKUP('Données projet'!$B$9,Paramètres!$A$1:$I$89,7,0))</f>
        <v>0.25800000000000001</v>
      </c>
      <c r="X93" s="16">
        <f>IF(ISNA(VLOOKUP(A93,'Données projet'!$A$35:$I$55,6,0)),0%,VLOOKUP(A93,'Données projet'!$A$35:$I$55,6,0)*VLOOKUP('Données projet'!$B$9,Paramètres!$A$1:$I$89,7,0))</f>
        <v>0.129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81.279655224438613</v>
      </c>
      <c r="AA93" s="21">
        <f>EXP(-LN(2)/25)*AA92+(1-EXP(-LN(2)/25))/(LN(2)/25)*Calculateur!V93*Calculateur!X93*VLOOKUP('Données projet'!$B$9,Paramètres!$A$1:$I$89,3,0)*0.475*44/12</f>
        <v>40.246485435589705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121.52614066002832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300.80663531652721</v>
      </c>
      <c r="AO93" s="59">
        <f t="shared" si="90"/>
        <v>306.01967513533549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76.34667192693442</v>
      </c>
      <c r="AV93" s="21">
        <f>EXP(-LN(2)/25)*AV92+(1-EXP(-LN(2)/25))/(LN(2)/25)*Calculateur!AQ93*Calculateur!AS93*VLOOKUP('Données projet'!$B$10,Paramètres!$A$1:$I$89,3,0)*0.475*44/12</f>
        <v>37.301063943429149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113.64773587036356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-1.7053025658242404E-13</v>
      </c>
      <c r="O94" s="13">
        <f>N94*VLOOKUP('Données projet'!$B$9,Paramètres!$A$1:$I$89,3,0)*VLOOKUP('Données projet'!$B$9,Paramètres!$A$1:$I$89,5,0)</f>
        <v>-1.4897523215040567E-13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298.478198405424</v>
      </c>
      <c r="T94" s="59">
        <f t="shared" si="88"/>
        <v>313.2817272662549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79.68581076118187</v>
      </c>
      <c r="AA94" s="21">
        <f>EXP(-LN(2)/25)*AA93+(1-EXP(-LN(2)/25))/(LN(2)/25)*Calculateur!V94*Calculateur!X94*VLOOKUP('Données projet'!$B$9,Paramètres!$A$1:$I$89,3,0)*0.475*44/12</f>
        <v>39.145943174882817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118.83175393606469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300.80663531652721</v>
      </c>
      <c r="AO94" s="59">
        <f t="shared" si="90"/>
        <v>306.01967513533549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74.849560257319013</v>
      </c>
      <c r="AV94" s="21">
        <f>EXP(-LN(2)/25)*AV93+(1-EXP(-LN(2)/25))/(LN(2)/25)*Calculateur!AQ94*Calculateur!AS94*VLOOKUP('Données projet'!$B$10,Paramètres!$A$1:$I$89,3,0)*0.475*44/12</f>
        <v>36.281064388318377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111.1306246456374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-1.7053025658242404E-13</v>
      </c>
      <c r="O95" s="13">
        <f>N95*VLOOKUP('Données projet'!$B$9,Paramètres!$A$1:$I$89,3,0)*VLOOKUP('Données projet'!$B$9,Paramètres!$A$1:$I$89,5,0)</f>
        <v>-1.4897523215040567E-13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298.478198405424</v>
      </c>
      <c r="T95" s="59">
        <f t="shared" si="88"/>
        <v>313.2817272662549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78.123220615700461</v>
      </c>
      <c r="AA95" s="21">
        <f>EXP(-LN(2)/25)*AA94+(1-EXP(-LN(2)/25))/(LN(2)/25)*Calculateur!V95*Calculateur!X95*VLOOKUP('Données projet'!$B$9,Paramètres!$A$1:$I$89,3,0)*0.475*44/12</f>
        <v>38.075495300169962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116.19871591587042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300.80663531652721</v>
      </c>
      <c r="AO95" s="59">
        <f t="shared" si="90"/>
        <v>306.01967513533549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73.381806034396817</v>
      </c>
      <c r="AV95" s="21">
        <f>EXP(-LN(2)/25)*AV94+(1-EXP(-LN(2)/25))/(LN(2)/25)*Calculateur!AQ95*Calculateur!AS95*VLOOKUP('Données projet'!$B$10,Paramètres!$A$1:$I$89,3,0)*0.475*44/12</f>
        <v>35.288956774681559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108.67076280907838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-1.7053025658242404E-13</v>
      </c>
      <c r="O96" s="13">
        <f>N96*VLOOKUP('Données projet'!$B$9,Paramètres!$A$1:$I$89,3,0)*VLOOKUP('Données projet'!$B$9,Paramètres!$A$1:$I$89,5,0)</f>
        <v>-1.4897523215040567E-13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298.478198405424</v>
      </c>
      <c r="T96" s="59">
        <f t="shared" si="88"/>
        <v>313.2817272662549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76.591271909886061</v>
      </c>
      <c r="AA96" s="21">
        <f>EXP(-LN(2)/25)*AA95+(1-EXP(-LN(2)/25))/(LN(2)/25)*Calculateur!V96*Calculateur!X96*VLOOKUP('Données projet'!$B$9,Paramètres!$A$1:$I$89,3,0)*0.475*44/12</f>
        <v>37.034318878883539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113.6255907887696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300.80663531652721</v>
      </c>
      <c r="AO96" s="59">
        <f t="shared" si="90"/>
        <v>306.01967513533549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71.942833576544444</v>
      </c>
      <c r="AV96" s="21">
        <f>EXP(-LN(2)/25)*AV95+(1-EXP(-LN(2)/25))/(LN(2)/25)*Calculateur!AQ96*Calculateur!AS96*VLOOKUP('Données projet'!$B$10,Paramètres!$A$1:$I$89,3,0)*0.475*44/12</f>
        <v>34.323978395912306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106.26681197245675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-1.7053025658242404E-13</v>
      </c>
      <c r="O97" s="13">
        <f>N97*VLOOKUP('Données projet'!$B$9,Paramètres!$A$1:$I$89,3,0)*VLOOKUP('Données projet'!$B$9,Paramètres!$A$1:$I$89,5,0)</f>
        <v>-1.4897523215040567E-13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298.478198405424</v>
      </c>
      <c r="T97" s="59">
        <f t="shared" si="88"/>
        <v>313.2817272662549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75.08936378379623</v>
      </c>
      <c r="AA97" s="21">
        <f>EXP(-LN(2)/25)*AA96+(1-EXP(-LN(2)/25))/(LN(2)/25)*Calculateur!V97*Calculateur!X97*VLOOKUP('Données projet'!$B$9,Paramètres!$A$1:$I$89,3,0)*0.475*44/12</f>
        <v>36.021613481590279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111.11097726538651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300.80663531652721</v>
      </c>
      <c r="AO97" s="59">
        <f t="shared" si="90"/>
        <v>306.01967513533549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70.532078490904027</v>
      </c>
      <c r="AV97" s="21">
        <f>EXP(-LN(2)/25)*AV96+(1-EXP(-LN(2)/25))/(LN(2)/25)*Calculateur!AQ97*Calculateur!AS97*VLOOKUP('Données projet'!$B$10,Paramètres!$A$1:$I$89,3,0)*0.475*44/12</f>
        <v>33.385387401656509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103.91746589256053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-1.7053025658242404E-13</v>
      </c>
      <c r="O98" s="13">
        <f>N98*VLOOKUP('Données projet'!$B$9,Paramètres!$A$1:$I$89,3,0)*VLOOKUP('Données projet'!$B$9,Paramètres!$A$1:$I$89,5,0)</f>
        <v>-1.4897523215040567E-13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298.478198405424</v>
      </c>
      <c r="T98" s="59">
        <f t="shared" si="88"/>
        <v>313.2817272662549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73.616907159985516</v>
      </c>
      <c r="AA98" s="21">
        <f>EXP(-LN(2)/25)*AA97+(1-EXP(-LN(2)/25))/(LN(2)/25)*Calculateur!V98*Calculateur!X98*VLOOKUP('Données projet'!$B$9,Paramètres!$A$1:$I$89,3,0)*0.475*44/12</f>
        <v>35.036600566641866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108.65350772662738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300.80663531652721</v>
      </c>
      <c r="AO98" s="59">
        <f t="shared" si="90"/>
        <v>306.01967513533549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69.14898745201738</v>
      </c>
      <c r="AV98" s="21">
        <f>EXP(-LN(2)/25)*AV97+(1-EXP(-LN(2)/25))/(LN(2)/25)*Calculateur!AQ98*Calculateur!AS98*VLOOKUP('Données projet'!$B$10,Paramètres!$A$1:$I$89,3,0)*0.475*44/12</f>
        <v>32.47246222749699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101.62144967951437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-1.7053025658242404E-13</v>
      </c>
      <c r="O99" s="13">
        <f>N99*VLOOKUP('Données projet'!$B$9,Paramètres!$A$1:$I$89,3,0)*VLOOKUP('Données projet'!$B$9,Paramètres!$A$1:$I$89,5,0)</f>
        <v>-1.4897523215040567E-13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298.478198405424</v>
      </c>
      <c r="T99" s="59">
        <f t="shared" si="88"/>
        <v>313.2817272662549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72.173324512457881</v>
      </c>
      <c r="AA99" s="21">
        <f>EXP(-LN(2)/25)*AA98+(1-EXP(-LN(2)/25))/(LN(2)/25)*Calculateur!V99*Calculateur!X99*VLOOKUP('Données projet'!$B$9,Paramètres!$A$1:$I$89,3,0)*0.475*44/12</f>
        <v>34.078522881652297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106.25184739411017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300.80663531652721</v>
      </c>
      <c r="AO99" s="59">
        <f t="shared" si="90"/>
        <v>306.01967513533549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67.793017984801054</v>
      </c>
      <c r="AV99" s="21">
        <f>EXP(-LN(2)/25)*AV98+(1-EXP(-LN(2)/25))/(LN(2)/25)*Calculateur!AQ99*Calculateur!AS99*VLOOKUP('Données projet'!$B$10,Paramètres!$A$1:$I$89,3,0)*0.475*44/12</f>
        <v>31.584501040233512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99.377519025034559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-1.7053025658242404E-13</v>
      </c>
      <c r="O100" s="13">
        <f>N100*VLOOKUP('Données projet'!$B$9,Paramètres!$A$1:$I$89,3,0)*VLOOKUP('Données projet'!$B$9,Paramètres!$A$1:$I$89,5,0)</f>
        <v>-1.4897523215040567E-13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298.478198405424</v>
      </c>
      <c r="T100" s="59">
        <f t="shared" si="88"/>
        <v>313.2817272662549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70.758049640149778</v>
      </c>
      <c r="AA100" s="21">
        <f>EXP(-LN(2)/25)*AA99+(1-EXP(-LN(2)/25))/(LN(2)/25)*Calculateur!V100*Calculateur!X100*VLOOKUP('Données projet'!$B$9,Paramètres!$A$1:$I$89,3,0)*0.475*44/12</f>
        <v>33.146643881341888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103.90469352149167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300.80663531652721</v>
      </c>
      <c r="AO100" s="59">
        <f t="shared" si="90"/>
        <v>306.01967513533549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66.463638251777141</v>
      </c>
      <c r="AV100" s="21">
        <f>EXP(-LN(2)/25)*AV99+(1-EXP(-LN(2)/25))/(LN(2)/25)*Calculateur!AQ100*Calculateur!AS100*VLOOKUP('Données projet'!$B$10,Paramètres!$A$1:$I$89,3,0)*0.475*44/12</f>
        <v>30.720821198331603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97.184459450108747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-1.7053025658242404E-13</v>
      </c>
      <c r="O101" s="13">
        <f>N101*VLOOKUP('Données projet'!$B$9,Paramètres!$A$1:$I$89,3,0)*VLOOKUP('Données projet'!$B$9,Paramètres!$A$1:$I$89,5,0)</f>
        <v>-1.4897523215040567E-13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298.478198405424</v>
      </c>
      <c r="T101" s="59">
        <f t="shared" si="88"/>
        <v>313.2817272662549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69.370527444855213</v>
      </c>
      <c r="AA101" s="21">
        <f>EXP(-LN(2)/25)*AA100+(1-EXP(-LN(2)/25))/(LN(2)/25)*Calculateur!V101*Calculateur!X101*VLOOKUP('Données projet'!$B$9,Paramètres!$A$1:$I$89,3,0)*0.475*44/12</f>
        <v>32.240247161300353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101.61077460615556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300.80663531652721</v>
      </c>
      <c r="AO101" s="59">
        <f t="shared" si="90"/>
        <v>306.01967513533549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65.160326844476245</v>
      </c>
      <c r="AV101" s="21">
        <f>EXP(-LN(2)/25)*AV100+(1-EXP(-LN(2)/25))/(LN(2)/25)*Calculateur!AQ101*Calculateur!AS101*VLOOKUP('Données projet'!$B$10,Paramètres!$A$1:$I$89,3,0)*0.475*44/12</f>
        <v>29.88075872712545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95.041085571601698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-1.7053025658242404E-13</v>
      </c>
      <c r="O102" s="13">
        <f>N102*VLOOKUP('Données projet'!$B$9,Paramètres!$A$1:$I$89,3,0)*VLOOKUP('Données projet'!$B$9,Paramètres!$A$1:$I$89,5,0)</f>
        <v>-1.4897523215040567E-13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298.478198405424</v>
      </c>
      <c r="T102" s="59">
        <f t="shared" si="88"/>
        <v>313.2817272662549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68.010213713505394</v>
      </c>
      <c r="AA102" s="21">
        <f>EXP(-LN(2)/25)*AA101+(1-EXP(-LN(2)/25))/(LN(2)/25)*Calculateur!V102*Calculateur!X102*VLOOKUP('Données projet'!$B$9,Paramètres!$A$1:$I$89,3,0)*0.475*44/12</f>
        <v>31.358635907233683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99.36884962073907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300.80663531652721</v>
      </c>
      <c r="AO102" s="59">
        <f t="shared" si="90"/>
        <v>306.01967513533549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63.882572578931061</v>
      </c>
      <c r="AV102" s="21">
        <f>EXP(-LN(2)/25)*AV101+(1-EXP(-LN(2)/25))/(LN(2)/25)*Calculateur!AQ102*Calculateur!AS102*VLOOKUP('Données projet'!$B$10,Paramètres!$A$1:$I$89,3,0)*0.475*44/12</f>
        <v>29.063667808371395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92.946240387302453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-1.7053025658242404E-13</v>
      </c>
      <c r="O103" s="13">
        <f>N103*VLOOKUP('Données projet'!$B$9,Paramètres!$A$1:$I$89,3,0)*VLOOKUP('Données projet'!$B$9,Paramètres!$A$1:$I$89,5,0)</f>
        <v>-1.4897523215040567E-13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298.478198405424</v>
      </c>
      <c r="T103" s="59">
        <f t="shared" si="88"/>
        <v>313.2817272662549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66.676574904717896</v>
      </c>
      <c r="AA103" s="21">
        <f>EXP(-LN(2)/25)*AA102+(1-EXP(-LN(2)/25))/(LN(2)/25)*Calculateur!V103*Calculateur!X103*VLOOKUP('Données projet'!$B$9,Paramètres!$A$1:$I$89,3,0)*0.475*44/12</f>
        <v>30.501132359271388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97.177707263989276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300.80663531652721</v>
      </c>
      <c r="AO103" s="59">
        <f t="shared" si="90"/>
        <v>306.01967513533549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62.629874295180066</v>
      </c>
      <c r="AV103" s="21">
        <f>EXP(-LN(2)/25)*AV102+(1-EXP(-LN(2)/25))/(LN(2)/25)*Calculateur!AQ103*Calculateur!AS103*VLOOKUP('Données projet'!$B$10,Paramètres!$A$1:$I$89,3,0)*0.475*44/12</f>
        <v>28.268920283759616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90.898794578939686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-1.7053025658242404E-13</v>
      </c>
      <c r="O104" s="13">
        <f>N104*VLOOKUP('Données projet'!$B$9,Paramètres!$A$1:$I$89,3,0)*VLOOKUP('Données projet'!$B$9,Paramètres!$A$1:$I$89,5,0)</f>
        <v>-1.4897523215040567E-13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298.478198405424</v>
      </c>
      <c r="T104" s="59">
        <f t="shared" si="88"/>
        <v>313.2817272662549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65.369087939531369</v>
      </c>
      <c r="AA104" s="21">
        <f>EXP(-LN(2)/25)*AA103+(1-EXP(-LN(2)/25))/(LN(2)/25)*Calculateur!V104*Calculateur!X104*VLOOKUP('Données projet'!$B$9,Paramètres!$A$1:$I$89,3,0)*0.475*44/12</f>
        <v>29.667077290922272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95.036165230453634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300.80663531652721</v>
      </c>
      <c r="AO104" s="59">
        <f t="shared" si="90"/>
        <v>306.01967513533549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61.401740660702927</v>
      </c>
      <c r="AV104" s="21">
        <f>EXP(-LN(2)/25)*AV103+(1-EXP(-LN(2)/25))/(LN(2)/25)*Calculateur!AQ104*Calculateur!AS104*VLOOKUP('Données projet'!$B$10,Paramètres!$A$1:$I$89,3,0)*0.475*44/12</f>
        <v>27.495905172002303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88.897645832705223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-1.7053025658242404E-13</v>
      </c>
      <c r="O105" s="13">
        <f>N105*VLOOKUP('Données projet'!$B$9,Paramètres!$A$1:$I$89,3,0)*VLOOKUP('Données projet'!$B$9,Paramètres!$A$1:$I$89,5,0)</f>
        <v>-1.4897523215040567E-13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298.478198405424</v>
      </c>
      <c r="T105" s="59">
        <f t="shared" si="88"/>
        <v>313.2817272662549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64.087239996243852</v>
      </c>
      <c r="AA105" s="21">
        <f>EXP(-LN(2)/25)*AA104+(1-EXP(-LN(2)/25))/(LN(2)/25)*Calculateur!V105*Calculateur!X105*VLOOKUP('Données projet'!$B$9,Paramètres!$A$1:$I$89,3,0)*0.475*44/12</f>
        <v>28.855829502278212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92.943069498522064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300.80663531652721</v>
      </c>
      <c r="AO105" s="59">
        <f t="shared" si="90"/>
        <v>306.01967513533549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60.197689977710333</v>
      </c>
      <c r="AV105" s="21">
        <f>EXP(-LN(2)/25)*AV104+(1-EXP(-LN(2)/25))/(LN(2)/25)*Calculateur!AQ105*Calculateur!AS105*VLOOKUP('Données projet'!$B$10,Paramètres!$A$1:$I$89,3,0)*0.475*44/12</f>
        <v>26.74402819912709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86.941718176837426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-1.7053025658242404E-13</v>
      </c>
      <c r="O106" s="13">
        <f>N106*VLOOKUP('Données projet'!$B$9,Paramètres!$A$1:$I$89,3,0)*VLOOKUP('Données projet'!$B$9,Paramètres!$A$1:$I$89,5,0)</f>
        <v>-1.4897523215040567E-13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298.478198405424</v>
      </c>
      <c r="T106" s="59">
        <f t="shared" si="88"/>
        <v>313.2817272662549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62.830528309274158</v>
      </c>
      <c r="AA106" s="21">
        <f>EXP(-LN(2)/25)*AA105+(1-EXP(-LN(2)/25))/(LN(2)/25)*Calculateur!V106*Calculateur!X106*VLOOKUP('Données projet'!$B$9,Paramètres!$A$1:$I$89,3,0)*0.475*44/12</f>
        <v>28.06676532707629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90.89729363635044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300.80663531652721</v>
      </c>
      <c r="AO106" s="59">
        <f t="shared" si="90"/>
        <v>306.01967513533549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59.017249994212818</v>
      </c>
      <c r="AV106" s="21">
        <f>EXP(-LN(2)/25)*AV105+(1-EXP(-LN(2)/25))/(LN(2)/25)*Calculateur!AQ106*Calculateur!AS106*VLOOKUP('Données projet'!$B$10,Paramètres!$A$1:$I$89,3,0)*0.475*44/12</f>
        <v>26.01271134161464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85.029961335827466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-1.7053025658242404E-13</v>
      </c>
      <c r="O107" s="13">
        <f>N107*VLOOKUP('Données projet'!$B$9,Paramètres!$A$1:$I$89,3,0)*VLOOKUP('Données projet'!$B$9,Paramètres!$A$1:$I$89,5,0)</f>
        <v>-1.4897523215040567E-13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298.478198405424</v>
      </c>
      <c r="T107" s="59">
        <f t="shared" si="88"/>
        <v>313.2817272662549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61.598459971967493</v>
      </c>
      <c r="AA107" s="21">
        <f>EXP(-LN(2)/25)*AA106+(1-EXP(-LN(2)/25))/(LN(2)/25)*Calculateur!V107*Calculateur!X107*VLOOKUP('Données projet'!$B$9,Paramètres!$A$1:$I$89,3,0)*0.475*44/12</f>
        <v>27.299278153240348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88.897738125207837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300.80663531652721</v>
      </c>
      <c r="AO107" s="59">
        <f t="shared" si="90"/>
        <v>306.01967513533549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57.859957718794398</v>
      </c>
      <c r="AV107" s="21">
        <f>EXP(-LN(2)/25)*AV106+(1-EXP(-LN(2)/25))/(LN(2)/25)*Calculateur!AQ107*Calculateur!AS107*VLOOKUP('Données projet'!$B$10,Paramètres!$A$1:$I$89,3,0)*0.475*44/12</f>
        <v>25.30139238202915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83.16135010082354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-1.7053025658242404E-13</v>
      </c>
      <c r="O108" s="13">
        <f>N108*VLOOKUP('Données projet'!$B$9,Paramètres!$A$1:$I$89,3,0)*VLOOKUP('Données projet'!$B$9,Paramètres!$A$1:$I$89,5,0)</f>
        <v>-1.4897523215040567E-13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298.478198405424</v>
      </c>
      <c r="T108" s="59">
        <f t="shared" si="88"/>
        <v>313.2817272662549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60.390551743267928</v>
      </c>
      <c r="AA108" s="21">
        <f>EXP(-LN(2)/25)*AA107+(1-EXP(-LN(2)/25))/(LN(2)/25)*Calculateur!V108*Calculateur!X108*VLOOKUP('Données projet'!$B$9,Paramètres!$A$1:$I$89,3,0)*0.475*44/12</f>
        <v>26.552777956533344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86.943329699801268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300.80663531652721</v>
      </c>
      <c r="AO108" s="59">
        <f t="shared" si="90"/>
        <v>306.01967513533549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56.725359239018346</v>
      </c>
      <c r="AV108" s="21">
        <f>EXP(-LN(2)/25)*AV107+(1-EXP(-LN(2)/25))/(LN(2)/25)*Calculateur!AQ108*Calculateur!AS108*VLOOKUP('Données projet'!$B$10,Paramètres!$A$1:$I$89,3,0)*0.475*44/12</f>
        <v>24.609524476800164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81.334883715818506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-1.7053025658242404E-13</v>
      </c>
      <c r="O109" s="13">
        <f>N109*VLOOKUP('Données projet'!$B$9,Paramètres!$A$1:$I$89,3,0)*VLOOKUP('Données projet'!$B$9,Paramètres!$A$1:$I$89,5,0)</f>
        <v>-1.4897523215040567E-13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298.478198405424</v>
      </c>
      <c r="T109" s="59">
        <f t="shared" si="88"/>
        <v>313.2817272662549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59.206329858181896</v>
      </c>
      <c r="AA109" s="21">
        <f>EXP(-LN(2)/25)*AA108+(1-EXP(-LN(2)/25))/(LN(2)/25)*Calculateur!V109*Calculateur!X109*VLOOKUP('Données projet'!$B$9,Paramètres!$A$1:$I$89,3,0)*0.475*44/12</f>
        <v>25.826690846962034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85.033020705143926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300.80663531652721</v>
      </c>
      <c r="AO109" s="59">
        <f t="shared" si="90"/>
        <v>306.01967513533549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55.613009543393957</v>
      </c>
      <c r="AV109" s="21">
        <f>EXP(-LN(2)/25)*AV108+(1-EXP(-LN(2)/25))/(LN(2)/25)*Calculateur!AQ109*Calculateur!AS109*VLOOKUP('Données projet'!$B$10,Paramètres!$A$1:$I$89,3,0)*0.475*44/12</f>
        <v>23.936575735823418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79.549585279217382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-1.7053025658242404E-13</v>
      </c>
      <c r="O110" s="13">
        <f>N110*VLOOKUP('Données projet'!$B$9,Paramètres!$A$1:$I$89,3,0)*VLOOKUP('Données projet'!$B$9,Paramètres!$A$1:$I$89,5,0)</f>
        <v>-1.4897523215040567E-13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298.478198405424</v>
      </c>
      <c r="T110" s="59">
        <f t="shared" si="88"/>
        <v>313.2817272662549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58.04532984195837</v>
      </c>
      <c r="AA110" s="21">
        <f>EXP(-LN(2)/25)*AA109+(1-EXP(-LN(2)/25))/(LN(2)/25)*Calculateur!V110*Calculateur!X110*VLOOKUP('Données projet'!$B$9,Paramètres!$A$1:$I$89,3,0)*0.475*44/12</f>
        <v>25.120458627585212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83.165788469543585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300.80663531652721</v>
      </c>
      <c r="AO110" s="59">
        <f t="shared" si="90"/>
        <v>306.01967513533549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54.522472346834441</v>
      </c>
      <c r="AV110" s="21">
        <f>EXP(-LN(2)/25)*AV109+(1-EXP(-LN(2)/25))/(LN(2)/25)*Calculateur!AQ110*Calculateur!AS110*VLOOKUP('Données projet'!$B$10,Paramètres!$A$1:$I$89,3,0)*0.475*44/12</f>
        <v>23.282028813557517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77.804501160391965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-1.7053025658242404E-13</v>
      </c>
      <c r="O111" s="13">
        <f>N111*VLOOKUP('Données projet'!$B$9,Paramètres!$A$1:$I$89,3,0)*VLOOKUP('Données projet'!$B$9,Paramètres!$A$1:$I$89,5,0)</f>
        <v>-1.4897523215040567E-13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298.478198405424</v>
      </c>
      <c r="T111" s="59">
        <f t="shared" si="88"/>
        <v>313.2817272662549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56.907096327912903</v>
      </c>
      <c r="AA111" s="21">
        <f>EXP(-LN(2)/25)*AA110+(1-EXP(-LN(2)/25))/(LN(2)/25)*Calculateur!V111*Calculateur!X111*VLOOKUP('Données projet'!$B$9,Paramètres!$A$1:$I$89,3,0)*0.475*44/12</f>
        <v>24.43353836538639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81.340634693299293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300.80663531652721</v>
      </c>
      <c r="AO111" s="59">
        <f t="shared" si="90"/>
        <v>306.01967513533549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53.453319919537449</v>
      </c>
      <c r="AV111" s="21">
        <f>EXP(-LN(2)/25)*AV110+(1-EXP(-LN(2)/25))/(LN(2)/25)*Calculateur!AQ111*Calculateur!AS111*VLOOKUP('Données projet'!$B$10,Paramètres!$A$1:$I$89,3,0)*0.475*44/12</f>
        <v>22.645380511302104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76.098700430839557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-1.7053025658242404E-13</v>
      </c>
      <c r="O112" s="13">
        <f>N112*VLOOKUP('Données projet'!$B$9,Paramètres!$A$1:$I$89,3,0)*VLOOKUP('Données projet'!$B$9,Paramètres!$A$1:$I$89,5,0)</f>
        <v>-1.4897523215040567E-13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298.478198405424</v>
      </c>
      <c r="T112" s="59">
        <f t="shared" si="88"/>
        <v>313.2817272662549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55.791182878823975</v>
      </c>
      <c r="AA112" s="21">
        <f>EXP(-LN(2)/25)*AA111+(1-EXP(-LN(2)/25))/(LN(2)/25)*Calculateur!V112*Calculateur!X112*VLOOKUP('Données projet'!$B$9,Paramètres!$A$1:$I$89,3,0)*0.475*44/12</f>
        <v>23.765401973880959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79.55658485270493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300.80663531652721</v>
      </c>
      <c r="AO112" s="59">
        <f t="shared" si="90"/>
        <v>306.01967513533549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52.40513291922116</v>
      </c>
      <c r="AV112" s="21">
        <f>EXP(-LN(2)/25)*AV111+(1-EXP(-LN(2)/25))/(LN(2)/25)*Calculateur!AQ112*Calculateur!AS112*VLOOKUP('Données projet'!$B$10,Paramètres!$A$1:$I$89,3,0)*0.475*44/12</f>
        <v>22.026141390351743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74.431274309572899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-1.7053025658242404E-13</v>
      </c>
      <c r="O113" s="13">
        <f>N113*VLOOKUP('Données projet'!$B$9,Paramètres!$A$1:$I$89,3,0)*VLOOKUP('Données projet'!$B$9,Paramètres!$A$1:$I$89,5,0)</f>
        <v>-1.4897523215040567E-13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298.478198405424</v>
      </c>
      <c r="T113" s="59">
        <f t="shared" si="88"/>
        <v>313.2817272662549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54.697151811831681</v>
      </c>
      <c r="AA113" s="21">
        <f>EXP(-LN(2)/25)*AA112+(1-EXP(-LN(2)/25))/(LN(2)/25)*Calculateur!V113*Calculateur!X113*VLOOKUP('Données projet'!$B$9,Paramètres!$A$1:$I$89,3,0)*0.475*44/12</f>
        <v>23.115535807137011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77.812687618968695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300.80663531652721</v>
      </c>
      <c r="AO113" s="59">
        <f t="shared" si="90"/>
        <v>306.01967513533549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51.377500226650135</v>
      </c>
      <c r="AV113" s="21">
        <f>EXP(-LN(2)/25)*AV112+(1-EXP(-LN(2)/25))/(LN(2)/25)*Calculateur!AQ113*Calculateur!AS113*VLOOKUP('Données projet'!$B$10,Paramètres!$A$1:$I$89,3,0)*0.475*44/12</f>
        <v>21.42383539572814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72.801335622378275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-1.7053025658242404E-13</v>
      </c>
      <c r="O114" s="13">
        <f>N114*VLOOKUP('Données projet'!$B$9,Paramètres!$A$1:$I$89,3,0)*VLOOKUP('Données projet'!$B$9,Paramètres!$A$1:$I$89,5,0)</f>
        <v>-1.4897523215040567E-13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298.478198405424</v>
      </c>
      <c r="T114" s="59">
        <f t="shared" si="88"/>
        <v>313.2817272662549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53.624574026770048</v>
      </c>
      <c r="AA114" s="21">
        <f>EXP(-LN(2)/25)*AA113+(1-EXP(-LN(2)/25))/(LN(2)/25)*Calculateur!V114*Calculateur!X114*VLOOKUP('Données projet'!$B$9,Paramètres!$A$1:$I$89,3,0)*0.475*44/12</f>
        <v>22.483440264897652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76.1080142916677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300.80663531652721</v>
      </c>
      <c r="AO114" s="59">
        <f t="shared" si="90"/>
        <v>306.01967513533549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50.370018784386374</v>
      </c>
      <c r="AV114" s="21">
        <f>EXP(-LN(2)/25)*AV113+(1-EXP(-LN(2)/25))/(LN(2)/25)*Calculateur!AQ114*Calculateur!AS114*VLOOKUP('Données projet'!$B$10,Paramètres!$A$1:$I$89,3,0)*0.475*44/12</f>
        <v>20.837999490201415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71.208018274587786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-1.7053025658242404E-13</v>
      </c>
      <c r="O115" s="13">
        <f>N115*VLOOKUP('Données projet'!$B$9,Paramètres!$A$1:$I$89,3,0)*VLOOKUP('Données projet'!$B$9,Paramètres!$A$1:$I$89,5,0)</f>
        <v>-1.4897523215040567E-13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298.478198405424</v>
      </c>
      <c r="T115" s="59">
        <f t="shared" si="88"/>
        <v>313.2817272662549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52.573028837865621</v>
      </c>
      <c r="AA115" s="21">
        <f>EXP(-LN(2)/25)*AA114+(1-EXP(-LN(2)/25))/(LN(2)/25)*Calculateur!V115*Calculateur!X115*VLOOKUP('Données projet'!$B$9,Paramètres!$A$1:$I$89,3,0)*0.475*44/12</f>
        <v>21.868629408501288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74.441658246366913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300.80663531652721</v>
      </c>
      <c r="AO115" s="59">
        <f t="shared" si="90"/>
        <v>306.01967513533549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49.382293438702405</v>
      </c>
      <c r="AV115" s="21">
        <f>EXP(-LN(2)/25)*AV114+(1-EXP(-LN(2)/25))/(LN(2)/25)*Calculateur!AQ115*Calculateur!AS115*VLOOKUP('Données projet'!$B$10,Paramètres!$A$1:$I$89,3,0)*0.475*44/12</f>
        <v>20.268183298319091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69.650476737021492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-1.7053025658242404E-13</v>
      </c>
      <c r="O116" s="13">
        <f>N116*VLOOKUP('Données projet'!$B$9,Paramètres!$A$1:$I$89,3,0)*VLOOKUP('Données projet'!$B$9,Paramètres!$A$1:$I$89,5,0)</f>
        <v>-1.4897523215040567E-13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298.478198405424</v>
      </c>
      <c r="T116" s="59">
        <f t="shared" si="88"/>
        <v>313.2817272662549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51.542103808736378</v>
      </c>
      <c r="AA116" s="21">
        <f>EXP(-LN(2)/25)*AA115+(1-EXP(-LN(2)/25))/(LN(2)/25)*Calculateur!V116*Calculateur!X116*VLOOKUP('Données projet'!$B$9,Paramètres!$A$1:$I$89,3,0)*0.475*44/12</f>
        <v>21.270630587304581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72.812734396040952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300.80663531652721</v>
      </c>
      <c r="AO116" s="59">
        <f t="shared" si="90"/>
        <v>306.01967513533549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48.41393678459432</v>
      </c>
      <c r="AV116" s="21">
        <f>EXP(-LN(2)/25)*AV115+(1-EXP(-LN(2)/25))/(LN(2)/25)*Calculateur!AQ116*Calculateur!AS116*VLOOKUP('Données projet'!$B$10,Paramètres!$A$1:$I$89,3,0)*0.475*44/12</f>
        <v>19.713948760169121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68.127885544763444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-1.7053025658242404E-13</v>
      </c>
      <c r="O117" s="13">
        <f>N117*VLOOKUP('Données projet'!$B$9,Paramètres!$A$1:$I$89,3,0)*VLOOKUP('Données projet'!$B$9,Paramètres!$A$1:$I$89,5,0)</f>
        <v>-1.4897523215040567E-13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298.478198405424</v>
      </c>
      <c r="T117" s="59">
        <f t="shared" si="88"/>
        <v>313.2817272662549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50.531394590626178</v>
      </c>
      <c r="AA117" s="21">
        <f>EXP(-LN(2)/25)*AA116+(1-EXP(-LN(2)/25))/(LN(2)/25)*Calculateur!V117*Calculateur!X117*VLOOKUP('Données projet'!$B$9,Paramètres!$A$1:$I$89,3,0)*0.475*44/12</f>
        <v>20.688984075320889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71.220378665947067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300.80663531652721</v>
      </c>
      <c r="AO117" s="59">
        <f t="shared" si="90"/>
        <v>306.01967513533549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47.464569013834058</v>
      </c>
      <c r="AV117" s="21">
        <f>EXP(-LN(2)/25)*AV116+(1-EXP(-LN(2)/25))/(LN(2)/25)*Calculateur!AQ117*Calculateur!AS117*VLOOKUP('Données projet'!$B$10,Paramètres!$A$1:$I$89,3,0)*0.475*44/12</f>
        <v>19.174869794610789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66.639438808444851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-1.7053025658242404E-13</v>
      </c>
      <c r="O118" s="13">
        <f>N118*VLOOKUP('Données projet'!$B$9,Paramètres!$A$1:$I$89,3,0)*VLOOKUP('Données projet'!$B$9,Paramètres!$A$1:$I$89,5,0)</f>
        <v>-1.4897523215040567E-13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298.478198405424</v>
      </c>
      <c r="T118" s="59">
        <f t="shared" si="88"/>
        <v>313.2817272662549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49.54050476381137</v>
      </c>
      <c r="AA118" s="21">
        <f>EXP(-LN(2)/25)*AA117+(1-EXP(-LN(2)/25))/(LN(2)/25)*Calculateur!V118*Calculateur!X118*VLOOKUP('Données projet'!$B$9,Paramètres!$A$1:$I$89,3,0)*0.475*44/12</f>
        <v>20.123242717794852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69.663747481606222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300.80663531652721</v>
      </c>
      <c r="AO118" s="59">
        <f t="shared" si="90"/>
        <v>306.01967513533549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46.533817766001242</v>
      </c>
      <c r="AV118" s="21">
        <f>EXP(-LN(2)/25)*AV117+(1-EXP(-LN(2)/25))/(LN(2)/25)*Calculateur!AQ118*Calculateur!AS118*VLOOKUP('Données projet'!$B$10,Paramètres!$A$1:$I$89,3,0)*0.475*44/12</f>
        <v>18.650531971714578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65.18434973771582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-1.7053025658242404E-13</v>
      </c>
      <c r="O119" s="13">
        <f>N119*VLOOKUP('Données projet'!$B$9,Paramètres!$A$1:$I$89,3,0)*VLOOKUP('Données projet'!$B$9,Paramètres!$A$1:$I$89,5,0)</f>
        <v>-1.4897523215040567E-13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298.478198405424</v>
      </c>
      <c r="T119" s="59">
        <f t="shared" si="88"/>
        <v>313.2817272662549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48.569045682117284</v>
      </c>
      <c r="AA119" s="21">
        <f>EXP(-LN(2)/25)*AA118+(1-EXP(-LN(2)/25))/(LN(2)/25)*Calculateur!V119*Calculateur!X119*VLOOKUP('Données projet'!$B$9,Paramètres!$A$1:$I$89,3,0)*0.475*44/12</f>
        <v>19.572971587441408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68.142017269558693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300.80663531652721</v>
      </c>
      <c r="AO119" s="59">
        <f t="shared" si="90"/>
        <v>306.01967513533549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45.621317982436224</v>
      </c>
      <c r="AV119" s="21">
        <f>EXP(-LN(2)/25)*AV118+(1-EXP(-LN(2)/25))/(LN(2)/25)*Calculateur!AQ119*Calculateur!AS119*VLOOKUP('Données projet'!$B$10,Paramètres!$A$1:$I$89,3,0)*0.475*44/12</f>
        <v>18.140532194159192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63.761850176595416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-1.7053025658242404E-13</v>
      </c>
      <c r="O120" s="13">
        <f>N120*VLOOKUP('Données projet'!$B$9,Paramètres!$A$1:$I$89,3,0)*VLOOKUP('Données projet'!$B$9,Paramètres!$A$1:$I$89,5,0)</f>
        <v>-1.4897523215040567E-13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298.478198405424</v>
      </c>
      <c r="T120" s="59">
        <f t="shared" si="88"/>
        <v>313.2817272662549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47.616636320483686</v>
      </c>
      <c r="AA120" s="21">
        <f>EXP(-LN(2)/25)*AA119+(1-EXP(-LN(2)/25))/(LN(2)/25)*Calculateur!V120*Calculateur!X120*VLOOKUP('Données projet'!$B$9,Paramètres!$A$1:$I$89,3,0)*0.475*44/12</f>
        <v>19.037747650084981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66.654383970568659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300.80663531652721</v>
      </c>
      <c r="AO120" s="59">
        <f t="shared" si="90"/>
        <v>306.01967513533549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44.726711763057004</v>
      </c>
      <c r="AV120" s="21">
        <f>EXP(-LN(2)/25)*AV119+(1-EXP(-LN(2)/25))/(LN(2)/25)*Calculateur!AQ120*Calculateur!AS120*VLOOKUP('Données projet'!$B$10,Paramètres!$A$1:$I$89,3,0)*0.475*44/12</f>
        <v>17.644478387340783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62.371190150397787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-1.7053025658242404E-13</v>
      </c>
      <c r="O121" s="13">
        <f>N121*VLOOKUP('Données projet'!$B$9,Paramètres!$A$1:$I$89,3,0)*VLOOKUP('Données projet'!$B$9,Paramètres!$A$1:$I$89,5,0)</f>
        <v>-1.4897523215040567E-13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298.478198405424</v>
      </c>
      <c r="T121" s="59">
        <f t="shared" si="88"/>
        <v>313.2817272662549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46.682903125519367</v>
      </c>
      <c r="AA121" s="21">
        <f>EXP(-LN(2)/25)*AA120+(1-EXP(-LN(2)/25))/(LN(2)/25)*Calculateur!V121*Calculateur!X121*VLOOKUP('Données projet'!$B$9,Paramètres!$A$1:$I$89,3,0)*0.475*44/12</f>
        <v>18.51715943944177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65.200062564961144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300.80663531652721</v>
      </c>
      <c r="AO121" s="59">
        <f t="shared" si="90"/>
        <v>306.01967513533549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43.849648225983898</v>
      </c>
      <c r="AV121" s="21">
        <f>EXP(-LN(2)/25)*AV120+(1-EXP(-LN(2)/25))/(LN(2)/25)*Calculateur!AQ121*Calculateur!AS121*VLOOKUP('Données projet'!$B$10,Paramètres!$A$1:$I$89,3,0)*0.475*44/12</f>
        <v>17.161989197956157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61.011637423940059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-1.7053025658242404E-13</v>
      </c>
      <c r="O122" s="13">
        <f>N122*VLOOKUP('Données projet'!$B$9,Paramètres!$A$1:$I$89,3,0)*VLOOKUP('Données projet'!$B$9,Paramètres!$A$1:$I$89,5,0)</f>
        <v>-1.4897523215040567E-13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298.478198405424</v>
      </c>
      <c r="T122" s="59">
        <f t="shared" si="88"/>
        <v>313.2817272662549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45.767479868987287</v>
      </c>
      <c r="AA122" s="21">
        <f>EXP(-LN(2)/25)*AA121+(1-EXP(-LN(2)/25))/(LN(2)/25)*Calculateur!V122*Calculateur!X122*VLOOKUP('Données projet'!$B$9,Paramètres!$A$1:$I$89,3,0)*0.475*44/12</f>
        <v>18.01080674079514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63.778286609782427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300.80663531652721</v>
      </c>
      <c r="AO122" s="59">
        <f t="shared" si="90"/>
        <v>306.01967513533549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42.989783369916857</v>
      </c>
      <c r="AV122" s="21">
        <f>EXP(-LN(2)/25)*AV121+(1-EXP(-LN(2)/25))/(LN(2)/25)*Calculateur!AQ122*Calculateur!AS122*VLOOKUP('Données projet'!$B$10,Paramètres!$A$1:$I$89,3,0)*0.475*44/12</f>
        <v>16.692693700828258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59.682477070745115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-1.7053025658242404E-13</v>
      </c>
      <c r="O123" s="13">
        <f>N123*VLOOKUP('Données projet'!$B$9,Paramètres!$A$1:$I$89,3,0)*VLOOKUP('Données projet'!$B$9,Paramètres!$A$1:$I$89,5,0)</f>
        <v>-1.4897523215040567E-13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298.478198405424</v>
      </c>
      <c r="T123" s="59">
        <f t="shared" si="88"/>
        <v>313.2817272662549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44.87000750416275</v>
      </c>
      <c r="AA123" s="21">
        <f>EXP(-LN(2)/25)*AA122+(1-EXP(-LN(2)/25))/(LN(2)/25)*Calculateur!V123*Calculateur!X123*VLOOKUP('Données projet'!$B$9,Paramètres!$A$1:$I$89,3,0)*0.475*44/12</f>
        <v>17.518300283320933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62.388307787483683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300.80663531652721</v>
      </c>
      <c r="AO123" s="59">
        <f t="shared" si="90"/>
        <v>306.01967513533549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42.14677993921152</v>
      </c>
      <c r="AV123" s="21">
        <f>EXP(-LN(2)/25)*AV122+(1-EXP(-LN(2)/25))/(LN(2)/25)*Calculateur!AQ123*Calculateur!AS123*VLOOKUP('Données projet'!$B$10,Paramètres!$A$1:$I$89,3,0)*0.475*44/12</f>
        <v>16.236231113748499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58.383011052960015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-1.7053025658242404E-13</v>
      </c>
      <c r="O124" s="13">
        <f>N124*VLOOKUP('Données projet'!$B$9,Paramètres!$A$1:$I$89,3,0)*VLOOKUP('Données projet'!$B$9,Paramètres!$A$1:$I$89,5,0)</f>
        <v>-1.4897523215040567E-13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298.478198405424</v>
      </c>
      <c r="T124" s="59">
        <f t="shared" si="88"/>
        <v>313.2817272662549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43.990134025008331</v>
      </c>
      <c r="AA124" s="21">
        <f>EXP(-LN(2)/25)*AA123+(1-EXP(-LN(2)/25))/(LN(2)/25)*Calculateur!V124*Calculateur!X124*VLOOKUP('Données projet'!$B$9,Paramètres!$A$1:$I$89,3,0)*0.475*44/12</f>
        <v>17.039261440826149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61.029395465834483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300.80663531652721</v>
      </c>
      <c r="AO124" s="59">
        <f t="shared" si="90"/>
        <v>306.01967513533549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41.32030729160099</v>
      </c>
      <c r="AV124" s="21">
        <f>EXP(-LN(2)/25)*AV123+(1-EXP(-LN(2)/25))/(LN(2)/25)*Calculateur!AQ124*Calculateur!AS124*VLOOKUP('Données projet'!$B$10,Paramètres!$A$1:$I$89,3,0)*0.475*44/12</f>
        <v>15.79225052011676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57.11255781171775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-1.7053025658242404E-13</v>
      </c>
      <c r="O125" s="13">
        <f>N125*VLOOKUP('Données projet'!$B$9,Paramètres!$A$1:$I$89,3,0)*VLOOKUP('Données projet'!$B$9,Paramètres!$A$1:$I$89,5,0)</f>
        <v>-1.4897523215040567E-13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298.478198405424</v>
      </c>
      <c r="T125" s="59">
        <f t="shared" si="88"/>
        <v>313.2817272662549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43.127514328110301</v>
      </c>
      <c r="AA125" s="21">
        <f>EXP(-LN(2)/25)*AA124+(1-EXP(-LN(2)/25))/(LN(2)/25)*Calculateur!V125*Calculateur!X125*VLOOKUP('Données projet'!$B$9,Paramètres!$A$1:$I$89,3,0)*0.475*44/12</f>
        <v>16.573321940670944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59.700836268781245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300.80663531652721</v>
      </c>
      <c r="AO125" s="59">
        <f t="shared" si="90"/>
        <v>306.01967513533549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40.510041268511564</v>
      </c>
      <c r="AV125" s="21">
        <f>EXP(-LN(2)/25)*AV124+(1-EXP(-LN(2)/25))/(LN(2)/25)*Calculateur!AQ125*Calculateur!AS125*VLOOKUP('Données projet'!$B$10,Paramètres!$A$1:$I$89,3,0)*0.475*44/12</f>
        <v>15.360410599165805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55.870451867677367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-1.7053025658242404E-13</v>
      </c>
      <c r="O126" s="13">
        <f>N126*VLOOKUP('Données projet'!$B$9,Paramètres!$A$1:$I$89,3,0)*VLOOKUP('Données projet'!$B$9,Paramètres!$A$1:$I$89,5,0)</f>
        <v>-1.4897523215040567E-13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298.478198405424</v>
      </c>
      <c r="T126" s="59">
        <f t="shared" si="88"/>
        <v>313.2817272662549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42.281810077322376</v>
      </c>
      <c r="AA126" s="21">
        <f>EXP(-LN(2)/25)*AA125+(1-EXP(-LN(2)/25))/(LN(2)/25)*Calculateur!V126*Calculateur!X126*VLOOKUP('Données projet'!$B$9,Paramètres!$A$1:$I$89,3,0)*0.475*44/12</f>
        <v>16.120123580650176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58.401933657972549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300.80663531652721</v>
      </c>
      <c r="AO126" s="59">
        <f t="shared" si="90"/>
        <v>306.01967513533549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39.715664067921445</v>
      </c>
      <c r="AV126" s="21">
        <f>EXP(-LN(2)/25)*AV125+(1-EXP(-LN(2)/25))/(LN(2)/25)*Calculateur!AQ126*Calculateur!AS126*VLOOKUP('Données projet'!$B$10,Paramètres!$A$1:$I$89,3,0)*0.475*44/12</f>
        <v>14.940379363562728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54.656043431484171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-1.7053025658242404E-13</v>
      </c>
      <c r="O127" s="13">
        <f>N127*VLOOKUP('Données projet'!$B$9,Paramètres!$A$1:$I$89,3,0)*VLOOKUP('Données projet'!$B$9,Paramètres!$A$1:$I$89,5,0)</f>
        <v>-1.4897523215040567E-13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298.478198405424</v>
      </c>
      <c r="T127" s="59">
        <f t="shared" si="88"/>
        <v>313.2817272662549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41.452689571063743</v>
      </c>
      <c r="AA127" s="21">
        <f>EXP(-LN(2)/25)*AA126+(1-EXP(-LN(2)/25))/(LN(2)/25)*Calculateur!V127*Calculateur!X127*VLOOKUP('Données projet'!$B$9,Paramètres!$A$1:$I$89,3,0)*0.475*44/12</f>
        <v>15.679317953616842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57.132007524680589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300.80663531652721</v>
      </c>
      <c r="AO127" s="59">
        <f t="shared" si="90"/>
        <v>306.01967513533549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38.936864119712652</v>
      </c>
      <c r="AV127" s="21">
        <f>EXP(-LN(2)/25)*AV126+(1-EXP(-LN(2)/25))/(LN(2)/25)*Calculateur!AQ127*Calculateur!AS127*VLOOKUP('Données projet'!$B$10,Paramètres!$A$1:$I$89,3,0)*0.475*44/12</f>
        <v>14.531833904185701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53.468698023898355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-1.7053025658242404E-13</v>
      </c>
      <c r="O128" s="13">
        <f>N128*VLOOKUP('Données projet'!$B$9,Paramètres!$A$1:$I$89,3,0)*VLOOKUP('Données projet'!$B$9,Paramètres!$A$1:$I$89,5,0)</f>
        <v>-1.4897523215040567E-13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298.478198405424</v>
      </c>
      <c r="T128" s="59">
        <f t="shared" si="88"/>
        <v>313.2817272662549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40.639827612219271</v>
      </c>
      <c r="AA128" s="21">
        <f>EXP(-LN(2)/25)*AA127+(1-EXP(-LN(2)/25))/(LN(2)/25)*Calculateur!V128*Calculateur!X128*VLOOKUP('Données projet'!$B$9,Paramètres!$A$1:$I$89,3,0)*0.475*44/12</f>
        <v>15.250566179635694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55.890393791854962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300.80663531652721</v>
      </c>
      <c r="AO128" s="59">
        <f t="shared" si="90"/>
        <v>306.01967513533549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38.173335963467167</v>
      </c>
      <c r="AV128" s="21">
        <f>EXP(-LN(2)/25)*AV127+(1-EXP(-LN(2)/25))/(LN(2)/25)*Calculateur!AQ128*Calculateur!AS128*VLOOKUP('Données projet'!$B$10,Paramètres!$A$1:$I$89,3,0)*0.475*44/12</f>
        <v>14.134460141879812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52.307796105346981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-1.7053025658242404E-13</v>
      </c>
      <c r="O129" s="13">
        <f>N129*VLOOKUP('Données projet'!$B$9,Paramètres!$A$1:$I$89,3,0)*VLOOKUP('Données projet'!$B$9,Paramètres!$A$1:$I$89,5,0)</f>
        <v>-1.4897523215040567E-13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298.478198405424</v>
      </c>
      <c r="T129" s="59">
        <f t="shared" si="88"/>
        <v>313.2817272662549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39.842905380590899</v>
      </c>
      <c r="AA129" s="21">
        <f>EXP(-LN(2)/25)*AA128+(1-EXP(-LN(2)/25))/(LN(2)/25)*Calculateur!V129*Calculateur!X129*VLOOKUP('Données projet'!$B$9,Paramètres!$A$1:$I$89,3,0)*0.475*44/12</f>
        <v>14.833538645461136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54.676444026052039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300.80663531652721</v>
      </c>
      <c r="AO129" s="59">
        <f t="shared" si="90"/>
        <v>306.01967513533549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37.424780128659464</v>
      </c>
      <c r="AV129" s="21">
        <f>EXP(-LN(2)/25)*AV128+(1-EXP(-LN(2)/25))/(LN(2)/25)*Calculateur!AQ129*Calculateur!AS129*VLOOKUP('Données projet'!$B$10,Paramètres!$A$1:$I$89,3,0)*0.475*44/12</f>
        <v>13.747952586001155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51.172732714660619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-1.7053025658242404E-13</v>
      </c>
      <c r="O130" s="13">
        <f>N130*VLOOKUP('Données projet'!$B$9,Paramètres!$A$1:$I$89,3,0)*VLOOKUP('Données projet'!$B$9,Paramètres!$A$1:$I$89,5,0)</f>
        <v>-1.4897523215040567E-13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298.478198405424</v>
      </c>
      <c r="T130" s="59">
        <f t="shared" si="88"/>
        <v>313.2817272662549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39.061610307850195</v>
      </c>
      <c r="AA130" s="21">
        <f>EXP(-LN(2)/25)*AA129+(1-EXP(-LN(2)/25))/(LN(2)/25)*Calculateur!V130*Calculateur!X130*VLOOKUP('Données projet'!$B$9,Paramètres!$A$1:$I$89,3,0)*0.475*44/12</f>
        <v>14.427914751139106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53.489525058989301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300.80663531652721</v>
      </c>
      <c r="AO130" s="59">
        <f t="shared" si="90"/>
        <v>306.01967513533549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36.690903017198366</v>
      </c>
      <c r="AV130" s="21">
        <f>EXP(-LN(2)/25)*AV129+(1-EXP(-LN(2)/25))/(LN(2)/25)*Calculateur!AQ130*Calculateur!AS130*VLOOKUP('Données projet'!$B$10,Paramètres!$A$1:$I$89,3,0)*0.475*44/12</f>
        <v>13.372014099563549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50.062917116761916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-1.7053025658242404E-13</v>
      </c>
      <c r="O131" s="13">
        <f>N131*VLOOKUP('Données projet'!$B$9,Paramètres!$A$1:$I$89,3,0)*VLOOKUP('Données projet'!$B$9,Paramètres!$A$1:$I$89,5,0)</f>
        <v>-1.4897523215040567E-13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298.478198405424</v>
      </c>
      <c r="T131" s="59">
        <f t="shared" si="88"/>
        <v>313.2817272662549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38.295635954942995</v>
      </c>
      <c r="AA131" s="21">
        <f>EXP(-LN(2)/25)*AA130+(1-EXP(-LN(2)/25))/(LN(2)/25)*Calculateur!V131*Calculateur!X131*VLOOKUP('Données projet'!$B$9,Paramètres!$A$1:$I$89,3,0)*0.475*44/12</f>
        <v>14.033382663538145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52.329018618481143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300.80663531652721</v>
      </c>
      <c r="AO131" s="59">
        <f t="shared" si="90"/>
        <v>306.01967513533549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35.97141678827218</v>
      </c>
      <c r="AV131" s="21">
        <f>EXP(-LN(2)/25)*AV130+(1-EXP(-LN(2)/25))/(LN(2)/25)*Calculateur!AQ131*Calculateur!AS131*VLOOKUP('Données projet'!$B$10,Paramètres!$A$1:$I$89,3,0)*0.475*44/12</f>
        <v>13.006355670807324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48.977772459079503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-1.7053025658242404E-13</v>
      </c>
      <c r="O132" s="13">
        <f>N132*VLOOKUP('Données projet'!$B$9,Paramètres!$A$1:$I$89,3,0)*VLOOKUP('Données projet'!$B$9,Paramètres!$A$1:$I$89,5,0)</f>
        <v>-1.4897523215040567E-13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298.478198405424</v>
      </c>
      <c r="T132" s="59">
        <f t="shared" si="88"/>
        <v>313.2817272662549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37.54468189189808</v>
      </c>
      <c r="AA132" s="21">
        <f>EXP(-LN(2)/25)*AA131+(1-EXP(-LN(2)/25))/(LN(2)/25)*Calculateur!V132*Calculateur!X132*VLOOKUP('Données projet'!$B$9,Paramètres!$A$1:$I$89,3,0)*0.475*44/12</f>
        <v>13.649639076620174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51.194320968518255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300.80663531652721</v>
      </c>
      <c r="AO132" s="59">
        <f t="shared" si="90"/>
        <v>306.01967513533549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35.266039245451971</v>
      </c>
      <c r="AV132" s="21">
        <f>EXP(-LN(2)/25)*AV131+(1-EXP(-LN(2)/25))/(LN(2)/25)*Calculateur!AQ132*Calculateur!AS132*VLOOKUP('Données projet'!$B$10,Paramètres!$A$1:$I$89,3,0)*0.475*44/12</f>
        <v>12.650696191014578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47.916735436466553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-1.7053025658242404E-13</v>
      </c>
      <c r="O133" s="13">
        <f>N133*VLOOKUP('Données projet'!$B$9,Paramètres!$A$1:$I$89,3,0)*VLOOKUP('Données projet'!$B$9,Paramètres!$A$1:$I$89,5,0)</f>
        <v>-1.4897523215040567E-13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298.478198405424</v>
      </c>
      <c r="T133" s="59">
        <f t="shared" ref="T133:T196" si="142">$T$3</f>
        <v>313.2817272662549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36.808453579992722</v>
      </c>
      <c r="AA133" s="21">
        <f>EXP(-LN(2)/25)*AA132+(1-EXP(-LN(2)/25))/(LN(2)/25)*Calculateur!V133*Calculateur!X133*VLOOKUP('Données projet'!$B$9,Paramètres!$A$1:$I$89,3,0)*0.475*44/12</f>
        <v>13.276388978266672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50.084842558259396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300.80663531652721</v>
      </c>
      <c r="AO133" s="59">
        <f t="shared" ref="AO133:AO196" si="144">$AO$3</f>
        <v>306.01967513533549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34.574493726008647</v>
      </c>
      <c r="AV133" s="21">
        <f>EXP(-LN(2)/25)*AV132+(1-EXP(-LN(2)/25))/(LN(2)/25)*Calculateur!AQ133*Calculateur!AS133*VLOOKUP('Données projet'!$B$10,Paramètres!$A$1:$I$89,3,0)*0.475*44/12</f>
        <v>12.304762238400086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46.879255964408735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-1.7053025658242404E-13</v>
      </c>
      <c r="O134" s="13">
        <f>N134*VLOOKUP('Données projet'!$B$9,Paramètres!$A$1:$I$89,3,0)*VLOOKUP('Données projet'!$B$9,Paramètres!$A$1:$I$89,5,0)</f>
        <v>-1.4897523215040567E-13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298.478198405424</v>
      </c>
      <c r="T134" s="59">
        <f t="shared" si="142"/>
        <v>313.2817272662549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36.086662256228905</v>
      </c>
      <c r="AA134" s="21">
        <f>EXP(-LN(2)/25)*AA133+(1-EXP(-LN(2)/25))/(LN(2)/25)*Calculateur!V134*Calculateur!X134*VLOOKUP('Données projet'!$B$9,Paramètres!$A$1:$I$89,3,0)*0.475*44/12</f>
        <v>12.913345423481017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49.000007679709924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300.80663531652721</v>
      </c>
      <c r="AO134" s="59">
        <f t="shared" si="144"/>
        <v>306.01967513533549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33.896508992400491</v>
      </c>
      <c r="AV134" s="21">
        <f>EXP(-LN(2)/25)*AV133+(1-EXP(-LN(2)/25))/(LN(2)/25)*Calculateur!AQ134*Calculateur!AS134*VLOOKUP('Données projet'!$B$10,Paramètres!$A$1:$I$89,3,0)*0.475*44/12</f>
        <v>11.968287867911712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45.864796860312204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-1.7053025658242404E-13</v>
      </c>
      <c r="O135" s="13">
        <f>N135*VLOOKUP('Données projet'!$B$9,Paramètres!$A$1:$I$89,3,0)*VLOOKUP('Données projet'!$B$9,Paramètres!$A$1:$I$89,5,0)</f>
        <v>-1.4897523215040567E-13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298.478198405424</v>
      </c>
      <c r="T135" s="59">
        <f t="shared" si="142"/>
        <v>313.2817272662549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35.379024820074861</v>
      </c>
      <c r="AA135" s="21">
        <f>EXP(-LN(2)/25)*AA134+(1-EXP(-LN(2)/25))/(LN(2)/25)*Calculateur!V135*Calculateur!X135*VLOOKUP('Données projet'!$B$9,Paramètres!$A$1:$I$89,3,0)*0.475*44/12</f>
        <v>12.560229313792606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47.939254133867465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300.80663531652721</v>
      </c>
      <c r="AO135" s="59">
        <f t="shared" si="144"/>
        <v>306.01967513533549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33.231819125888535</v>
      </c>
      <c r="AV135" s="21">
        <f>EXP(-LN(2)/25)*AV134+(1-EXP(-LN(2)/25))/(LN(2)/25)*Calculateur!AQ135*Calculateur!AS135*VLOOKUP('Données projet'!$B$10,Paramètres!$A$1:$I$89,3,0)*0.475*44/12</f>
        <v>11.641014406778762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44.8728335326673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-1.7053025658242404E-13</v>
      </c>
      <c r="O136" s="13">
        <f>N136*VLOOKUP('Données projet'!$B$9,Paramètres!$A$1:$I$89,3,0)*VLOOKUP('Données projet'!$B$9,Paramètres!$A$1:$I$89,5,0)</f>
        <v>-1.4897523215040567E-13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298.478198405424</v>
      </c>
      <c r="T136" s="59">
        <f t="shared" si="142"/>
        <v>313.2817272662549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34.685263722427578</v>
      </c>
      <c r="AA136" s="21">
        <f>EXP(-LN(2)/25)*AA135+(1-EXP(-LN(2)/25))/(LN(2)/25)*Calculateur!V136*Calculateur!X136*VLOOKUP('Données projet'!$B$9,Paramètres!$A$1:$I$89,3,0)*0.475*44/12</f>
        <v>12.216769182693195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46.902032905120777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300.80663531652721</v>
      </c>
      <c r="AO136" s="59">
        <f t="shared" si="144"/>
        <v>306.01967513533549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32.580163422238087</v>
      </c>
      <c r="AV136" s="21">
        <f>EXP(-LN(2)/25)*AV135+(1-EXP(-LN(2)/25))/(LN(2)/25)*Calculateur!AQ136*Calculateur!AS136*VLOOKUP('Données projet'!$B$10,Paramètres!$A$1:$I$89,3,0)*0.475*44/12</f>
        <v>11.322690255651056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43.902853677889141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-1.7053025658242404E-13</v>
      </c>
      <c r="O137" s="13">
        <f>N137*VLOOKUP('Données projet'!$B$9,Paramètres!$A$1:$I$89,3,0)*VLOOKUP('Données projet'!$B$9,Paramètres!$A$1:$I$89,5,0)</f>
        <v>-1.4897523215040567E-13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298.478198405424</v>
      </c>
      <c r="T137" s="59">
        <f t="shared" si="142"/>
        <v>313.2817272662549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34.005106856752668</v>
      </c>
      <c r="AA137" s="21">
        <f>EXP(-LN(2)/25)*AA136+(1-EXP(-LN(2)/25))/(LN(2)/25)*Calculateur!V137*Calculateur!X137*VLOOKUP('Données projet'!$B$9,Paramètres!$A$1:$I$89,3,0)*0.475*44/12</f>
        <v>11.882700986940479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45.887807843693146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300.80663531652721</v>
      </c>
      <c r="AO137" s="59">
        <f t="shared" si="144"/>
        <v>306.01967513533549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31.941286289465495</v>
      </c>
      <c r="AV137" s="21">
        <f>EXP(-LN(2)/25)*AV136+(1-EXP(-LN(2)/25))/(LN(2)/25)*Calculateur!AQ137*Calculateur!AS137*VLOOKUP('Données projet'!$B$10,Paramètres!$A$1:$I$89,3,0)*0.475*44/12</f>
        <v>11.013070695175875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42.954356984641372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-1.7053025658242404E-13</v>
      </c>
      <c r="O138" s="13">
        <f>N138*VLOOKUP('Données projet'!$B$9,Paramètres!$A$1:$I$89,3,0)*VLOOKUP('Données projet'!$B$9,Paramètres!$A$1:$I$89,5,0)</f>
        <v>-1.4897523215040567E-13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298.478198405424</v>
      </c>
      <c r="T138" s="59">
        <f t="shared" si="142"/>
        <v>313.2817272662549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33.338287452358919</v>
      </c>
      <c r="AA138" s="21">
        <f>EXP(-LN(2)/25)*AA137+(1-EXP(-LN(2)/25))/(LN(2)/25)*Calculateur!V138*Calculateur!X138*VLOOKUP('Données projet'!$B$9,Paramètres!$A$1:$I$89,3,0)*0.475*44/12</f>
        <v>11.557767903568505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44.896055355927423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300.80663531652721</v>
      </c>
      <c r="AO138" s="59">
        <f t="shared" si="144"/>
        <v>306.01967513533549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31.314937147590001</v>
      </c>
      <c r="AV138" s="21">
        <f>EXP(-LN(2)/25)*AV137+(1-EXP(-LN(2)/25))/(LN(2)/25)*Calculateur!AQ138*Calculateur!AS138*VLOOKUP('Données projet'!$B$10,Paramètres!$A$1:$I$89,3,0)*0.475*44/12</f>
        <v>10.711917697864074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42.026854845454075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-1.7053025658242404E-13</v>
      </c>
      <c r="O139" s="13">
        <f>N139*VLOOKUP('Données projet'!$B$9,Paramètres!$A$1:$I$89,3,0)*VLOOKUP('Données projet'!$B$9,Paramètres!$A$1:$I$89,5,0)</f>
        <v>-1.4897523215040567E-13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298.478198405424</v>
      </c>
      <c r="T139" s="59">
        <f t="shared" si="142"/>
        <v>313.2817272662549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32.684543969765656</v>
      </c>
      <c r="AA139" s="21">
        <f>EXP(-LN(2)/25)*AA138+(1-EXP(-LN(2)/25))/(LN(2)/25)*Calculateur!V139*Calculateur!X139*VLOOKUP('Données projet'!$B$9,Paramètres!$A$1:$I$89,3,0)*0.475*44/12</f>
        <v>11.241720132448826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43.926264102214482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300.80663531652721</v>
      </c>
      <c r="AO139" s="59">
        <f t="shared" si="144"/>
        <v>306.01967513533549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30.700870330351432</v>
      </c>
      <c r="AV139" s="21">
        <f>EXP(-LN(2)/25)*AV138+(1-EXP(-LN(2)/25))/(LN(2)/25)*Calculateur!AQ139*Calculateur!AS139*VLOOKUP('Données projet'!$B$10,Paramètres!$A$1:$I$89,3,0)*0.475*44/12</f>
        <v>10.418999745100711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41.119870075452141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-1.7053025658242404E-13</v>
      </c>
      <c r="O140" s="13">
        <f>N140*VLOOKUP('Données projet'!$B$9,Paramètres!$A$1:$I$89,3,0)*VLOOKUP('Données projet'!$B$9,Paramètres!$A$1:$I$89,5,0)</f>
        <v>-1.4897523215040567E-13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298.478198405424</v>
      </c>
      <c r="T140" s="59">
        <f t="shared" si="142"/>
        <v>313.2817272662549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32.043619998121898</v>
      </c>
      <c r="AA140" s="21">
        <f>EXP(-LN(2)/25)*AA139+(1-EXP(-LN(2)/25))/(LN(2)/25)*Calculateur!V140*Calculateur!X140*VLOOKUP('Données projet'!$B$9,Paramètres!$A$1:$I$89,3,0)*0.475*44/12</f>
        <v>10.934314704250644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42.977934702372544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300.80663531652721</v>
      </c>
      <c r="AO140" s="59">
        <f t="shared" si="144"/>
        <v>306.01967513533549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30.098844988855134</v>
      </c>
      <c r="AV140" s="21">
        <f>EXP(-LN(2)/25)*AV139+(1-EXP(-LN(2)/25))/(LN(2)/25)*Calculateur!AQ140*Calculateur!AS140*VLOOKUP('Données projet'!$B$10,Paramètres!$A$1:$I$89,3,0)*0.475*44/12</f>
        <v>10.134091649159549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40.232936638014685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-1.7053025658242404E-13</v>
      </c>
      <c r="O141" s="13">
        <f>N141*VLOOKUP('Données projet'!$B$9,Paramètres!$A$1:$I$89,3,0)*VLOOKUP('Données projet'!$B$9,Paramètres!$A$1:$I$89,5,0)</f>
        <v>-1.4897523215040567E-13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298.478198405424</v>
      </c>
      <c r="T141" s="59">
        <f t="shared" si="142"/>
        <v>313.2817272662549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31.41526415463705</v>
      </c>
      <c r="AA141" s="21">
        <f>EXP(-LN(2)/25)*AA140+(1-EXP(-LN(2)/25))/(LN(2)/25)*Calculateur!V141*Calculateur!X141*VLOOKUP('Données projet'!$B$9,Paramètres!$A$1:$I$89,3,0)*0.475*44/12</f>
        <v>10.63531529365229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42.050579448289341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300.80663531652721</v>
      </c>
      <c r="AO141" s="59">
        <f t="shared" si="144"/>
        <v>306.01967513533549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29.508624997106377</v>
      </c>
      <c r="AV141" s="21">
        <f>EXP(-LN(2)/25)*AV140+(1-EXP(-LN(2)/25))/(LN(2)/25)*Calculateur!AQ141*Calculateur!AS141*VLOOKUP('Données projet'!$B$10,Paramètres!$A$1:$I$89,3,0)*0.475*44/12</f>
        <v>9.8569743800845622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39.365599377190939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-1.7053025658242404E-13</v>
      </c>
      <c r="O142" s="13">
        <f>N142*VLOOKUP('Données projet'!$B$9,Paramètres!$A$1:$I$89,3,0)*VLOOKUP('Données projet'!$B$9,Paramètres!$A$1:$I$89,5,0)</f>
        <v>-1.4897523215040567E-13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298.478198405424</v>
      </c>
      <c r="T142" s="59">
        <f t="shared" si="142"/>
        <v>313.2817272662549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30.799229985983718</v>
      </c>
      <c r="AA142" s="21">
        <f>EXP(-LN(2)/25)*AA141+(1-EXP(-LN(2)/25))/(LN(2)/25)*Calculateur!V142*Calculateur!X142*VLOOKUP('Données projet'!$B$9,Paramètres!$A$1:$I$89,3,0)*0.475*44/12</f>
        <v>10.344492037660444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41.143722023644159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300.80663531652721</v>
      </c>
      <c r="AO142" s="59">
        <f t="shared" si="144"/>
        <v>306.01967513533549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28.929978859397167</v>
      </c>
      <c r="AV142" s="21">
        <f>EXP(-LN(2)/25)*AV141+(1-EXP(-LN(2)/25))/(LN(2)/25)*Calculateur!AQ142*Calculateur!AS142*VLOOKUP('Données projet'!$B$10,Paramètres!$A$1:$I$89,3,0)*0.475*44/12</f>
        <v>9.5874348973053962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38.517413756702567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-1.7053025658242404E-13</v>
      </c>
      <c r="O143" s="13">
        <f>N143*VLOOKUP('Données projet'!$B$9,Paramètres!$A$1:$I$89,3,0)*VLOOKUP('Données projet'!$B$9,Paramètres!$A$1:$I$89,5,0)</f>
        <v>-1.4897523215040567E-13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298.478198405424</v>
      </c>
      <c r="T143" s="59">
        <f t="shared" si="142"/>
        <v>313.2817272662549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30.195275871633939</v>
      </c>
      <c r="AA143" s="21">
        <f>EXP(-LN(2)/25)*AA142+(1-EXP(-LN(2)/25))/(LN(2)/25)*Calculateur!V143*Calculateur!X143*VLOOKUP('Données projet'!$B$9,Paramètres!$A$1:$I$89,3,0)*0.475*44/12</f>
        <v>10.061621358897426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40.256897230531365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300.80663531652721</v>
      </c>
      <c r="AO143" s="59">
        <f t="shared" si="144"/>
        <v>306.01967513533549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28.362679619509141</v>
      </c>
      <c r="AV143" s="21">
        <f>EXP(-LN(2)/25)*AV142+(1-EXP(-LN(2)/25))/(LN(2)/25)*Calculateur!AQ143*Calculateur!AS143*VLOOKUP('Données projet'!$B$10,Paramètres!$A$1:$I$89,3,0)*0.475*44/12</f>
        <v>9.3252659858572908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37.68794560536643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-1.7053025658242404E-13</v>
      </c>
      <c r="O144" s="13">
        <f>N144*VLOOKUP('Données projet'!$B$9,Paramètres!$A$1:$I$89,3,0)*VLOOKUP('Données projet'!$B$9,Paramètres!$A$1:$I$89,5,0)</f>
        <v>-1.4897523215040567E-13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298.478198405424</v>
      </c>
      <c r="T144" s="59">
        <f t="shared" si="142"/>
        <v>313.2817272662549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29.603164929090923</v>
      </c>
      <c r="AA144" s="21">
        <f>EXP(-LN(2)/25)*AA143+(1-EXP(-LN(2)/25))/(LN(2)/25)*Calculateur!V144*Calculateur!X144*VLOOKUP('Données projet'!$B$9,Paramètres!$A$1:$I$89,3,0)*0.475*44/12</f>
        <v>9.7864857937207042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39.389650722811623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300.80663531652721</v>
      </c>
      <c r="AO144" s="59">
        <f t="shared" si="144"/>
        <v>306.01967513533549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27.806504771696947</v>
      </c>
      <c r="AV144" s="21">
        <f>EXP(-LN(2)/25)*AV143+(1-EXP(-LN(2)/25))/(LN(2)/25)*Calculateur!AQ144*Calculateur!AS144*VLOOKUP('Données projet'!$B$10,Paramètres!$A$1:$I$89,3,0)*0.475*44/12</f>
        <v>9.0702660970795979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36.876770868776546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-1.7053025658242404E-13</v>
      </c>
      <c r="O145" s="13">
        <f>N145*VLOOKUP('Données projet'!$B$9,Paramètres!$A$1:$I$89,3,0)*VLOOKUP('Données projet'!$B$9,Paramètres!$A$1:$I$89,5,0)</f>
        <v>-1.4897523215040567E-13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298.478198405424</v>
      </c>
      <c r="T145" s="59">
        <f t="shared" si="142"/>
        <v>313.2817272662549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29.02266492097916</v>
      </c>
      <c r="AA145" s="21">
        <f>EXP(-LN(2)/25)*AA144+(1-EXP(-LN(2)/25))/(LN(2)/25)*Calculateur!V145*Calculateur!X145*VLOOKUP('Données projet'!$B$9,Paramètres!$A$1:$I$89,3,0)*0.475*44/12</f>
        <v>9.5188738250424905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38.541538746021651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300.80663531652721</v>
      </c>
      <c r="AO145" s="59">
        <f t="shared" si="144"/>
        <v>306.01967513533549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27.261236173417192</v>
      </c>
      <c r="AV145" s="21">
        <f>EXP(-LN(2)/25)*AV144+(1-EXP(-LN(2)/25))/(LN(2)/25)*Calculateur!AQ145*Calculateur!AS145*VLOOKUP('Données projet'!$B$10,Paramètres!$A$1:$I$89,3,0)*0.475*44/12</f>
        <v>8.8222391936703932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36.083475367087587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-1.7053025658242404E-13</v>
      </c>
      <c r="O146" s="13">
        <f>N146*VLOOKUP('Données projet'!$B$9,Paramètres!$A$1:$I$89,3,0)*VLOOKUP('Données projet'!$B$9,Paramètres!$A$1:$I$89,5,0)</f>
        <v>-1.4897523215040567E-13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298.478198405424</v>
      </c>
      <c r="T146" s="59">
        <f t="shared" si="142"/>
        <v>313.2817272662549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28.453548163956427</v>
      </c>
      <c r="AA146" s="21">
        <f>EXP(-LN(2)/25)*AA145+(1-EXP(-LN(2)/25))/(LN(2)/25)*Calculateur!V146*Calculateur!X146*VLOOKUP('Données projet'!$B$9,Paramètres!$A$1:$I$89,3,0)*0.475*44/12</f>
        <v>9.2585797197208848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37.712127883677312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300.80663531652721</v>
      </c>
      <c r="AO146" s="59">
        <f t="shared" si="144"/>
        <v>306.01967513533549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26.726659959768696</v>
      </c>
      <c r="AV146" s="21">
        <f>EXP(-LN(2)/25)*AV145+(1-EXP(-LN(2)/25))/(LN(2)/25)*Calculateur!AQ146*Calculateur!AS146*VLOOKUP('Données projet'!$B$10,Paramètres!$A$1:$I$89,3,0)*0.475*44/12</f>
        <v>8.58099459897808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35.307654558746776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-1.7053025658242404E-13</v>
      </c>
      <c r="O147" s="13">
        <f>N147*VLOOKUP('Données projet'!$B$9,Paramètres!$A$1:$I$89,3,0)*VLOOKUP('Données projet'!$B$9,Paramètres!$A$1:$I$89,5,0)</f>
        <v>-1.4897523215040567E-13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298.478198405424</v>
      </c>
      <c r="T147" s="59">
        <f t="shared" si="142"/>
        <v>313.2817272662549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27.895591439411962</v>
      </c>
      <c r="AA147" s="21">
        <f>EXP(-LN(2)/25)*AA146+(1-EXP(-LN(2)/25))/(LN(2)/25)*Calculateur!V147*Calculateur!X147*VLOOKUP('Données projet'!$B$9,Paramètres!$A$1:$I$89,3,0)*0.475*44/12</f>
        <v>9.0054033703975698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36.900994809809532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300.80663531652721</v>
      </c>
      <c r="AO147" s="59">
        <f t="shared" si="144"/>
        <v>306.01967513533549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26.202566459610551</v>
      </c>
      <c r="AV147" s="21">
        <f>EXP(-LN(2)/25)*AV146+(1-EXP(-LN(2)/25))/(LN(2)/25)*Calculateur!AQ147*Calculateur!AS147*VLOOKUP('Données projet'!$B$10,Paramètres!$A$1:$I$89,3,0)*0.475*44/12</f>
        <v>8.3463468504141307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34.54891331002468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-1.7053025658242404E-13</v>
      </c>
      <c r="O148" s="13">
        <f>N148*VLOOKUP('Données projet'!$B$9,Paramètres!$A$1:$I$89,3,0)*VLOOKUP('Données projet'!$B$9,Paramètres!$A$1:$I$89,5,0)</f>
        <v>-1.4897523215040567E-13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298.478198405424</v>
      </c>
      <c r="T148" s="59">
        <f t="shared" si="142"/>
        <v>313.2817272662549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27.348575905915816</v>
      </c>
      <c r="AA148" s="21">
        <f>EXP(-LN(2)/25)*AA147+(1-EXP(-LN(2)/25))/(LN(2)/25)*Calculateur!V148*Calculateur!X148*VLOOKUP('Données projet'!$B$9,Paramètres!$A$1:$I$89,3,0)*0.475*44/12</f>
        <v>8.7591501416604665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36.107726047576278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300.80663531652721</v>
      </c>
      <c r="AO148" s="59">
        <f t="shared" si="144"/>
        <v>306.01967513533549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25.688750113325039</v>
      </c>
      <c r="AV148" s="21">
        <f>EXP(-LN(2)/25)*AV147+(1-EXP(-LN(2)/25))/(LN(2)/25)*Calculateur!AQ148*Calculateur!AS148*VLOOKUP('Données projet'!$B$10,Paramètres!$A$1:$I$89,3,0)*0.475*44/12</f>
        <v>8.1181155568742511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33.806865670199286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-1.7053025658242404E-13</v>
      </c>
      <c r="O149" s="13">
        <f>N149*VLOOKUP('Données projet'!$B$9,Paramètres!$A$1:$I$89,3,0)*VLOOKUP('Données projet'!$B$9,Paramètres!$A$1:$I$89,5,0)</f>
        <v>-1.4897523215040567E-13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298.478198405424</v>
      </c>
      <c r="T149" s="59">
        <f t="shared" si="142"/>
        <v>313.2817272662549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26.812287013384999</v>
      </c>
      <c r="AA149" s="21">
        <f>EXP(-LN(2)/25)*AA148+(1-EXP(-LN(2)/25))/(LN(2)/25)*Calculateur!V149*Calculateur!X149*VLOOKUP('Données projet'!$B$9,Paramètres!$A$1:$I$89,3,0)*0.475*44/12</f>
        <v>8.5196307204130743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35.331917733798072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300.80663531652721</v>
      </c>
      <c r="AO149" s="59">
        <f t="shared" si="144"/>
        <v>306.01967513533549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25.185009392193159</v>
      </c>
      <c r="AV149" s="21">
        <f>EXP(-LN(2)/25)*AV148+(1-EXP(-LN(2)/25))/(LN(2)/25)*Calculateur!AQ149*Calculateur!AS149*VLOOKUP('Données projet'!$B$10,Paramètres!$A$1:$I$89,3,0)*0.475*44/12</f>
        <v>7.8961252600583816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33.081134652251542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-1.7053025658242404E-13</v>
      </c>
      <c r="O150" s="13">
        <f>N150*VLOOKUP('Données projet'!$B$9,Paramètres!$A$1:$I$89,3,0)*VLOOKUP('Données projet'!$B$9,Paramètres!$A$1:$I$89,5,0)</f>
        <v>-1.4897523215040567E-13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298.478198405424</v>
      </c>
      <c r="T150" s="59">
        <f t="shared" si="142"/>
        <v>313.2817272662549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26.286514418932786</v>
      </c>
      <c r="AA150" s="21">
        <f>EXP(-LN(2)/25)*AA149+(1-EXP(-LN(2)/25))/(LN(2)/25)*Calculateur!V150*Calculateur!X150*VLOOKUP('Données projet'!$B$9,Paramètres!$A$1:$I$89,3,0)*0.475*44/12</f>
        <v>8.2866609703354719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34.573175389268258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300.80663531652721</v>
      </c>
      <c r="AO150" s="59">
        <f t="shared" si="144"/>
        <v>306.01967513533549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24.691146719351174</v>
      </c>
      <c r="AV150" s="21">
        <f>EXP(-LN(2)/25)*AV149+(1-EXP(-LN(2)/25))/(LN(2)/25)*Calculateur!AQ150*Calculateur!AS150*VLOOKUP('Données projet'!$B$10,Paramètres!$A$1:$I$89,3,0)*0.475*44/12</f>
        <v>7.6802052995829042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32.371352018934076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-1.7053025658242404E-13</v>
      </c>
      <c r="O151" s="13">
        <f>N151*VLOOKUP('Données projet'!$B$9,Paramètres!$A$1:$I$89,3,0)*VLOOKUP('Données projet'!$B$9,Paramètres!$A$1:$I$89,5,0)</f>
        <v>-1.4897523215040567E-13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298.478198405424</v>
      </c>
      <c r="T151" s="59">
        <f t="shared" si="142"/>
        <v>313.2817272662549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25.771051904368164</v>
      </c>
      <c r="AA151" s="21">
        <f>EXP(-LN(2)/25)*AA150+(1-EXP(-LN(2)/25))/(LN(2)/25)*Calculateur!V151*Calculateur!X151*VLOOKUP('Données projet'!$B$9,Paramètres!$A$1:$I$89,3,0)*0.475*44/12</f>
        <v>8.0600617903250882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33.831113694693251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300.80663531652721</v>
      </c>
      <c r="AO151" s="59">
        <f t="shared" si="144"/>
        <v>306.01967513533549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24.206968392297135</v>
      </c>
      <c r="AV151" s="21">
        <f>EXP(-LN(2)/25)*AV150+(1-EXP(-LN(2)/25))/(LN(2)/25)*Calculateur!AQ151*Calculateur!AS151*VLOOKUP('Données projet'!$B$10,Paramètres!$A$1:$I$89,3,0)*0.475*44/12</f>
        <v>7.470189681781366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31.677158074078502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-1.7053025658242404E-13</v>
      </c>
      <c r="O152" s="13">
        <f>N152*VLOOKUP('Données projet'!$B$9,Paramètres!$A$1:$I$89,3,0)*VLOOKUP('Données projet'!$B$9,Paramètres!$A$1:$I$89,5,0)</f>
        <v>-1.4897523215040567E-13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298.478198405424</v>
      </c>
      <c r="T152" s="59">
        <f t="shared" si="142"/>
        <v>313.2817272662549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25.265697295313064</v>
      </c>
      <c r="AA152" s="21">
        <f>EXP(-LN(2)/25)*AA151+(1-EXP(-LN(2)/25))/(LN(2)/25)*Calculateur!V152*Calculateur!X152*VLOOKUP('Données projet'!$B$9,Paramètres!$A$1:$I$89,3,0)*0.475*44/12</f>
        <v>7.8396589768084208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33.105356272121483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300.80663531652721</v>
      </c>
      <c r="AO152" s="59">
        <f t="shared" si="144"/>
        <v>306.01967513533549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23.732284506917004</v>
      </c>
      <c r="AV152" s="21">
        <f>EXP(-LN(2)/25)*AV151+(1-EXP(-LN(2)/25))/(LN(2)/25)*Calculateur!AQ152*Calculateur!AS152*VLOOKUP('Données projet'!$B$10,Paramètres!$A$1:$I$89,3,0)*0.475*44/12</f>
        <v>7.2659169520928524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30.998201459009856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-1.7053025658242404E-13</v>
      </c>
      <c r="O153" s="13">
        <f>N153*VLOOKUP('Données projet'!$B$9,Paramètres!$A$1:$I$89,3,0)*VLOOKUP('Données projet'!$B$9,Paramètres!$A$1:$I$89,5,0)</f>
        <v>-1.4897523215040567E-13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298.478198405424</v>
      </c>
      <c r="T153" s="59">
        <f t="shared" si="142"/>
        <v>313.2817272662549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24.77025238190566</v>
      </c>
      <c r="AA153" s="21">
        <f>EXP(-LN(2)/25)*AA152+(1-EXP(-LN(2)/25))/(LN(2)/25)*Calculateur!V153*Calculateur!X153*VLOOKUP('Données projet'!$B$9,Paramètres!$A$1:$I$89,3,0)*0.475*44/12</f>
        <v>7.625283089817847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32.395535471723505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300.80663531652721</v>
      </c>
      <c r="AO153" s="59">
        <f t="shared" si="144"/>
        <v>306.01967513533549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23.266908883000596</v>
      </c>
      <c r="AV153" s="21">
        <f>EXP(-LN(2)/25)*AV152+(1-EXP(-LN(2)/25))/(LN(2)/25)*Calculateur!AQ153*Calculateur!AS153*VLOOKUP('Données projet'!$B$10,Paramètres!$A$1:$I$89,3,0)*0.475*44/12</f>
        <v>7.0672300709399076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30.334138953940503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-1.7053025658242404E-13</v>
      </c>
      <c r="O154" s="13">
        <f>N154*VLOOKUP('Données projet'!$B$9,Paramètres!$A$1:$I$89,3,0)*VLOOKUP('Données projet'!$B$9,Paramètres!$A$1:$I$89,5,0)</f>
        <v>-1.4897523215040567E-13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298.478198405424</v>
      </c>
      <c r="T154" s="59">
        <f t="shared" si="142"/>
        <v>313.2817272662549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24.284522841058617</v>
      </c>
      <c r="AA154" s="21">
        <f>EXP(-LN(2)/25)*AA153+(1-EXP(-LN(2)/25))/(LN(2)/25)*Calculateur!V154*Calculateur!X154*VLOOKUP('Données projet'!$B$9,Paramètres!$A$1:$I$89,3,0)*0.475*44/12</f>
        <v>7.416769322730568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31.701292163789184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300.80663531652721</v>
      </c>
      <c r="AO154" s="59">
        <f t="shared" si="144"/>
        <v>306.01967513533549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22.810658991218087</v>
      </c>
      <c r="AV154" s="21">
        <f>EXP(-LN(2)/25)*AV153+(1-EXP(-LN(2)/25))/(LN(2)/25)*Calculateur!AQ154*Calculateur!AS154*VLOOKUP('Données projet'!$B$10,Paramètres!$A$1:$I$89,3,0)*0.475*44/12</f>
        <v>6.8739762930005792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29.684635284218665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-1.7053025658242404E-13</v>
      </c>
      <c r="O155" s="13">
        <f>N155*VLOOKUP('Données projet'!$B$9,Paramètres!$A$1:$I$89,3,0)*VLOOKUP('Données projet'!$B$9,Paramètres!$A$1:$I$89,5,0)</f>
        <v>-1.4897523215040567E-13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298.478198405424</v>
      </c>
      <c r="T155" s="59">
        <f t="shared" si="142"/>
        <v>313.2817272662549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23.808318160241818</v>
      </c>
      <c r="AA155" s="21">
        <f>EXP(-LN(2)/25)*AA154+(1-EXP(-LN(2)/25))/(LN(2)/25)*Calculateur!V155*Calculateur!X155*VLOOKUP('Données projet'!$B$9,Paramètres!$A$1:$I$89,3,0)*0.475*44/12</f>
        <v>7.213957375569553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31.022275535811371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300.80663531652721</v>
      </c>
      <c r="AO155" s="59">
        <f t="shared" si="144"/>
        <v>306.01967513533549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22.363355881528477</v>
      </c>
      <c r="AV155" s="21">
        <f>EXP(-LN(2)/25)*AV154+(1-EXP(-LN(2)/25))/(LN(2)/25)*Calculateur!AQ155*Calculateur!AS155*VLOOKUP('Données projet'!$B$10,Paramètres!$A$1:$I$89,3,0)*0.475*44/12</f>
        <v>6.6860070497817761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29.049362931310252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-1.7053025658242404E-13</v>
      </c>
      <c r="O156" s="13">
        <f>N156*VLOOKUP('Données projet'!$B$9,Paramètres!$A$1:$I$89,3,0)*VLOOKUP('Données projet'!$B$9,Paramètres!$A$1:$I$89,5,0)</f>
        <v>-1.4897523215040567E-13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298.478198405424</v>
      </c>
      <c r="T156" s="59">
        <f t="shared" si="142"/>
        <v>313.2817272662549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23.341451562759662</v>
      </c>
      <c r="AA156" s="21">
        <f>EXP(-LN(2)/25)*AA155+(1-EXP(-LN(2)/25))/(LN(2)/25)*Calculateur!V156*Calculateur!X156*VLOOKUP('Données projet'!$B$9,Paramètres!$A$1:$I$89,3,0)*0.475*44/12</f>
        <v>7.0166913317690724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30.358142894528733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300.80663531652721</v>
      </c>
      <c r="AO156" s="59">
        <f t="shared" si="144"/>
        <v>306.01967513533549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21.924824112991924</v>
      </c>
      <c r="AV156" s="21">
        <f>EXP(-LN(2)/25)*AV155+(1-EXP(-LN(2)/25))/(LN(2)/25)*Calculateur!AQ156*Calculateur!AS156*VLOOKUP('Données projet'!$B$10,Paramètres!$A$1:$I$89,3,0)*0.475*44/12</f>
        <v>6.5031778354036636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28.42800194839559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-1.7053025658242404E-13</v>
      </c>
      <c r="O157" s="13">
        <f>N157*VLOOKUP('Données projet'!$B$9,Paramètres!$A$1:$I$89,3,0)*VLOOKUP('Données projet'!$B$9,Paramètres!$A$1:$I$89,5,0)</f>
        <v>-1.4897523215040567E-13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298.478198405424</v>
      </c>
      <c r="T157" s="59">
        <f t="shared" si="142"/>
        <v>313.2817272662549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22.883739934493622</v>
      </c>
      <c r="AA157" s="21">
        <f>EXP(-LN(2)/25)*AA156+(1-EXP(-LN(2)/25))/(LN(2)/25)*Calculateur!V157*Calculateur!X157*VLOOKUP('Données projet'!$B$9,Paramètres!$A$1:$I$89,3,0)*0.475*44/12</f>
        <v>6.8248195383100869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29.70855947280371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300.80663531652721</v>
      </c>
      <c r="AO157" s="59">
        <f t="shared" si="144"/>
        <v>306.01967513533549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21.494891684958404</v>
      </c>
      <c r="AV157" s="21">
        <f>EXP(-LN(2)/25)*AV156+(1-EXP(-LN(2)/25))/(LN(2)/25)*Calculateur!AQ157*Calculateur!AS157*VLOOKUP('Données projet'!$B$10,Paramètres!$A$1:$I$89,3,0)*0.475*44/12</f>
        <v>6.3253480955072909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27.820239780465695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-1.7053025658242404E-13</v>
      </c>
      <c r="O158" s="13">
        <f>N158*VLOOKUP('Données projet'!$B$9,Paramètres!$A$1:$I$89,3,0)*VLOOKUP('Données projet'!$B$9,Paramètres!$A$1:$I$89,5,0)</f>
        <v>-1.4897523215040567E-13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298.478198405424</v>
      </c>
      <c r="T158" s="59">
        <f t="shared" si="142"/>
        <v>313.2817272662549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22.435003752081354</v>
      </c>
      <c r="AA158" s="21">
        <f>EXP(-LN(2)/25)*AA157+(1-EXP(-LN(2)/25))/(LN(2)/25)*Calculateur!V158*Calculateur!X158*VLOOKUP('Données projet'!$B$9,Paramètres!$A$1:$I$89,3,0)*0.475*44/12</f>
        <v>6.638194489133336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29.073198241214691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300.80663531652721</v>
      </c>
      <c r="AO158" s="59">
        <f t="shared" si="144"/>
        <v>306.01967513533549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21.073389969605735</v>
      </c>
      <c r="AV158" s="21">
        <f>EXP(-LN(2)/25)*AV157+(1-EXP(-LN(2)/25))/(LN(2)/25)*Calculateur!AQ158*Calculateur!AS158*VLOOKUP('Données projet'!$B$10,Paramètres!$A$1:$I$89,3,0)*0.475*44/12</f>
        <v>6.1523811192000446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27.225771088805779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-1.7053025658242404E-13</v>
      </c>
      <c r="O159" s="13">
        <f>N159*VLOOKUP('Données projet'!$B$9,Paramètres!$A$1:$I$89,3,0)*VLOOKUP('Données projet'!$B$9,Paramètres!$A$1:$I$89,5,0)</f>
        <v>-1.4897523215040567E-13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298.478198405424</v>
      </c>
      <c r="T159" s="59">
        <f t="shared" si="142"/>
        <v>313.2817272662549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21.995067012504144</v>
      </c>
      <c r="AA159" s="21">
        <f>EXP(-LN(2)/25)*AA158+(1-EXP(-LN(2)/25))/(LN(2)/25)*Calculateur!V159*Calculateur!X159*VLOOKUP('Données projet'!$B$9,Paramètres!$A$1:$I$89,3,0)*0.475*44/12</f>
        <v>6.4566727117405085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28.451739724244653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300.80663531652721</v>
      </c>
      <c r="AO159" s="59">
        <f t="shared" si="144"/>
        <v>306.01967513533549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20.66015364580047</v>
      </c>
      <c r="AV159" s="21">
        <f>EXP(-LN(2)/25)*AV158+(1-EXP(-LN(2)/25))/(LN(2)/25)*Calculateur!AQ159*Calculateur!AS159*VLOOKUP('Données projet'!$B$10,Paramètres!$A$1:$I$89,3,0)*0.475*44/12</f>
        <v>5.984143933955858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26.644297579756326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-1.7053025658242404E-13</v>
      </c>
      <c r="O160" s="13">
        <f>N160*VLOOKUP('Données projet'!$B$9,Paramètres!$A$1:$I$89,3,0)*VLOOKUP('Données projet'!$B$9,Paramètres!$A$1:$I$89,5,0)</f>
        <v>-1.4897523215040567E-13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298.478198405424</v>
      </c>
      <c r="T160" s="59">
        <f t="shared" si="142"/>
        <v>313.2817272662549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21.563757164055129</v>
      </c>
      <c r="AA160" s="21">
        <f>EXP(-LN(2)/25)*AA159+(1-EXP(-LN(2)/25))/(LN(2)/25)*Calculateur!V160*Calculateur!X160*VLOOKUP('Données projet'!$B$9,Paramètres!$A$1:$I$89,3,0)*0.475*44/12</f>
        <v>6.2801146568963029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27.843871820951431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300.80663531652721</v>
      </c>
      <c r="AO160" s="59">
        <f t="shared" si="144"/>
        <v>306.01967513533549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20.255020634255757</v>
      </c>
      <c r="AV160" s="21">
        <f>EXP(-LN(2)/25)*AV159+(1-EXP(-LN(2)/25))/(LN(2)/25)*Calculateur!AQ160*Calculateur!AS160*VLOOKUP('Données projet'!$B$10,Paramètres!$A$1:$I$89,3,0)*0.475*44/12</f>
        <v>5.8205072033893828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26.07552783764514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-1.7053025658242404E-13</v>
      </c>
      <c r="O161" s="13">
        <f>N161*VLOOKUP('Données projet'!$B$9,Paramètres!$A$1:$I$89,3,0)*VLOOKUP('Données projet'!$B$9,Paramètres!$A$1:$I$89,5,0)</f>
        <v>-1.4897523215040567E-13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298.478198405424</v>
      </c>
      <c r="T161" s="59">
        <f t="shared" si="142"/>
        <v>313.2817272662549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21.140905038661167</v>
      </c>
      <c r="AA161" s="21">
        <f>EXP(-LN(2)/25)*AA160+(1-EXP(-LN(2)/25))/(LN(2)/25)*Calculateur!V161*Calculateur!X161*VLOOKUP('Données projet'!$B$9,Paramètres!$A$1:$I$89,3,0)*0.475*44/12</f>
        <v>6.1083845913465975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27.249289630007766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300.80663531652721</v>
      </c>
      <c r="AO161" s="59">
        <f t="shared" si="144"/>
        <v>306.01967513533549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19.857832033960698</v>
      </c>
      <c r="AV161" s="21">
        <f>EXP(-LN(2)/25)*AV160+(1-EXP(-LN(2)/25))/(LN(2)/25)*Calculateur!AQ161*Calculateur!AS161*VLOOKUP('Données projet'!$B$10,Paramètres!$A$1:$I$89,3,0)*0.475*44/12</f>
        <v>5.6613451278255296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25.519177161786228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-1.7053025658242404E-13</v>
      </c>
      <c r="O162" s="13">
        <f>N162*VLOOKUP('Données projet'!$B$9,Paramètres!$A$1:$I$89,3,0)*VLOOKUP('Données projet'!$B$9,Paramètres!$A$1:$I$89,5,0)</f>
        <v>-1.4897523215040567E-13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298.478198405424</v>
      </c>
      <c r="T162" s="59">
        <f t="shared" si="142"/>
        <v>313.2817272662549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20.72634478553185</v>
      </c>
      <c r="AA162" s="21">
        <f>EXP(-LN(2)/25)*AA161+(1-EXP(-LN(2)/25))/(LN(2)/25)*Calculateur!V162*Calculateur!X162*VLOOKUP('Données projet'!$B$9,Paramètres!$A$1:$I$89,3,0)*0.475*44/12</f>
        <v>5.9413504934702397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26.667695279002089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300.80663531652721</v>
      </c>
      <c r="AO162" s="59">
        <f t="shared" si="144"/>
        <v>306.01967513533549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19.468432059856301</v>
      </c>
      <c r="AV162" s="21">
        <f>EXP(-LN(2)/25)*AV161+(1-EXP(-LN(2)/25))/(LN(2)/25)*Calculateur!AQ162*Calculateur!AS162*VLOOKUP('Données projet'!$B$10,Paramètres!$A$1:$I$89,3,0)*0.475*44/12</f>
        <v>5.5065353475879393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24.97496740744424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-1.7053025658242404E-13</v>
      </c>
      <c r="O163" s="13">
        <f>N163*VLOOKUP('Données projet'!$B$9,Paramètres!$A$1:$I$89,3,0)*VLOOKUP('Données projet'!$B$9,Paramètres!$A$1:$I$89,5,0)</f>
        <v>-1.4897523215040567E-13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298.478198405424</v>
      </c>
      <c r="T163" s="59">
        <f t="shared" si="142"/>
        <v>313.2817272662549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20.319913806109614</v>
      </c>
      <c r="AA163" s="21">
        <f>EXP(-LN(2)/25)*AA162+(1-EXP(-LN(2)/25))/(LN(2)/25)*Calculateur!V163*Calculateur!X163*VLOOKUP('Données projet'!$B$9,Paramètres!$A$1:$I$89,3,0)*0.475*44/12</f>
        <v>5.7788839517842527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26.098797757893866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300.80663531652721</v>
      </c>
      <c r="AO163" s="59">
        <f t="shared" si="144"/>
        <v>306.01967513533549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19.086667981733559</v>
      </c>
      <c r="AV163" s="21">
        <f>EXP(-LN(2)/25)*AV162+(1-EXP(-LN(2)/25))/(LN(2)/25)*Calculateur!AQ163*Calculateur!AS163*VLOOKUP('Données projet'!$B$10,Paramètres!$A$1:$I$89,3,0)*0.475*44/12</f>
        <v>5.3559588489320387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24.442626830665596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-1.7053025658242404E-13</v>
      </c>
      <c r="O164" s="13">
        <f>N164*VLOOKUP('Données projet'!$B$9,Paramètres!$A$1:$I$89,3,0)*VLOOKUP('Données projet'!$B$9,Paramètres!$A$1:$I$89,5,0)</f>
        <v>-1.4897523215040567E-13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298.478198405424</v>
      </c>
      <c r="T164" s="59">
        <f t="shared" si="142"/>
        <v>313.2817272662549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19.921452690295428</v>
      </c>
      <c r="AA164" s="21">
        <f>EXP(-LN(2)/25)*AA163+(1-EXP(-LN(2)/25))/(LN(2)/25)*Calculateur!V164*Calculateur!X164*VLOOKUP('Données projet'!$B$9,Paramètres!$A$1:$I$89,3,0)*0.475*44/12</f>
        <v>5.620860066224413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25.542312756519841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300.80663531652721</v>
      </c>
      <c r="AO164" s="59">
        <f t="shared" si="144"/>
        <v>306.01967513533549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18.712390064329707</v>
      </c>
      <c r="AV164" s="21">
        <f>EXP(-LN(2)/25)*AV163+(1-EXP(-LN(2)/25))/(LN(2)/25)*Calculateur!AQ164*Calculateur!AS164*VLOOKUP('Données projet'!$B$10,Paramètres!$A$1:$I$89,3,0)*0.475*44/12</f>
        <v>5.2094998725503574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23.921889936880063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-1.7053025658242404E-13</v>
      </c>
      <c r="O165" s="13">
        <f>N165*VLOOKUP('Données projet'!$B$9,Paramètres!$A$1:$I$89,3,0)*VLOOKUP('Données projet'!$B$9,Paramètres!$A$1:$I$89,5,0)</f>
        <v>-1.4897523215040567E-13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298.478198405424</v>
      </c>
      <c r="T165" s="59">
        <f t="shared" si="142"/>
        <v>313.2817272662549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19.530805153925076</v>
      </c>
      <c r="AA165" s="21">
        <f>EXP(-LN(2)/25)*AA164+(1-EXP(-LN(2)/25))/(LN(2)/25)*Calculateur!V165*Calculateur!X165*VLOOKUP('Données projet'!$B$9,Paramètres!$A$1:$I$89,3,0)*0.475*44/12</f>
        <v>5.4671573521253221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24.997962506050399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300.80663531652721</v>
      </c>
      <c r="AO165" s="59">
        <f t="shared" si="144"/>
        <v>306.01967513533549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18.345451508599158</v>
      </c>
      <c r="AV165" s="21">
        <f>EXP(-LN(2)/25)*AV164+(1-EXP(-LN(2)/25))/(LN(2)/25)*Calculateur!AQ165*Calculateur!AS165*VLOOKUP('Données projet'!$B$10,Paramètres!$A$1:$I$89,3,0)*0.475*44/12</f>
        <v>5.0670458245797763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23.412497333178933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-1.7053025658242404E-13</v>
      </c>
      <c r="O166" s="13">
        <f>N166*VLOOKUP('Données projet'!$B$9,Paramètres!$A$1:$I$89,3,0)*VLOOKUP('Données projet'!$B$9,Paramètres!$A$1:$I$89,5,0)</f>
        <v>-1.4897523215040567E-13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298.478198405424</v>
      </c>
      <c r="T166" s="59">
        <f t="shared" si="142"/>
        <v>313.2817272662549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19.147817977471476</v>
      </c>
      <c r="AA166" s="21">
        <f>EXP(-LN(2)/25)*AA165+(1-EXP(-LN(2)/25))/(LN(2)/25)*Calculateur!V166*Calculateur!X166*VLOOKUP('Données projet'!$B$9,Paramètres!$A$1:$I$89,3,0)*0.475*44/12</f>
        <v>5.3176576468261452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24.465475624297621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300.80663531652721</v>
      </c>
      <c r="AO166" s="59">
        <f t="shared" si="144"/>
        <v>306.01967513533549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17.985708394136065</v>
      </c>
      <c r="AV166" s="21">
        <f>EXP(-LN(2)/25)*AV165+(1-EXP(-LN(2)/25))/(LN(2)/25)*Calculateur!AQ166*Calculateur!AS166*VLOOKUP('Données projet'!$B$10,Paramètres!$A$1:$I$89,3,0)*0.475*44/12</f>
        <v>4.9284871900422829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22.914195584178348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-1.7053025658242404E-13</v>
      </c>
      <c r="O167" s="13">
        <f>N167*VLOOKUP('Données projet'!$B$9,Paramètres!$A$1:$I$89,3,0)*VLOOKUP('Données projet'!$B$9,Paramètres!$A$1:$I$89,5,0)</f>
        <v>-1.4897523215040567E-13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298.478198405424</v>
      </c>
      <c r="T167" s="59">
        <f t="shared" si="142"/>
        <v>313.2817272662549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18.772340945949018</v>
      </c>
      <c r="AA167" s="21">
        <f>EXP(-LN(2)/25)*AA166+(1-EXP(-LN(2)/25))/(LN(2)/25)*Calculateur!V167*Calculateur!X167*VLOOKUP('Données projet'!$B$9,Paramètres!$A$1:$I$89,3,0)*0.475*44/12</f>
        <v>5.1722460188302222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23.944586964779241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300.80663531652721</v>
      </c>
      <c r="AO167" s="59">
        <f t="shared" si="144"/>
        <v>306.01967513533549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17.633019622725961</v>
      </c>
      <c r="AV167" s="21">
        <f>EXP(-LN(2)/25)*AV166+(1-EXP(-LN(2)/25))/(LN(2)/25)*Calculateur!AQ167*Calculateur!AS167*VLOOKUP('Données projet'!$B$10,Paramètres!$A$1:$I$89,3,0)*0.475*44/12</f>
        <v>4.7937174486526999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22.42673707137866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-1.7053025658242404E-13</v>
      </c>
      <c r="O168" s="13">
        <f>N168*VLOOKUP('Données projet'!$B$9,Paramètres!$A$1:$I$89,3,0)*VLOOKUP('Données projet'!$B$9,Paramètres!$A$1:$I$89,5,0)</f>
        <v>-1.4897523215040567E-13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298.478198405424</v>
      </c>
      <c r="T168" s="59">
        <f t="shared" si="142"/>
        <v>313.2817272662549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18.404226789996343</v>
      </c>
      <c r="AA168" s="21">
        <f>EXP(-LN(2)/25)*AA167+(1-EXP(-LN(2)/25))/(LN(2)/25)*Calculateur!V168*Calculateur!X168*VLOOKUP('Données projet'!$B$9,Paramètres!$A$1:$I$89,3,0)*0.475*44/12</f>
        <v>5.0308106794487131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23.435037469445057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300.80663531652721</v>
      </c>
      <c r="AO168" s="59">
        <f t="shared" si="144"/>
        <v>306.01967513533549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17.287246863004299</v>
      </c>
      <c r="AV168" s="21">
        <f>EXP(-LN(2)/25)*AV167+(1-EXP(-LN(2)/25))/(LN(2)/25)*Calculateur!AQ168*Calculateur!AS168*VLOOKUP('Données projet'!$B$10,Paramètres!$A$1:$I$89,3,0)*0.475*44/12</f>
        <v>4.6626329929286472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21.949879855932945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-1.7053025658242404E-13</v>
      </c>
      <c r="O169" s="13">
        <f>N169*VLOOKUP('Données projet'!$B$9,Paramètres!$A$1:$I$89,3,0)*VLOOKUP('Données projet'!$B$9,Paramètres!$A$1:$I$89,5,0)</f>
        <v>-1.4897523215040567E-13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298.478198405424</v>
      </c>
      <c r="T169" s="59">
        <f t="shared" si="142"/>
        <v>313.2817272662549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18.043331128114435</v>
      </c>
      <c r="AA169" s="21">
        <f>EXP(-LN(2)/25)*AA168+(1-EXP(-LN(2)/25))/(LN(2)/25)*Calculateur!V169*Calculateur!X169*VLOOKUP('Données projet'!$B$9,Paramètres!$A$1:$I$89,3,0)*0.475*44/12</f>
        <v>4.8932428968603521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22.936574024974789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300.80663531652721</v>
      </c>
      <c r="AO169" s="59">
        <f t="shared" si="144"/>
        <v>306.01967513533549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16.948254496200221</v>
      </c>
      <c r="AV169" s="21">
        <f>EXP(-LN(2)/25)*AV168+(1-EXP(-LN(2)/25))/(LN(2)/25)*Calculateur!AQ169*Calculateur!AS169*VLOOKUP('Données projet'!$B$10,Paramètres!$A$1:$I$89,3,0)*0.475*44/12</f>
        <v>4.5351330485398007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21.483387544740022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-1.7053025658242404E-13</v>
      </c>
      <c r="O170" s="13">
        <f>N170*VLOOKUP('Données projet'!$B$9,Paramètres!$A$1:$I$89,3,0)*VLOOKUP('Données projet'!$B$9,Paramètres!$A$1:$I$89,5,0)</f>
        <v>-1.4897523215040567E-13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298.478198405424</v>
      </c>
      <c r="T170" s="59">
        <f t="shared" si="142"/>
        <v>313.2817272662549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17.689512410037413</v>
      </c>
      <c r="AA170" s="21">
        <f>EXP(-LN(2)/25)*AA169+(1-EXP(-LN(2)/25))/(LN(2)/25)*Calculateur!V170*Calculateur!X170*VLOOKUP('Données projet'!$B$9,Paramètres!$A$1:$I$89,3,0)*0.475*44/12</f>
        <v>4.7594369125212452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22.448949322558658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300.80663531652721</v>
      </c>
      <c r="AO170" s="59">
        <f t="shared" si="144"/>
        <v>306.01967513533549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16.615909562944243</v>
      </c>
      <c r="AV170" s="21">
        <f>EXP(-LN(2)/25)*AV169+(1-EXP(-LN(2)/25))/(LN(2)/25)*Calculateur!AQ170*Calculateur!AS170*VLOOKUP('Données projet'!$B$10,Paramètres!$A$1:$I$89,3,0)*0.475*44/12</f>
        <v>4.4111195968351984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21.027029159779442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-1.7053025658242404E-13</v>
      </c>
      <c r="O171" s="13">
        <f>N171*VLOOKUP('Données projet'!$B$9,Paramètres!$A$1:$I$89,3,0)*VLOOKUP('Données projet'!$B$9,Paramètres!$A$1:$I$89,5,0)</f>
        <v>-1.4897523215040567E-13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298.478198405424</v>
      </c>
      <c r="T171" s="59">
        <f t="shared" si="142"/>
        <v>313.2817272662549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17.342631861213771</v>
      </c>
      <c r="AA171" s="21">
        <f>EXP(-LN(2)/25)*AA170+(1-EXP(-LN(2)/25))/(LN(2)/25)*Calculateur!V171*Calculateur!X171*VLOOKUP('Données projet'!$B$9,Paramètres!$A$1:$I$89,3,0)*0.475*44/12</f>
        <v>4.6292898598604424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21.971921721074214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300.80663531652721</v>
      </c>
      <c r="AO171" s="59">
        <f t="shared" si="144"/>
        <v>306.01967513533549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16.290081711119022</v>
      </c>
      <c r="AV171" s="21">
        <f>EXP(-LN(2)/25)*AV170+(1-EXP(-LN(2)/25))/(LN(2)/25)*Calculateur!AQ171*Calculateur!AS171*VLOOKUP('Données projet'!$B$10,Paramètres!$A$1:$I$89,3,0)*0.475*44/12</f>
        <v>4.2904972994890418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20.580579010608062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-1.7053025658242404E-13</v>
      </c>
      <c r="O172" s="13">
        <f>N172*VLOOKUP('Données projet'!$B$9,Paramètres!$A$1:$I$89,3,0)*VLOOKUP('Données projet'!$B$9,Paramètres!$A$1:$I$89,5,0)</f>
        <v>-1.4897523215040567E-13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298.478198405424</v>
      </c>
      <c r="T172" s="59">
        <f t="shared" si="142"/>
        <v>313.2817272662549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17.002553428376316</v>
      </c>
      <c r="AA172" s="21">
        <f>EXP(-LN(2)/25)*AA171+(1-EXP(-LN(2)/25))/(LN(2)/25)*Calculateur!V172*Calculateur!X172*VLOOKUP('Données projet'!$B$9,Paramètres!$A$1:$I$89,3,0)*0.475*44/12</f>
        <v>4.5027016851987849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21.505255113575103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300.80663531652721</v>
      </c>
      <c r="AO172" s="59">
        <f t="shared" si="144"/>
        <v>306.01967513533549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15.970643144732726</v>
      </c>
      <c r="AV172" s="21">
        <f>EXP(-LN(2)/25)*AV171+(1-EXP(-LN(2)/25))/(LN(2)/25)*Calculateur!AQ172*Calculateur!AS172*VLOOKUP('Données projet'!$B$10,Paramètres!$A$1:$I$89,3,0)*0.475*44/12</f>
        <v>4.1731734252070671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20.143816569939794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-1.7053025658242404E-13</v>
      </c>
      <c r="O173" s="13">
        <f>N173*VLOOKUP('Données projet'!$B$9,Paramètres!$A$1:$I$89,3,0)*VLOOKUP('Données projet'!$B$9,Paramètres!$A$1:$I$89,5,0)</f>
        <v>-1.4897523215040567E-13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298.478198405424</v>
      </c>
      <c r="T173" s="59">
        <f t="shared" si="142"/>
        <v>313.2817272662549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16.669143726179442</v>
      </c>
      <c r="AA173" s="21">
        <f>EXP(-LN(2)/25)*AA172+(1-EXP(-LN(2)/25))/(LN(2)/25)*Calculateur!V173*Calculateur!X173*VLOOKUP('Données projet'!$B$9,Paramètres!$A$1:$I$89,3,0)*0.475*44/12</f>
        <v>4.3795750708302332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21.048718797009677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300.80663531652721</v>
      </c>
      <c r="AO173" s="59">
        <f t="shared" si="144"/>
        <v>306.01967513533549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15.657468573794979</v>
      </c>
      <c r="AV173" s="21">
        <f>EXP(-LN(2)/25)*AV172+(1-EXP(-LN(2)/25))/(LN(2)/25)*Calculateur!AQ173*Calculateur!AS173*VLOOKUP('Données projet'!$B$10,Paramètres!$A$1:$I$89,3,0)*0.475*44/12</f>
        <v>4.0590577784371273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19.716526352232108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-1.7053025658242404E-13</v>
      </c>
      <c r="O174" s="13">
        <f>N174*VLOOKUP('Données projet'!$B$9,Paramètres!$A$1:$I$89,3,0)*VLOOKUP('Données projet'!$B$9,Paramètres!$A$1:$I$89,5,0)</f>
        <v>-1.4897523215040567E-13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298.478198405424</v>
      </c>
      <c r="T174" s="59">
        <f t="shared" si="142"/>
        <v>313.2817272662549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16.34227198488281</v>
      </c>
      <c r="AA174" s="21">
        <f>EXP(-LN(2)/25)*AA173+(1-EXP(-LN(2)/25))/(LN(2)/25)*Calculateur!V174*Calculateur!X174*VLOOKUP('Données projet'!$B$9,Paramètres!$A$1:$I$89,3,0)*0.475*44/12</f>
        <v>4.2598153602065372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20.602087345089348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300.80663531652721</v>
      </c>
      <c r="AO174" s="59">
        <f t="shared" si="144"/>
        <v>306.01967513533549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15.350435165175695</v>
      </c>
      <c r="AV174" s="21">
        <f>EXP(-LN(2)/25)*AV173+(1-EXP(-LN(2)/25))/(LN(2)/25)*Calculateur!AQ174*Calculateur!AS174*VLOOKUP('Données projet'!$B$10,Paramètres!$A$1:$I$89,3,0)*0.475*44/12</f>
        <v>3.9480626300291926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19.298497795204888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-1.7053025658242404E-13</v>
      </c>
      <c r="O175" s="13">
        <f>N175*VLOOKUP('Données projet'!$B$9,Paramètres!$A$1:$I$89,3,0)*VLOOKUP('Données projet'!$B$9,Paramètres!$A$1:$I$89,5,0)</f>
        <v>-1.4897523215040567E-13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298.478198405424</v>
      </c>
      <c r="T175" s="59">
        <f t="shared" si="142"/>
        <v>313.2817272662549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16.021809999060931</v>
      </c>
      <c r="AA175" s="21">
        <f>EXP(-LN(2)/25)*AA174+(1-EXP(-LN(2)/25))/(LN(2)/25)*Calculateur!V175*Calculateur!X175*VLOOKUP('Données projet'!$B$9,Paramètres!$A$1:$I$89,3,0)*0.475*44/12</f>
        <v>4.1433304851677359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20.165140484228665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300.80663531652721</v>
      </c>
      <c r="AO175" s="59">
        <f t="shared" si="144"/>
        <v>306.01967513533549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15.049422494427546</v>
      </c>
      <c r="AV175" s="21">
        <f>EXP(-LN(2)/25)*AV174+(1-EXP(-LN(2)/25))/(LN(2)/25)*Calculateur!AQ175*Calculateur!AS175*VLOOKUP('Données projet'!$B$10,Paramètres!$A$1:$I$89,3,0)*0.475*44/12</f>
        <v>3.8401026497914539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18.889525144219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-1.7053025658242404E-13</v>
      </c>
      <c r="O176" s="13">
        <f>N176*VLOOKUP('Données projet'!$B$9,Paramètres!$A$1:$I$89,3,0)*VLOOKUP('Données projet'!$B$9,Paramètres!$A$1:$I$89,5,0)</f>
        <v>-1.4897523215040567E-13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298.478198405424</v>
      </c>
      <c r="T176" s="59">
        <f t="shared" si="142"/>
        <v>313.2817272662549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15.707632077318507</v>
      </c>
      <c r="AA176" s="21">
        <f>EXP(-LN(2)/25)*AA175+(1-EXP(-LN(2)/25))/(LN(2)/25)*Calculateur!V176*Calculateur!X176*VLOOKUP('Données projet'!$B$9,Paramètres!$A$1:$I$89,3,0)*0.475*44/12</f>
        <v>4.0300308951625441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19.737662972481051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300.80663531652721</v>
      </c>
      <c r="AO176" s="59">
        <f t="shared" si="144"/>
        <v>306.01967513533549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14.754312498553169</v>
      </c>
      <c r="AV176" s="21">
        <f>EXP(-LN(2)/25)*AV175+(1-EXP(-LN(2)/25))/(LN(2)/25)*Calculateur!AQ176*Calculateur!AS176*VLOOKUP('Données projet'!$B$10,Paramètres!$A$1:$I$89,3,0)*0.475*44/12</f>
        <v>3.7350948408906848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18.489407339443854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-1.7053025658242404E-13</v>
      </c>
      <c r="O177" s="13">
        <f>N177*VLOOKUP('Données projet'!$B$9,Paramètres!$A$1:$I$89,3,0)*VLOOKUP('Données projet'!$B$9,Paramètres!$A$1:$I$89,5,0)</f>
        <v>-1.4897523215040567E-13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298.478198405424</v>
      </c>
      <c r="T177" s="59">
        <f t="shared" si="142"/>
        <v>313.2817272662549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15.399614992991841</v>
      </c>
      <c r="AA177" s="21">
        <f>EXP(-LN(2)/25)*AA176+(1-EXP(-LN(2)/25))/(LN(2)/25)*Calculateur!V177*Calculateur!X177*VLOOKUP('Données projet'!$B$9,Paramètres!$A$1:$I$89,3,0)*0.475*44/12</f>
        <v>3.9198294884042104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19.319444481396051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300.80663531652721</v>
      </c>
      <c r="AO177" s="59">
        <f t="shared" si="144"/>
        <v>306.01967513533549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14.464989429698564</v>
      </c>
      <c r="AV177" s="21">
        <f>EXP(-LN(2)/25)*AV176+(1-EXP(-LN(2)/25))/(LN(2)/25)*Calculateur!AQ177*Calculateur!AS177*VLOOKUP('Données projet'!$B$10,Paramètres!$A$1:$I$89,3,0)*0.475*44/12</f>
        <v>3.632958476046428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18.097947905744991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-1.7053025658242404E-13</v>
      </c>
      <c r="O178" s="13">
        <f>N178*VLOOKUP('Données projet'!$B$9,Paramètres!$A$1:$I$89,3,0)*VLOOKUP('Données projet'!$B$9,Paramètres!$A$1:$I$89,5,0)</f>
        <v>-1.4897523215040567E-13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298.478198405424</v>
      </c>
      <c r="T178" s="59">
        <f t="shared" si="142"/>
        <v>313.2817272662549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15.097637935816952</v>
      </c>
      <c r="AA178" s="21">
        <f>EXP(-LN(2)/25)*AA177+(1-EXP(-LN(2)/25))/(LN(2)/25)*Calculateur!V178*Calculateur!X178*VLOOKUP('Données projet'!$B$9,Paramètres!$A$1:$I$89,3,0)*0.475*44/12</f>
        <v>3.8126415449089235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18.910279480725876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300.80663531652721</v>
      </c>
      <c r="AO178" s="59">
        <f t="shared" si="144"/>
        <v>306.01967513533549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14.181339809754551</v>
      </c>
      <c r="AV178" s="21">
        <f>EXP(-LN(2)/25)*AV177+(1-EXP(-LN(2)/25))/(LN(2)/25)*Calculateur!AQ178*Calculateur!AS178*VLOOKUP('Données projet'!$B$10,Paramètres!$A$1:$I$89,3,0)*0.475*44/12</f>
        <v>3.5336150354699556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17.714954845224508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-1.7053025658242404E-13</v>
      </c>
      <c r="O179" s="13">
        <f>N179*VLOOKUP('Données projet'!$B$9,Paramètres!$A$1:$I$89,3,0)*VLOOKUP('Données projet'!$B$9,Paramètres!$A$1:$I$89,5,0)</f>
        <v>-1.4897523215040567E-13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298.478198405424</v>
      </c>
      <c r="T179" s="59">
        <f t="shared" si="142"/>
        <v>313.2817272662549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14.801582464545444</v>
      </c>
      <c r="AA179" s="21">
        <f>EXP(-LN(2)/25)*AA178+(1-EXP(-LN(2)/25))/(LN(2)/25)*Calculateur!V179*Calculateur!X179*VLOOKUP('Données projet'!$B$9,Paramètres!$A$1:$I$89,3,0)*0.475*44/12</f>
        <v>3.708384661365284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18.509967125910727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300.80663531652721</v>
      </c>
      <c r="AO179" s="59">
        <f t="shared" si="144"/>
        <v>306.01967513533549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13.903252385848456</v>
      </c>
      <c r="AV179" s="21">
        <f>EXP(-LN(2)/25)*AV178+(1-EXP(-LN(2)/25))/(LN(2)/25)*Calculateur!AQ179*Calculateur!AS179*VLOOKUP('Données projet'!$B$10,Paramètres!$A$1:$I$89,3,0)*0.475*44/12</f>
        <v>3.4369881465002909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17.340240532348748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-1.7053025658242404E-13</v>
      </c>
      <c r="O180" s="13">
        <f>N180*VLOOKUP('Données projet'!$B$9,Paramètres!$A$1:$I$89,3,0)*VLOOKUP('Données projet'!$B$9,Paramètres!$A$1:$I$89,5,0)</f>
        <v>-1.4897523215040567E-13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298.478198405424</v>
      </c>
      <c r="T180" s="59">
        <f t="shared" si="142"/>
        <v>313.2817272662549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14.511332460489562</v>
      </c>
      <c r="AA180" s="21">
        <f>EXP(-LN(2)/25)*AA179+(1-EXP(-LN(2)/25))/(LN(2)/25)*Calculateur!V180*Calculateur!X180*VLOOKUP('Données projet'!$B$9,Paramètres!$A$1:$I$89,3,0)*0.475*44/12</f>
        <v>3.6069786877847765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18.118311148274337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300.80663531652721</v>
      </c>
      <c r="AO180" s="59">
        <f t="shared" si="144"/>
        <v>306.01967513533549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13.630618086708578</v>
      </c>
      <c r="AV180" s="21">
        <f>EXP(-LN(2)/25)*AV179+(1-EXP(-LN(2)/25))/(LN(2)/25)*Calculateur!AQ180*Calculateur!AS180*VLOOKUP('Données projet'!$B$10,Paramètres!$A$1:$I$89,3,0)*0.475*44/12</f>
        <v>3.3430035248908894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16.973621611599469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-1.7053025658242404E-13</v>
      </c>
      <c r="O181" s="13">
        <f>N181*VLOOKUP('Données projet'!$B$9,Paramètres!$A$1:$I$89,3,0)*VLOOKUP('Données projet'!$B$9,Paramètres!$A$1:$I$89,5,0)</f>
        <v>-1.4897523215040567E-13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298.478198405424</v>
      </c>
      <c r="T181" s="59">
        <f t="shared" si="142"/>
        <v>313.2817272662549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14.226774081978196</v>
      </c>
      <c r="AA181" s="21">
        <f>EXP(-LN(2)/25)*AA180+(1-EXP(-LN(2)/25))/(LN(2)/25)*Calculateur!V181*Calculateur!X181*VLOOKUP('Données projet'!$B$9,Paramètres!$A$1:$I$89,3,0)*0.475*44/12</f>
        <v>3.5083456658845362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17.735119747862733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300.80663531652721</v>
      </c>
      <c r="AO181" s="59">
        <f t="shared" si="144"/>
        <v>306.01967513533549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13.36332997988433</v>
      </c>
      <c r="AV181" s="21">
        <f>EXP(-LN(2)/25)*AV180+(1-EXP(-LN(2)/25))/(LN(2)/25)*Calculateur!AQ181*Calculateur!AS181*VLOOKUP('Données projet'!$B$10,Paramètres!$A$1:$I$89,3,0)*0.475*44/12</f>
        <v>3.2515889177018331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16.614918897586165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-1.7053025658242404E-13</v>
      </c>
      <c r="O182" s="13">
        <f>N182*VLOOKUP('Données projet'!$B$9,Paramètres!$A$1:$I$89,3,0)*VLOOKUP('Données projet'!$B$9,Paramètres!$A$1:$I$89,5,0)</f>
        <v>-1.4897523215040567E-13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298.478198405424</v>
      </c>
      <c r="T182" s="59">
        <f t="shared" si="142"/>
        <v>313.2817272662549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13.947795719705963</v>
      </c>
      <c r="AA182" s="21">
        <f>EXP(-LN(2)/25)*AA181+(1-EXP(-LN(2)/25))/(LN(2)/25)*Calculateur!V182*Calculateur!X182*VLOOKUP('Données projet'!$B$9,Paramètres!$A$1:$I$89,3,0)*0.475*44/12</f>
        <v>3.4124097691550435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17.360205488861006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300.80663531652721</v>
      </c>
      <c r="AO182" s="59">
        <f t="shared" si="144"/>
        <v>306.01967513533549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13.10128322980526</v>
      </c>
      <c r="AV182" s="21">
        <f>EXP(-LN(2)/25)*AV181+(1-EXP(-LN(2)/25))/(LN(2)/25)*Calculateur!AQ182*Calculateur!AS182*VLOOKUP('Données projet'!$B$10,Paramètres!$A$1:$I$89,3,0)*0.475*44/12</f>
        <v>3.1626740477536468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16.263957277558905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-1.7053025658242404E-13</v>
      </c>
      <c r="O183" s="13">
        <f>N183*VLOOKUP('Données projet'!$B$9,Paramètres!$A$1:$I$89,3,0)*VLOOKUP('Données projet'!$B$9,Paramètres!$A$1:$I$89,5,0)</f>
        <v>-1.4897523215040567E-13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298.478198405424</v>
      </c>
      <c r="T183" s="59">
        <f t="shared" si="142"/>
        <v>313.2817272662549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13.67428795295789</v>
      </c>
      <c r="AA183" s="21">
        <f>EXP(-LN(2)/25)*AA182+(1-EXP(-LN(2)/25))/(LN(2)/25)*Calculateur!V183*Calculateur!X183*VLOOKUP('Données projet'!$B$9,Paramètres!$A$1:$I$89,3,0)*0.475*44/12</f>
        <v>3.319097244566668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16.993385197524557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300.80663531652721</v>
      </c>
      <c r="AO183" s="59">
        <f t="shared" si="144"/>
        <v>306.01967513533549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12.844375056662503</v>
      </c>
      <c r="AV183" s="21">
        <f>EXP(-LN(2)/25)*AV182+(1-EXP(-LN(2)/25))/(LN(2)/25)*Calculateur!AQ183*Calculateur!AS183*VLOOKUP('Données projet'!$B$10,Paramètres!$A$1:$I$89,3,0)*0.475*44/12</f>
        <v>3.0761905596000236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15.920565616262527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-1.7053025658242404E-13</v>
      </c>
      <c r="O184" s="13">
        <f>N184*VLOOKUP('Données projet'!$B$9,Paramètres!$A$1:$I$89,3,0)*VLOOKUP('Données projet'!$B$9,Paramètres!$A$1:$I$89,5,0)</f>
        <v>-1.4897523215040567E-13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298.478198405424</v>
      </c>
      <c r="T184" s="59">
        <f t="shared" si="142"/>
        <v>313.2817272662549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13.406143506692482</v>
      </c>
      <c r="AA184" s="21">
        <f>EXP(-LN(2)/25)*AA183+(1-EXP(-LN(2)/25))/(LN(2)/25)*Calculateur!V184*Calculateur!X184*VLOOKUP('Données projet'!$B$9,Paramètres!$A$1:$I$89,3,0)*0.475*44/12</f>
        <v>3.2283363558702542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16.634479862562735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300.80663531652721</v>
      </c>
      <c r="AO184" s="59">
        <f t="shared" si="144"/>
        <v>306.01967513533549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12.592504696096563</v>
      </c>
      <c r="AV184" s="21">
        <f>EXP(-LN(2)/25)*AV183+(1-EXP(-LN(2)/25))/(LN(2)/25)*Calculateur!AQ184*Calculateur!AS184*VLOOKUP('Données projet'!$B$10,Paramètres!$A$1:$I$89,3,0)*0.475*44/12</f>
        <v>2.9920719669779303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15.584576663074493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-1.7053025658242404E-13</v>
      </c>
      <c r="O185" s="13">
        <f>N185*VLOOKUP('Données projet'!$B$9,Paramètres!$A$1:$I$89,3,0)*VLOOKUP('Données projet'!$B$9,Paramètres!$A$1:$I$89,5,0)</f>
        <v>-1.4897523215040567E-13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298.478198405424</v>
      </c>
      <c r="T185" s="59">
        <f t="shared" si="142"/>
        <v>313.2817272662549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13.143257209466375</v>
      </c>
      <c r="AA185" s="21">
        <f>EXP(-LN(2)/25)*AA184+(1-EXP(-LN(2)/25))/(LN(2)/25)*Calculateur!V185*Calculateur!X185*VLOOKUP('Données projet'!$B$9,Paramètres!$A$1:$I$89,3,0)*0.475*44/12</f>
        <v>3.1400573284481514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16.283314537914528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300.80663531652721</v>
      </c>
      <c r="AO185" s="59">
        <f t="shared" si="144"/>
        <v>306.01967513533549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12.345573359675571</v>
      </c>
      <c r="AV185" s="21">
        <f>EXP(-LN(2)/25)*AV184+(1-EXP(-LN(2)/25))/(LN(2)/25)*Calculateur!AQ185*Calculateur!AS185*VLOOKUP('Données projet'!$B$10,Paramètres!$A$1:$I$89,3,0)*0.475*44/12</f>
        <v>2.9102536016946927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15.255826961370264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-1.7053025658242404E-13</v>
      </c>
      <c r="O186" s="13">
        <f>N186*VLOOKUP('Données projet'!$B$9,Paramètres!$A$1:$I$89,3,0)*VLOOKUP('Données projet'!$B$9,Paramètres!$A$1:$I$89,5,0)</f>
        <v>-1.4897523215040567E-13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298.478198405424</v>
      </c>
      <c r="T186" s="59">
        <f t="shared" si="142"/>
        <v>313.2817272662549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12.885525952184064</v>
      </c>
      <c r="AA186" s="21">
        <f>EXP(-LN(2)/25)*AA185+(1-EXP(-LN(2)/25))/(LN(2)/25)*Calculateur!V186*Calculateur!X186*VLOOKUP('Données projet'!$B$9,Paramètres!$A$1:$I$89,3,0)*0.475*44/12</f>
        <v>3.0541922956732988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15.939718247857364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300.80663531652721</v>
      </c>
      <c r="AO186" s="59">
        <f t="shared" si="144"/>
        <v>306.01967513533549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12.103484196148552</v>
      </c>
      <c r="AV186" s="21">
        <f>EXP(-LN(2)/25)*AV185+(1-EXP(-LN(2)/25))/(LN(2)/25)*Calculateur!AQ186*Calculateur!AS186*VLOOKUP('Données projet'!$B$10,Paramètres!$A$1:$I$89,3,0)*0.475*44/12</f>
        <v>2.8306725639127661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14.934156760061317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-1.7053025658242404E-13</v>
      </c>
      <c r="O187" s="13">
        <f>N187*VLOOKUP('Données projet'!$B$9,Paramètres!$A$1:$I$89,3,0)*VLOOKUP('Données projet'!$B$9,Paramètres!$A$1:$I$89,5,0)</f>
        <v>-1.4897523215040567E-13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298.478198405424</v>
      </c>
      <c r="T187" s="59">
        <f t="shared" si="142"/>
        <v>313.2817272662549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12.632848647656514</v>
      </c>
      <c r="AA187" s="21">
        <f>EXP(-LN(2)/25)*AA186+(1-EXP(-LN(2)/25))/(LN(2)/25)*Calculateur!V187*Calculateur!X187*VLOOKUP('Données projet'!$B$9,Paramètres!$A$1:$I$89,3,0)*0.475*44/12</f>
        <v>2.9706752467351198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15.603523894391634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300.80663531652721</v>
      </c>
      <c r="AO187" s="59">
        <f t="shared" si="144"/>
        <v>306.01967513533549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11.866142253458486</v>
      </c>
      <c r="AV187" s="21">
        <f>EXP(-LN(2)/25)*AV186+(1-EXP(-LN(2)/25))/(LN(2)/25)*Calculateur!AQ187*Calculateur!AS187*VLOOKUP('Données projet'!$B$10,Paramètres!$A$1:$I$89,3,0)*0.475*44/12</f>
        <v>2.753267673793971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14.619409927252457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-1.7053025658242404E-13</v>
      </c>
      <c r="O188" s="13">
        <f>N188*VLOOKUP('Données projet'!$B$9,Paramètres!$A$1:$I$89,3,0)*VLOOKUP('Données projet'!$B$9,Paramètres!$A$1:$I$89,5,0)</f>
        <v>-1.4897523215040567E-13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298.478198405424</v>
      </c>
      <c r="T188" s="59">
        <f t="shared" si="142"/>
        <v>313.2817272662549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12.385126190952812</v>
      </c>
      <c r="AA188" s="21">
        <f>EXP(-LN(2)/25)*AA187+(1-EXP(-LN(2)/25))/(LN(2)/25)*Calculateur!V188*Calculateur!X188*VLOOKUP('Données projet'!$B$9,Paramètres!$A$1:$I$89,3,0)*0.475*44/12</f>
        <v>2.8894419758921264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15.274568166844938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300.80663531652721</v>
      </c>
      <c r="AO188" s="59">
        <f t="shared" si="144"/>
        <v>306.01967513533549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11.633454441500284</v>
      </c>
      <c r="AV188" s="21">
        <f>EXP(-LN(2)/25)*AV187+(1-EXP(-LN(2)/25))/(LN(2)/25)*Calculateur!AQ188*Calculateur!AS188*VLOOKUP('Données projet'!$B$10,Paramètres!$A$1:$I$89,3,0)*0.475*44/12</f>
        <v>2.6779794244660207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14.311433865966304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-1.7053025658242404E-13</v>
      </c>
      <c r="O189" s="13">
        <f>N189*VLOOKUP('Données projet'!$B$9,Paramètres!$A$1:$I$89,3,0)*VLOOKUP('Données projet'!$B$9,Paramètres!$A$1:$I$89,5,0)</f>
        <v>-1.4897523215040567E-13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298.478198405424</v>
      </c>
      <c r="T189" s="59">
        <f t="shared" si="142"/>
        <v>313.2817272662549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12.142261420529291</v>
      </c>
      <c r="AA189" s="21">
        <f>EXP(-LN(2)/25)*AA188+(1-EXP(-LN(2)/25))/(LN(2)/25)*Calculateur!V189*Calculateur!X189*VLOOKUP('Données projet'!$B$9,Paramètres!$A$1:$I$89,3,0)*0.475*44/12</f>
        <v>2.8104300331122065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14.952691453641497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300.80663531652721</v>
      </c>
      <c r="AO189" s="59">
        <f t="shared" si="144"/>
        <v>306.01967513533549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11.405329495609029</v>
      </c>
      <c r="AV189" s="21">
        <f>EXP(-LN(2)/25)*AV188+(1-EXP(-LN(2)/25))/(LN(2)/25)*Calculateur!AQ189*Calculateur!AS189*VLOOKUP('Données projet'!$B$10,Paramètres!$A$1:$I$89,3,0)*0.475*44/12</f>
        <v>2.60474993627518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14.010079431884209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-1.7053025658242404E-13</v>
      </c>
      <c r="O190" s="13">
        <f>N190*VLOOKUP('Données projet'!$B$9,Paramètres!$A$1:$I$89,3,0)*VLOOKUP('Données projet'!$B$9,Paramètres!$A$1:$I$89,5,0)</f>
        <v>-1.4897523215040567E-13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298.478198405424</v>
      </c>
      <c r="T190" s="59">
        <f t="shared" si="142"/>
        <v>313.2817272662549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11.904159080120891</v>
      </c>
      <c r="AA190" s="21">
        <f>EXP(-LN(2)/25)*AA189+(1-EXP(-LN(2)/25))/(LN(2)/25)*Calculateur!V190*Calculateur!X190*VLOOKUP('Données projet'!$B$9,Paramètres!$A$1:$I$89,3,0)*0.475*44/12</f>
        <v>2.733578676062661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14.637737756183553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300.80663531652721</v>
      </c>
      <c r="AO190" s="59">
        <f t="shared" si="144"/>
        <v>306.01967513533549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11.181677940764224</v>
      </c>
      <c r="AV190" s="21">
        <f>EXP(-LN(2)/25)*AV189+(1-EXP(-LN(2)/25))/(LN(2)/25)*Calculateur!AQ190*Calculateur!AS190*VLOOKUP('Données projet'!$B$10,Paramètres!$A$1:$I$89,3,0)*0.475*44/12</f>
        <v>2.5335229122898895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13.715200853054114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-1.7053025658242404E-13</v>
      </c>
      <c r="O191" s="13">
        <f>N191*VLOOKUP('Données projet'!$B$9,Paramètres!$A$1:$I$89,3,0)*VLOOKUP('Données projet'!$B$9,Paramètres!$A$1:$I$89,5,0)</f>
        <v>-1.4897523215040567E-13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298.478198405424</v>
      </c>
      <c r="T191" s="59">
        <f t="shared" si="142"/>
        <v>313.2817272662549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11.670725781379813</v>
      </c>
      <c r="AA191" s="21">
        <f>EXP(-LN(2)/25)*AA190+(1-EXP(-LN(2)/25))/(LN(2)/25)*Calculateur!V191*Calculateur!X191*VLOOKUP('Données projet'!$B$9,Paramètres!$A$1:$I$89,3,0)*0.475*44/12</f>
        <v>2.6588288234130726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14.329554604792886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300.80663531652721</v>
      </c>
      <c r="AO191" s="59">
        <f t="shared" si="144"/>
        <v>306.01967513533549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10.962412056495948</v>
      </c>
      <c r="AV191" s="21">
        <f>EXP(-LN(2)/25)*AV190+(1-EXP(-LN(2)/25))/(LN(2)/25)*Calculateur!AQ191*Calculateur!AS191*VLOOKUP('Données projet'!$B$10,Paramètres!$A$1:$I$89,3,0)*0.475*44/12</f>
        <v>2.4642435950211428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13.426655651517091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-1.7053025658242404E-13</v>
      </c>
      <c r="O192" s="13">
        <f>N192*VLOOKUP('Données projet'!$B$9,Paramètres!$A$1:$I$89,3,0)*VLOOKUP('Données projet'!$B$9,Paramètres!$A$1:$I$89,5,0)</f>
        <v>-1.4897523215040567E-13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298.478198405424</v>
      </c>
      <c r="T192" s="59">
        <f t="shared" si="142"/>
        <v>313.2817272662549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11.441869967246793</v>
      </c>
      <c r="AA192" s="21">
        <f>EXP(-LN(2)/25)*AA191+(1-EXP(-LN(2)/25))/(LN(2)/25)*Calculateur!V192*Calculateur!X192*VLOOKUP('Données projet'!$B$9,Paramètres!$A$1:$I$89,3,0)*0.475*44/12</f>
        <v>2.5861230094151111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14.027992976661904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300.80663531652721</v>
      </c>
      <c r="AO192" s="59">
        <f t="shared" si="144"/>
        <v>306.01967513533549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10.747445842479189</v>
      </c>
      <c r="AV192" s="21">
        <f>EXP(-LN(2)/25)*AV191+(1-EXP(-LN(2)/25))/(LN(2)/25)*Calculateur!AQ192*Calculateur!AS192*VLOOKUP('Données projet'!$B$10,Paramètres!$A$1:$I$89,3,0)*0.475*44/12</f>
        <v>2.3968587243263513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13.144304566805541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-1.7053025658242404E-13</v>
      </c>
      <c r="O193" s="13">
        <f>N193*VLOOKUP('Données projet'!$B$9,Paramètres!$A$1:$I$89,3,0)*VLOOKUP('Données projet'!$B$9,Paramètres!$A$1:$I$89,5,0)</f>
        <v>-1.4897523215040567E-13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298.478198405424</v>
      </c>
      <c r="T193" s="59">
        <f t="shared" si="142"/>
        <v>313.2817272662549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11.217501876040659</v>
      </c>
      <c r="AA193" s="21">
        <f>EXP(-LN(2)/25)*AA192+(1-EXP(-LN(2)/25))/(LN(2)/25)*Calculateur!V193*Calculateur!X193*VLOOKUP('Données projet'!$B$9,Paramètres!$A$1:$I$89,3,0)*0.475*44/12</f>
        <v>2.5154053397243565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13.732907215765016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300.80663531652721</v>
      </c>
      <c r="AO193" s="59">
        <f t="shared" si="144"/>
        <v>306.01967513533549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10.536694984802855</v>
      </c>
      <c r="AV193" s="21">
        <f>EXP(-LN(2)/25)*AV192+(1-EXP(-LN(2)/25))/(LN(2)/25)*Calculateur!AQ193*Calculateur!AS193*VLOOKUP('Données projet'!$B$10,Paramètres!$A$1:$I$89,3,0)*0.475*44/12</f>
        <v>2.3313164964643249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12.86801148126718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-1.7053025658242404E-13</v>
      </c>
      <c r="O194" s="13">
        <f>N194*VLOOKUP('Données projet'!$B$9,Paramètres!$A$1:$I$89,3,0)*VLOOKUP('Données projet'!$B$9,Paramètres!$A$1:$I$89,5,0)</f>
        <v>-1.4897523215040567E-13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298.478198405424</v>
      </c>
      <c r="T194" s="59">
        <f t="shared" si="142"/>
        <v>313.2817272662549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10.997533506252054</v>
      </c>
      <c r="AA194" s="21">
        <f>EXP(-LN(2)/25)*AA193+(1-EXP(-LN(2)/25))/(LN(2)/25)*Calculateur!V194*Calculateur!X194*VLOOKUP('Données projet'!$B$9,Paramètres!$A$1:$I$89,3,0)*0.475*44/12</f>
        <v>2.446621448430176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13.444154954682229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300.80663531652721</v>
      </c>
      <c r="AO194" s="59">
        <f t="shared" si="144"/>
        <v>306.01967513533549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10.330076822900223</v>
      </c>
      <c r="AV194" s="21">
        <f>EXP(-LN(2)/25)*AV193+(1-EXP(-LN(2)/25))/(LN(2)/25)*Calculateur!AQ194*Calculateur!AS194*VLOOKUP('Données projet'!$B$10,Paramètres!$A$1:$I$89,3,0)*0.475*44/12</f>
        <v>2.2675665242699017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12.597643347170123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-1.7053025658242404E-13</v>
      </c>
      <c r="O195" s="13">
        <f>N195*VLOOKUP('Données projet'!$B$9,Paramètres!$A$1:$I$89,3,0)*VLOOKUP('Données projet'!$B$9,Paramètres!$A$1:$I$89,5,0)</f>
        <v>-1.4897523215040567E-13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298.478198405424</v>
      </c>
      <c r="T195" s="59">
        <f t="shared" si="142"/>
        <v>313.2817272662549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10.781878582027547</v>
      </c>
      <c r="AA195" s="21">
        <f>EXP(-LN(2)/25)*AA194+(1-EXP(-LN(2)/25))/(LN(2)/25)*Calculateur!V195*Calculateur!X195*VLOOKUP('Données projet'!$B$9,Paramètres!$A$1:$I$89,3,0)*0.475*44/12</f>
        <v>2.3797184562606226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13.16159703828817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300.80663531652721</v>
      </c>
      <c r="AO195" s="59">
        <f t="shared" si="144"/>
        <v>306.01967513533549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10.127510317127866</v>
      </c>
      <c r="AV195" s="21">
        <f>EXP(-LN(2)/25)*AV194+(1-EXP(-LN(2)/25))/(LN(2)/25)*Calculateur!AQ195*Calculateur!AS195*VLOOKUP('Données projet'!$B$10,Paramètres!$A$1:$I$89,3,0)*0.475*44/12</f>
        <v>2.2055597984176005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12.333070115545468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-1.7053025658242404E-13</v>
      </c>
      <c r="O196" s="13">
        <f>N196*VLOOKUP('Données projet'!$B$9,Paramètres!$A$1:$I$89,3,0)*VLOOKUP('Données projet'!$B$9,Paramètres!$A$1:$I$89,5,0)</f>
        <v>-1.4897523215040567E-13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298.478198405424</v>
      </c>
      <c r="T196" s="59">
        <f t="shared" si="142"/>
        <v>313.2817272662549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10.570452519330566</v>
      </c>
      <c r="AA196" s="21">
        <f>EXP(-LN(2)/25)*AA195+(1-EXP(-LN(2)/25))/(LN(2)/25)*Calculateur!V196*Calculateur!X196*VLOOKUP('Données projet'!$B$9,Paramètres!$A$1:$I$89,3,0)*0.475*44/12</f>
        <v>2.3146449299302212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12.885097449260787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300.80663531652721</v>
      </c>
      <c r="AO196" s="59">
        <f t="shared" si="144"/>
        <v>306.01967513533549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9.9289160169803363</v>
      </c>
      <c r="AV196" s="21">
        <f>EXP(-LN(2)/25)*AV195+(1-EXP(-LN(2)/25))/(LN(2)/25)*Calculateur!AQ196*Calculateur!AS196*VLOOKUP('Données projet'!$B$10,Paramètres!$A$1:$I$89,3,0)*0.475*44/12</f>
        <v>2.1452486497445222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12.074164666724858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-1.7053025658242404E-13</v>
      </c>
      <c r="O197" s="13">
        <f>N197*VLOOKUP('Données projet'!$B$9,Paramètres!$A$1:$I$89,3,0)*VLOOKUP('Données projet'!$B$9,Paramètres!$A$1:$I$89,5,0)</f>
        <v>-1.4897523215040567E-13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298.478198405424</v>
      </c>
      <c r="T197" s="59">
        <f t="shared" ref="T197:T203" si="204">$T$3</f>
        <v>313.2817272662549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10.363172392765907</v>
      </c>
      <c r="AA197" s="21">
        <f>EXP(-LN(2)/25)*AA196+(1-EXP(-LN(2)/25))/(LN(2)/25)*Calculateur!V197*Calculateur!X197*VLOOKUP('Données projet'!$B$9,Paramètres!$A$1:$I$89,3,0)*0.475*44/12</f>
        <v>2.2513508425993924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12.614523235365301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300.80663531652721</v>
      </c>
      <c r="AO197" s="59">
        <f t="shared" ref="AO197:AO203" si="205">$AO$3</f>
        <v>306.01967513533549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9.7342160299281382</v>
      </c>
      <c r="AV197" s="21">
        <f>EXP(-LN(2)/25)*AV196+(1-EXP(-LN(2)/25))/(LN(2)/25)*Calculateur!AQ197*Calculateur!AS197*VLOOKUP('Données projet'!$B$10,Paramètres!$A$1:$I$89,3,0)*0.475*44/12</f>
        <v>2.0865867126035349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11.820802742531672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-1.7053025658242404E-13</v>
      </c>
      <c r="O198" s="13">
        <f>N198*VLOOKUP('Données projet'!$B$9,Paramètres!$A$1:$I$89,3,0)*VLOOKUP('Données projet'!$B$9,Paramètres!$A$1:$I$89,5,0)</f>
        <v>-1.4897523215040567E-13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298.478198405424</v>
      </c>
      <c r="T198" s="59">
        <f t="shared" si="204"/>
        <v>313.2817272662549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10.159956903054789</v>
      </c>
      <c r="AA198" s="21">
        <f>EXP(-LN(2)/25)*AA197+(1-EXP(-LN(2)/25))/(LN(2)/25)*Calculateur!V198*Calculateur!X198*VLOOKUP('Données projet'!$B$9,Paramètres!$A$1:$I$89,3,0)*0.475*44/12</f>
        <v>2.1897875354151166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12.349744438469905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300.80663531652721</v>
      </c>
      <c r="AO198" s="59">
        <f t="shared" si="205"/>
        <v>306.01967513533549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9.5433339908667669</v>
      </c>
      <c r="AV198" s="21">
        <f>EXP(-LN(2)/25)*AV197+(1-EXP(-LN(2)/25))/(LN(2)/25)*Calculateur!AQ198*Calculateur!AS198*VLOOKUP('Données projet'!$B$10,Paramètres!$A$1:$I$89,3,0)*0.475*44/12</f>
        <v>2.029528889218565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11.572862880085331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-1.7053025658242404E-13</v>
      </c>
      <c r="O199" s="13">
        <f>N199*VLOOKUP('Données projet'!$B$9,Paramètres!$A$1:$I$89,3,0)*VLOOKUP('Données projet'!$B$9,Paramètres!$A$1:$I$89,5,0)</f>
        <v>-1.4897523215040567E-13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298.478198405424</v>
      </c>
      <c r="T199" s="59">
        <f t="shared" si="204"/>
        <v>313.2817272662549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9.9607263451476964</v>
      </c>
      <c r="AA199" s="21">
        <f>EXP(-LN(2)/25)*AA198+(1-EXP(-LN(2)/25))/(LN(2)/25)*Calculateur!V199*Calculateur!X199*VLOOKUP('Données projet'!$B$9,Paramètres!$A$1:$I$89,3,0)*0.475*44/12</f>
        <v>2.1299076801032686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12.090634025250965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300.80663531652721</v>
      </c>
      <c r="AO199" s="59">
        <f t="shared" si="205"/>
        <v>306.01967513533549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9.3561950321648428</v>
      </c>
      <c r="AV199" s="21">
        <f>EXP(-LN(2)/25)*AV198+(1-EXP(-LN(2)/25))/(LN(2)/25)*Calculateur!AQ199*Calculateur!AS199*VLOOKUP('Données projet'!$B$10,Paramètres!$A$1:$I$89,3,0)*0.475*44/12</f>
        <v>1.9740313150145976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11.33022634717944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-1.7053025658242404E-13</v>
      </c>
      <c r="O200" s="13">
        <f>N200*VLOOKUP('Données projet'!$B$9,Paramètres!$A$1:$I$89,3,0)*VLOOKUP('Données projet'!$B$9,Paramètres!$A$1:$I$89,5,0)</f>
        <v>-1.4897523215040567E-13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298.478198405424</v>
      </c>
      <c r="T200" s="59">
        <f t="shared" si="204"/>
        <v>313.2817272662549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9.7654025769625203</v>
      </c>
      <c r="AA200" s="21">
        <f>EXP(-LN(2)/25)*AA199+(1-EXP(-LN(2)/25))/(LN(2)/25)*Calculateur!V200*Calculateur!X200*VLOOKUP('Données projet'!$B$9,Paramètres!$A$1:$I$89,3,0)*0.475*44/12</f>
        <v>2.071665242583868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11.837067819546387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300.80663531652721</v>
      </c>
      <c r="AO200" s="59">
        <f t="shared" si="205"/>
        <v>306.01967513533549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9.1727257542995684</v>
      </c>
      <c r="AV200" s="21">
        <f>EXP(-LN(2)/25)*AV199+(1-EXP(-LN(2)/25))/(LN(2)/25)*Calculateur!AQ200*Calculateur!AS200*VLOOKUP('Données projet'!$B$10,Paramètres!$A$1:$I$89,3,0)*0.475*44/12</f>
        <v>1.9200513248957283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11.092777079195297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-1.7053025658242404E-13</v>
      </c>
      <c r="O201" s="13">
        <f>N201*VLOOKUP('Données projet'!$B$9,Paramètres!$A$1:$I$89,3,0)*VLOOKUP('Données projet'!$B$9,Paramètres!$A$1:$I$89,5,0)</f>
        <v>-1.4897523215040567E-13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298.478198405424</v>
      </c>
      <c r="T201" s="59">
        <f t="shared" si="204"/>
        <v>313.2817272662549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9.5739089887357203</v>
      </c>
      <c r="AA201" s="21">
        <f>EXP(-LN(2)/25)*AA200+(1-EXP(-LN(2)/25))/(LN(2)/25)*Calculateur!V201*Calculateur!X201*VLOOKUP('Données projet'!$B$9,Paramètres!$A$1:$I$89,3,0)*0.475*44/12</f>
        <v>2.015015447581272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11.588924436316992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300.80663531652721</v>
      </c>
      <c r="AO201" s="59">
        <f t="shared" si="205"/>
        <v>306.01967513533549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8.9928541970680218</v>
      </c>
      <c r="AV201" s="21">
        <f>EXP(-LN(2)/25)*AV200+(1-EXP(-LN(2)/25))/(LN(2)/25)*Calculateur!AQ201*Calculateur!AS201*VLOOKUP('Données projet'!$B$10,Paramètres!$A$1:$I$89,3,0)*0.475*44/12</f>
        <v>1.8675474204453437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10.860401617513366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-1.7053025658242404E-13</v>
      </c>
      <c r="O202" s="13">
        <f>N202*VLOOKUP('Données projet'!$B$9,Paramètres!$A$1:$I$89,3,0)*VLOOKUP('Données projet'!$B$9,Paramètres!$A$1:$I$89,5,0)</f>
        <v>-1.4897523215040567E-13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298.478198405424</v>
      </c>
      <c r="T202" s="59">
        <f t="shared" si="204"/>
        <v>313.2817272662549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9.3861704729744933</v>
      </c>
      <c r="AA202" s="21">
        <f>EXP(-LN(2)/25)*AA201+(1-EXP(-LN(2)/25))/(LN(2)/25)*Calculateur!V202*Calculateur!X202*VLOOKUP('Données projet'!$B$9,Paramètres!$A$1:$I$89,3,0)*0.475*44/12</f>
        <v>1.9599147442021052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11.346085217176599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300.80663531652721</v>
      </c>
      <c r="AO202" s="59">
        <f t="shared" si="205"/>
        <v>306.01967513533549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8.8165098113629696</v>
      </c>
      <c r="AV202" s="21">
        <f>EXP(-LN(2)/25)*AV201+(1-EXP(-LN(2)/25))/(LN(2)/25)*Calculateur!AQ202*Calculateur!AS202*VLOOKUP('Données projet'!$B$10,Paramètres!$A$1:$I$89,3,0)*0.475*44/12</f>
        <v>1.8164792380232153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10.632989049386184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-1.7053025658242404E-13</v>
      </c>
      <c r="O203" s="13">
        <f>N203*VLOOKUP('Données projet'!$B$9,Paramètres!$A$1:$I$89,3,0)*VLOOKUP('Données projet'!$B$9,Paramètres!$A$1:$I$89,5,0)</f>
        <v>-1.4897523215040567E-13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298.478198405424</v>
      </c>
      <c r="T203" s="59">
        <f t="shared" si="204"/>
        <v>313.2817272662549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9.2021133949981557</v>
      </c>
      <c r="AA203" s="21">
        <f>EXP(-LN(2)/25)*AA202+(1-EXP(-LN(2)/25))/(LN(2)/25)*Calculateur!V203*Calculateur!X203*VLOOKUP('Données projet'!$B$9,Paramètres!$A$1:$I$89,3,0)*0.475*44/12</f>
        <v>1.9063207724544617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11.108434167452618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300.80663531652721</v>
      </c>
      <c r="AO203" s="59">
        <f t="shared" si="205"/>
        <v>306.01967513533549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8.6436234315021387</v>
      </c>
      <c r="AV203" s="21">
        <f>EXP(-LN(2)/25)*AV202+(1-EXP(-LN(2)/25))/(LN(2)/25)*Calculateur!AQ203*Calculateur!AS203*VLOOKUP('Données projet'!$B$10,Paramètres!$A$1:$I$89,3,0)*0.475*44/12</f>
        <v>1.7668075177349789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10.410430949237117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1.2620003197767753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1.3267648858502221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9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9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9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K23" sqref="K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0" t="s">
        <v>271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Chêne rouge d'Amérique</v>
      </c>
      <c r="B6" s="146">
        <f>'Données projet'!D9</f>
        <v>2.6824699999999999</v>
      </c>
      <c r="C6" s="147">
        <f ca="1">IF(OR('Données projet'!B9="",'Données projet'!C9="",'Données projet'!C9=0%),0,Calculateur!S3)</f>
        <v>298.478198405424</v>
      </c>
      <c r="D6" s="147">
        <f>IF(OR('Données projet'!B9="",'Données projet'!C9="",'Données projet'!C9=0%),0,Calculateur!T3)</f>
        <v>313.2817272662549</v>
      </c>
      <c r="E6" s="147">
        <f ca="1">MIN(C6,D6)</f>
        <v>298.478198405424</v>
      </c>
      <c r="F6" s="147">
        <f ca="1">E6*B6</f>
        <v>800.65881287659772</v>
      </c>
      <c r="G6" s="147">
        <f ca="1">F6*(100%-'Données projet'!$C$24)*(100%-'Données projet'!$C$25)*(100%-'Données projet'!$C$26)*(100%-'Données projet'!$C$27)</f>
        <v>612.50399185059723</v>
      </c>
      <c r="H6" s="148">
        <f>IF(OR('Données projet'!B9="",'Données projet'!C9="",'Données projet'!C9=0%),0,AVERAGE(Calculateur!$AC$3:$AC$33)*B6)</f>
        <v>9.1690894145364563</v>
      </c>
      <c r="I6" s="149">
        <f>H6*(100%-'Données projet'!$C$24)*(100%-'Données projet'!$C$25)*(100%-'Données projet'!$C$26)*(100%-'Données projet'!$C$27)</f>
        <v>7.0143534021203893</v>
      </c>
      <c r="J6" s="150">
        <f>IF(OR('Données projet'!B9="",'Données projet'!C9="",'Données projet'!C9=0%),0,SUM(Calculateur!$V$3:$V$33)*VLOOKUP('Données projet'!$B$9,Paramètres!$A$1:$I$89,9,0)*B6)</f>
        <v>63.038044999999997</v>
      </c>
      <c r="K6" s="151">
        <f>J6*(100%-'Données projet'!$C$24)*(100%-'Données projet'!$C$25)*(100%-'Données projet'!$C$26)*(100%-'Données projet'!$C$27)</f>
        <v>48.224104425</v>
      </c>
      <c r="L6" s="152">
        <f ca="1">G6+I6+K6</f>
        <v>667.74244967771756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1.1496299999999999</v>
      </c>
      <c r="C7" s="147">
        <f ca="1">IF(OR('Données projet'!B10="",'Données projet'!C10="",'Données projet'!C10=0%),0,Calculateur!AN3)</f>
        <v>300.80663531652721</v>
      </c>
      <c r="D7" s="147">
        <f>IF(OR('Données projet'!B10="",'Données projet'!C10="",'Données projet'!C10=0%),0,Calculateur!AO3)</f>
        <v>306.01967513533549</v>
      </c>
      <c r="E7" s="147">
        <f t="shared" ref="E7:E15" ca="1" si="0">MIN(C7,D7)</f>
        <v>300.80663531652721</v>
      </c>
      <c r="F7" s="147">
        <f t="shared" ref="F7:F15" ca="1" si="1">E7*B7</f>
        <v>345.81633215893913</v>
      </c>
      <c r="G7" s="147">
        <f ca="1">F7*(100%-'Données projet'!$C$24)*(100%-'Données projet'!$C$25)*(100%-'Données projet'!$C$26)*(100%-'Données projet'!$C$27)</f>
        <v>264.54949410158844</v>
      </c>
      <c r="H7" s="155">
        <f>IF(OR('Données projet'!B10="",'Données projet'!C10="",'Données projet'!C10=0%),0,AVERAGE(Calculateur!$AX$3:$AX$33)*B7)</f>
        <v>12.606510760302914</v>
      </c>
      <c r="I7" s="149">
        <f>H7*(100%-'Données projet'!$C$24)*(100%-'Données projet'!$C$25)*(100%-'Données projet'!$C$26)*(100%-'Données projet'!$C$27)</f>
        <v>9.6439807316317303</v>
      </c>
      <c r="J7" s="150">
        <f>IF(OR('Données projet'!B10="",'Données projet'!C10="",'Données projet'!C10=0%),0,SUM(Calculateur!$AQ$3:$AQ$33)*VLOOKUP('Données projet'!$B$10,Paramètres!$A$1:$I$89,9,0)*B7)</f>
        <v>75.708308834999983</v>
      </c>
      <c r="K7" s="151">
        <f>J7*(100%-'Données projet'!$C$24)*(100%-'Données projet'!$C$25)*(100%-'Données projet'!$C$26)*(100%-'Données projet'!$C$27)</f>
        <v>57.916856258774992</v>
      </c>
      <c r="L7" s="152">
        <f t="shared" ref="L7:L15" ca="1" si="2">G7+I7+K7</f>
        <v>332.11033109199519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1146.4751450355368</v>
      </c>
      <c r="G16" s="166">
        <f t="shared" ca="1" si="3"/>
        <v>877.05348595218561</v>
      </c>
      <c r="H16" s="167">
        <f t="shared" si="3"/>
        <v>21.775600174839369</v>
      </c>
      <c r="I16" s="167">
        <f t="shared" si="3"/>
        <v>16.65833413375212</v>
      </c>
      <c r="J16" s="168">
        <f t="shared" si="3"/>
        <v>138.74635383499998</v>
      </c>
      <c r="K16" s="168">
        <f t="shared" si="3"/>
        <v>106.14096068377499</v>
      </c>
      <c r="L16" s="169">
        <f t="shared" ca="1" si="3"/>
        <v>999.85278076971281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92" t="s">
        <v>246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40" zoomScaleNormal="80" workbookViewId="0"/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0" t="s">
        <v>272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6" t="s">
        <v>315</v>
      </c>
      <c r="I4" s="266"/>
      <c r="K4" s="308" t="s">
        <v>253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0" t="s">
        <v>310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-4763.4402369984537</v>
      </c>
      <c r="U10" s="178">
        <f>'Données projet'!D9</f>
        <v>2.6824699999999999</v>
      </c>
      <c r="V10" s="177">
        <f>U10*T10</f>
        <v>-12777.785532541242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-2889.5839895181171</v>
      </c>
      <c r="U11" s="178">
        <f>'Données projet'!D10</f>
        <v>1.1496299999999999</v>
      </c>
      <c r="V11" s="177">
        <f t="shared" ref="V11" si="0">U11*T11</f>
        <v>-3321.9524418697129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11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11"/>
      <c r="H16" s="190"/>
      <c r="I16" s="191"/>
      <c r="J16" s="202"/>
      <c r="K16" s="208"/>
      <c r="L16" s="308" t="s">
        <v>254</v>
      </c>
      <c r="M16" s="30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1600*(0.86+0.3)+800+350+270+110</f>
        <v>3386</v>
      </c>
      <c r="F17" s="230"/>
      <c r="G17" s="311"/>
      <c r="I17" s="195"/>
      <c r="J17" s="202"/>
      <c r="K17" s="208"/>
      <c r="L17" s="268" t="s">
        <v>289</v>
      </c>
      <c r="M17" s="270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311"/>
      <c r="J18" s="202"/>
      <c r="K18" s="208"/>
      <c r="L18" s="268" t="s">
        <v>255</v>
      </c>
      <c r="M18" s="270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1337.9</v>
      </c>
      <c r="F19" s="230"/>
      <c r="G19" s="311"/>
      <c r="H19" s="212" t="s">
        <v>178</v>
      </c>
      <c r="I19" s="212" t="s">
        <v>287</v>
      </c>
      <c r="J19" s="93"/>
      <c r="K19" s="173"/>
      <c r="L19" s="308" t="s">
        <v>288</v>
      </c>
      <c r="M19" s="30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311"/>
      <c r="H20" s="190">
        <v>1</v>
      </c>
      <c r="I20" s="191">
        <f>20+(400/SUM(U10:U19)+20)+(200/SUM(U10:U19)+10)</f>
        <v>206.57211450640642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20+200/SUM(U10:U19)+10</f>
        <v>82.190704835468807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32</v>
      </c>
      <c r="C23" s="193">
        <v>5</v>
      </c>
      <c r="D23" s="182">
        <f>B23*C23</f>
        <v>160</v>
      </c>
      <c r="E23" s="193"/>
      <c r="F23" s="230"/>
      <c r="H23" s="190">
        <v>4</v>
      </c>
      <c r="I23" s="191">
        <v>20</v>
      </c>
      <c r="K23" s="208"/>
      <c r="L23" s="310" t="s">
        <v>260</v>
      </c>
      <c r="M23" s="310"/>
      <c r="N23" s="310"/>
      <c r="O23" s="23"/>
      <c r="P23" s="23"/>
      <c r="Q23" s="234"/>
      <c r="R23" s="23"/>
      <c r="S23" s="36" t="s">
        <v>264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-19810.292408942416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25</v>
      </c>
      <c r="B24" s="181">
        <f>'Données projet'!D37</f>
        <v>31</v>
      </c>
      <c r="C24" s="193">
        <v>5</v>
      </c>
      <c r="D24" s="182">
        <f t="shared" ref="D24:D42" si="2">B24*C24</f>
        <v>155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20+8%*(SUM(E17:E22)*U10+SUM(E$48:E53)*U11+SUM(E79:E84)*U12+SUM(E110:E115)*U13+SUM(E141:E146)*U14+SUM(E172:E177)*U15+SUM(E203:E208)*U16+SUM(E234:E239)*U17+SUM(E265:E270)*U18+SUM(E296:E301)*U19)/SUM(U10:U19)</f>
        <v>474.53280000000007</v>
      </c>
      <c r="K24" s="208"/>
      <c r="O24" s="23"/>
      <c r="P24" s="23"/>
      <c r="Q24" s="234"/>
      <c r="R24" s="23"/>
      <c r="S24" s="36" t="s">
        <v>261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31</v>
      </c>
      <c r="C25" s="193">
        <v>5</v>
      </c>
      <c r="D25" s="182">
        <f t="shared" si="2"/>
        <v>155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7">
        <f ca="1">T23-T24</f>
        <v>-19810.292408942416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30</v>
      </c>
      <c r="C26" s="193">
        <v>32</v>
      </c>
      <c r="D26" s="182">
        <f t="shared" si="2"/>
        <v>960</v>
      </c>
      <c r="E26" s="193"/>
      <c r="F26" s="233"/>
      <c r="G26" s="229"/>
      <c r="H26" s="190">
        <v>7</v>
      </c>
      <c r="I26" s="191">
        <v>20</v>
      </c>
      <c r="K26" s="208"/>
      <c r="L26" s="294" t="s">
        <v>258</v>
      </c>
      <c r="M26" s="295"/>
      <c r="N26" s="295"/>
      <c r="O26" s="295"/>
      <c r="P26" s="296"/>
      <c r="Q26" s="234"/>
      <c r="R26" s="23"/>
      <c r="S26" s="186" t="s">
        <v>265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40</v>
      </c>
      <c r="B27" s="181">
        <f>'Données projet'!D40</f>
        <v>28</v>
      </c>
      <c r="C27" s="193">
        <v>32</v>
      </c>
      <c r="D27" s="182">
        <f t="shared" si="2"/>
        <v>896</v>
      </c>
      <c r="E27" s="193"/>
      <c r="F27" s="233"/>
      <c r="G27" s="229"/>
      <c r="H27" s="190">
        <v>8</v>
      </c>
      <c r="I27" s="191">
        <v>20</v>
      </c>
      <c r="K27" s="208"/>
      <c r="L27" s="297"/>
      <c r="M27" s="298"/>
      <c r="N27" s="298"/>
      <c r="O27" s="298"/>
      <c r="P27" s="299"/>
      <c r="Q27" s="234"/>
      <c r="R27" s="23"/>
      <c r="S27" s="303" t="s">
        <v>267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45</v>
      </c>
      <c r="B28" s="181">
        <f>'Données projet'!D41</f>
        <v>26</v>
      </c>
      <c r="C28" s="193">
        <v>32</v>
      </c>
      <c r="D28" s="182">
        <f t="shared" si="2"/>
        <v>832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50</v>
      </c>
      <c r="B29" s="181">
        <f>'Données projet'!D42</f>
        <v>24</v>
      </c>
      <c r="C29" s="193">
        <v>32</v>
      </c>
      <c r="D29" s="182">
        <f t="shared" si="2"/>
        <v>768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327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55</v>
      </c>
      <c r="B30" s="181">
        <f>'Données projet'!D43</f>
        <v>21</v>
      </c>
      <c r="C30" s="193">
        <v>32</v>
      </c>
      <c r="D30" s="182">
        <f t="shared" si="2"/>
        <v>672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328</v>
      </c>
      <c r="U30" s="264">
        <f>SUM(E17:E22)*U10+SUM(E$48:E53)*U11+SUM(E79:E84)*U12+SUM(E110:E115)*U13+SUM(E141:E146)*U14+SUM(E172:E177)*U15+SUM(E203:E208)*U16+SUM(E234:E239)*U17+SUM(E265:E270)*U18+SUM(E296:E301)*U19</f>
        <v>21772.689286000001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60</v>
      </c>
      <c r="B31" s="181">
        <f>'Données projet'!D44</f>
        <v>19</v>
      </c>
      <c r="C31" s="193">
        <v>32</v>
      </c>
      <c r="D31" s="182">
        <f t="shared" si="2"/>
        <v>608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326</v>
      </c>
      <c r="U31" s="264">
        <f>SUM(I19:I23)*SUM(U10:U19)</f>
        <v>1259.8519999999999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65</v>
      </c>
      <c r="B32" s="181">
        <f>'Données projet'!D45</f>
        <v>17</v>
      </c>
      <c r="C32" s="193">
        <v>32</v>
      </c>
      <c r="D32" s="182">
        <f t="shared" si="2"/>
        <v>544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325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70</v>
      </c>
      <c r="B33" s="181">
        <f>'Données projet'!D46</f>
        <v>15</v>
      </c>
      <c r="C33" s="193">
        <v>32</v>
      </c>
      <c r="D33" s="182">
        <f t="shared" si="2"/>
        <v>480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24532.541286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75</v>
      </c>
      <c r="B34" s="181">
        <f>'Données projet'!D47</f>
        <v>13</v>
      </c>
      <c r="C34" s="193">
        <v>32</v>
      </c>
      <c r="D34" s="182">
        <f t="shared" si="2"/>
        <v>416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80</v>
      </c>
      <c r="B35" s="181">
        <f>'Données projet'!D48</f>
        <v>11</v>
      </c>
      <c r="C35" s="193">
        <v>32</v>
      </c>
      <c r="D35" s="182">
        <f t="shared" si="2"/>
        <v>352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85</v>
      </c>
      <c r="B36" s="181">
        <f>'Données projet'!D49</f>
        <v>10</v>
      </c>
      <c r="C36" s="193">
        <v>32</v>
      </c>
      <c r="D36" s="182">
        <f t="shared" si="2"/>
        <v>320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90</v>
      </c>
      <c r="B37" s="181">
        <f>'Données projet'!D50</f>
        <v>215</v>
      </c>
      <c r="C37" s="193">
        <v>32</v>
      </c>
      <c r="D37" s="182">
        <f t="shared" si="2"/>
        <v>6880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1600*(0.26+0.28)+800+350+270+110</f>
        <v>2394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1189.0999999999999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17</v>
      </c>
      <c r="B54" s="181">
        <f>'Données projet'!D62</f>
        <v>40.76</v>
      </c>
      <c r="C54" s="191">
        <v>5</v>
      </c>
      <c r="D54" s="179">
        <f>B54*C54</f>
        <v>203.79999999999998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23</v>
      </c>
      <c r="B55" s="181">
        <f>'Données projet'!D63</f>
        <v>57.75</v>
      </c>
      <c r="C55" s="191">
        <v>8.5</v>
      </c>
      <c r="D55" s="179">
        <f t="shared" ref="D55:D73" si="4">B55*C55</f>
        <v>490.875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29</v>
      </c>
      <c r="B56" s="181">
        <f>'Données projet'!D64</f>
        <v>54.64</v>
      </c>
      <c r="C56" s="191">
        <v>8.5</v>
      </c>
      <c r="D56" s="179">
        <f t="shared" si="4"/>
        <v>464.44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36</v>
      </c>
      <c r="B57" s="181">
        <f>'Données projet'!D65</f>
        <v>76.069999999999993</v>
      </c>
      <c r="C57" s="191">
        <v>15.5</v>
      </c>
      <c r="D57" s="179">
        <f t="shared" si="4"/>
        <v>1179.0849999999998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44</v>
      </c>
      <c r="B58" s="181">
        <f>'Données projet'!D66</f>
        <v>77.91</v>
      </c>
      <c r="C58" s="191">
        <v>15.5</v>
      </c>
      <c r="D58" s="179">
        <f t="shared" si="4"/>
        <v>1207.605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52</v>
      </c>
      <c r="B59" s="181">
        <f>'Données projet'!D67</f>
        <v>75.37</v>
      </c>
      <c r="C59" s="191">
        <v>29.5</v>
      </c>
      <c r="D59" s="179">
        <f t="shared" si="4"/>
        <v>2223.415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60</v>
      </c>
      <c r="B60" s="181">
        <f>'Données projet'!D68</f>
        <v>436.34</v>
      </c>
      <c r="C60" s="191">
        <v>29.5</v>
      </c>
      <c r="D60" s="179">
        <f t="shared" si="4"/>
        <v>12872.029999999999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2025-03-28T18:54:31Z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