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Zensolutions$\doc\2025\09\17\Z008BBJ5\"/>
    </mc:Choice>
  </mc:AlternateContent>
  <xr:revisionPtr revIDLastSave="0" documentId="13_ncr:1_{9DFA58C1-C66D-4B58-A55B-BAC631D7DA3F}" xr6:coauthVersionLast="47" xr6:coauthVersionMax="47" xr10:uidLastSave="{00000000-0000-0000-0000-000000000000}"/>
  <bookViews>
    <workbookView xWindow="-120" yWindow="-120" windowWidth="29040" windowHeight="1584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Table production Pin maritime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6" l="1"/>
  <c r="E17" i="6"/>
  <c r="G14" i="8"/>
  <c r="G43" i="8"/>
  <c r="G42" i="8"/>
  <c r="G41" i="8"/>
  <c r="G40" i="8"/>
  <c r="G39" i="8"/>
  <c r="G38" i="8"/>
  <c r="G37" i="8"/>
  <c r="G36" i="8"/>
  <c r="G35" i="8"/>
  <c r="G34" i="8"/>
  <c r="G16" i="8"/>
  <c r="G15" i="8"/>
  <c r="G13" i="8"/>
  <c r="G12" i="8"/>
  <c r="G11" i="8"/>
  <c r="G10" i="8"/>
  <c r="G9" i="8"/>
  <c r="G8" i="8"/>
  <c r="G7" i="8"/>
  <c r="G6" i="8"/>
  <c r="G5" i="8"/>
  <c r="G21" i="8"/>
  <c r="G22" i="8"/>
  <c r="G23" i="8"/>
  <c r="G24" i="8"/>
  <c r="G25" i="8"/>
  <c r="G26" i="8"/>
  <c r="G27" i="8"/>
  <c r="G28" i="8"/>
  <c r="G29" i="8"/>
  <c r="I20" i="6" l="1"/>
  <c r="I24" i="6"/>
  <c r="I22" i="6"/>
  <c r="I23" i="6"/>
  <c r="I21" i="6"/>
  <c r="E18" i="6"/>
  <c r="E53" i="6"/>
  <c r="E52" i="6"/>
  <c r="E51" i="6"/>
  <c r="E50" i="6"/>
  <c r="E49" i="6"/>
  <c r="E22" i="6"/>
  <c r="E21" i="6"/>
  <c r="E20" i="6"/>
  <c r="E19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<sst xmlns="http://schemas.openxmlformats.org/spreadsheetml/2006/main" count="1232" uniqueCount="336">
  <si>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</si>
  <si>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</si>
  <si>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</si>
  <si>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</si>
  <si>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</si>
  <si>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</si>
  <si>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</si>
  <si>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</si>
  <si>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</si>
  <si>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</si>
  <si>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</si>
  <si>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</si>
  <si>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</si>
  <si>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</si>
  <si>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</si>
  <si>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</si>
  <si>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</si>
  <si>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</si>
  <si>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</si>
  <si>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</si>
  <si>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</si>
  <si>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</si>
  <si>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</si>
  <si>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</si>
  <si>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</si>
  <si>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</si>
  <si>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</si>
  <si>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</si>
  <si>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</si>
  <si>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</si>
  <si>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</si>
  <si>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</si>
  <si>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</si>
  <si>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</si>
  <si>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</si>
  <si>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</si>
  <si>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</si>
  <si>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</si>
  <si>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</si>
  <si>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</si>
  <si>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</si>
  <si>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</si>
  <si>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</si>
  <si>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</si>
  <si>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</si>
  <si>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</si>
  <si>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</si>
  <si>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</si>
  <si>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</si>
  <si>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</si>
  <si>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</si>
  <si>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</si>
  <si>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</si>
  <si>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</si>
  <si>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</si>
  <si>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</si>
  <si>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</si>
  <si>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</si>
  <si>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</si>
  <si>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</si>
  <si>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</si>
  <si>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</si>
  <si>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</si>
  <si>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</si>
  <si>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</si>
  <si>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</si>
  <si>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</si>
  <si>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</si>
  <si>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</si>
  <si>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</si>
  <si>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</si>
  <si>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</si>
  <si>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</si>
  <si>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</si>
  <si>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</si>
  <si>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</si>
  <si>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</si>
  <si>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</si>
  <si>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</si>
  <si>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</si>
  <si>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</si>
  <si>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</si>
  <si>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</si>
  <si>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</si>
  <si>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</si>
  <si>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</si>
  <si>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</si>
  <si>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</si>
  <si>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</si>
  <si>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</si>
  <si>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</si>
  <si>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</si>
  <si>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</si>
  <si>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</si>
  <si>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</si>
  <si>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</si>
  <si>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</si>
  <si>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</si>
  <si>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</si>
  <si>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</si>
  <si>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</si>
  <si>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</si>
  <si>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</si>
  <si>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</si>
  <si>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</si>
  <si>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</si>
  <si>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</si>
  <si>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</si>
  <si>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</si>
  <si>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</si>
  <si>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</si>
  <si>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</si>
  <si>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</si>
  <si>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</si>
  <si>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</si>
  <si>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</si>
  <si>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</si>
  <si>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</si>
  <si>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</si>
  <si>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</si>
  <si>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</si>
  <si>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</si>
  <si>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</si>
  <si>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</si>
  <si>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</si>
  <si>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</si>
  <si>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</si>
  <si>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</si>
  <si>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</si>
  <si>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</si>
  <si>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</si>
  <si>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</si>
  <si>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</si>
  <si>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</si>
  <si>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</si>
  <si>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</si>
  <si>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</si>
  <si>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</si>
  <si>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</si>
  <si>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</si>
  <si>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</si>
  <si>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</si>
  <si>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</si>
  <si>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</si>
  <si>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</si>
  <si>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</si>
  <si>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</si>
  <si>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</si>
  <si>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</si>
  <si>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</si>
  <si>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</si>
  <si>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</si>
  <si>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</si>
  <si>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</si>
  <si>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</si>
  <si>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</si>
  <si>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</si>
  <si>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</si>
  <si>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</si>
  <si>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</si>
  <si>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</si>
  <si>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</si>
  <si>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</si>
  <si>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</si>
  <si>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</si>
  <si>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</si>
  <si>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</si>
  <si>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</si>
  <si>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</si>
  <si>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</si>
  <si>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</si>
  <si>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</si>
  <si>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</si>
  <si>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</si>
  <si>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</si>
  <si>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</si>
  <si>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</si>
  <si>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</si>
  <si>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</si>
  <si>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</si>
  <si>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</si>
  <si>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</si>
  <si>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</si>
  <si>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</si>
  <si>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</si>
  <si>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</si>
  <si>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</si>
  <si>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</si>
  <si>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</si>
  <si>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</si>
  <si>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</si>
  <si>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</si>
  <si>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</si>
  <si>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</si>
  <si>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</si>
  <si>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</si>
  <si>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</si>
  <si>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</si>
  <si>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</si>
  <si>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</si>
  <si>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</si>
  <si>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</si>
  <si>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</si>
  <si>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</si>
  <si>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</si>
  <si>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</si>
  <si>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</si>
  <si>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</si>
  <si>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</si>
  <si>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</si>
  <si>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</si>
  <si>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</si>
  <si>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</si>
  <si>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</si>
  <si>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</si>
  <si>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</si>
  <si>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</si>
  <si>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</si>
  <si>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</si>
  <si>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</si>
  <si>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</si>
  <si>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</si>
  <si>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</si>
  <si>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</si>
  <si>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</si>
  <si>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</si>
  <si>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</si>
  <si>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</si>
  <si>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</si>
  <si>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</si>
  <si>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</si>
  <si>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</si>
  <si>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</si>
  <si>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</si>
  <si>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</si>
  <si>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</si>
  <si>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</si>
  <si>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</si>
  <si>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</si>
  <si>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</si>
  <si>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</si>
  <si>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</si>
  <si>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</si>
  <si>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</si>
  <si>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</si>
  <si>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</si>
  <si>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</si>
  <si>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</si>
  <si>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</si>
  <si>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</si>
  <si>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</si>
  <si>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</si>
  <si>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</si>
  <si>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</si>
  <si>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</si>
  <si>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</si>
  <si>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</si>
  <si>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</si>
  <si>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</si>
  <si>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</si>
  <si>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</si>
  <si>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</si>
  <si>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</si>
  <si>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</si>
  <si>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</si>
  <si>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</si>
  <si>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</si>
  <si>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</si>
  <si>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</si>
  <si>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</si>
  <si>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</si>
  <si>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</si>
  <si>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</si>
  <si>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</si>
  <si>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</si>
  <si>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</si>
  <si>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</si>
  <si>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</si>
  <si>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</si>
  <si>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</si>
  <si>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</si>
  <si>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</si>
  <si>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</si>
  <si>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</si>
  <si>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</si>
  <si>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</si>
  <si>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</si>
  <si>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</si>
  <si>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</si>
  <si>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</si>
  <si>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</si>
  <si>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</si>
  <si>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</si>
  <si>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</si>
  <si>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</si>
  <si>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</si>
  <si>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</si>
  <si>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</si>
  <si>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</si>
  <si>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</si>
  <si>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</si>
  <si>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</si>
  <si>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</si>
  <si>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</si>
  <si>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</si>
  <si>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</si>
  <si>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</si>
  <si>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</si>
  <si>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</si>
  <si>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</si>
  <si>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</si>
  <si>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</si>
  <si>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</si>
  <si>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</si>
  <si>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</si>
  <si>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</si>
  <si>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</si>
  <si>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</si>
  <si>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</si>
  <si>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</si>
  <si>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</si>
  <si>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</si>
  <si>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</si>
  <si>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</si>
  <si>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/>
  </si>
  <si>
    <t>Âge (ans)</t>
  </si>
  <si>
    <t>Volume 
total (m³)</t>
  </si>
  <si>
    <t>Volume bois 
fort tige (m³/ha)</t>
  </si>
  <si>
    <t>N° éclaircie</t>
  </si>
  <si>
    <t>Volume bois fort 
tige éclairci (m³/ha)</t>
  </si>
  <si>
    <t>Volume éclaircie (m³)</t>
  </si>
  <si>
    <t>Classes de fertilité pour le Pin maritime (ONF)</t>
  </si>
  <si>
    <r>
      <t xml:space="preserve">Pin maritime </t>
    </r>
    <r>
      <rPr>
        <i/>
        <sz val="11"/>
        <color theme="1"/>
        <rFont val="Calibri"/>
        <family val="2"/>
        <scheme val="minor"/>
      </rPr>
      <t>Plaines centrales et du Nord</t>
    </r>
    <r>
      <rPr>
        <sz val="11"/>
        <color theme="1"/>
        <rFont val="Calibri"/>
        <family val="2"/>
        <scheme val="minor"/>
      </rPr>
      <t xml:space="preserve"> - Classe de fertilité 1 sur 3 - densité de tiges 1250</t>
    </r>
  </si>
  <si>
    <r>
      <t>Pin maritime</t>
    </r>
    <r>
      <rPr>
        <i/>
        <sz val="11"/>
        <color theme="1"/>
        <rFont val="Calibri"/>
        <family val="2"/>
        <scheme val="minor"/>
      </rPr>
      <t xml:space="preserve"> Plaines centrales et du Nord</t>
    </r>
    <r>
      <rPr>
        <sz val="11"/>
        <color theme="1"/>
        <rFont val="Calibri"/>
        <family val="2"/>
        <scheme val="minor"/>
      </rPr>
      <t xml:space="preserve"> - Classe de fertilité 2 sur 3 - densité de tiges 1250</t>
    </r>
  </si>
  <si>
    <r>
      <t xml:space="preserve">Pin maritime </t>
    </r>
    <r>
      <rPr>
        <i/>
        <sz val="11"/>
        <color theme="1"/>
        <rFont val="Calibri"/>
        <family val="2"/>
        <scheme val="minor"/>
      </rPr>
      <t>Plaines centrales et du Nord</t>
    </r>
    <r>
      <rPr>
        <sz val="11"/>
        <color theme="1"/>
        <rFont val="Calibri"/>
        <family val="2"/>
        <scheme val="minor"/>
      </rPr>
      <t xml:space="preserve"> - Classe de fertilité 3 sur 3 - densité de tiges 1250</t>
    </r>
  </si>
  <si>
    <t>Accroissement total moyen (m³/ha/an)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</si>
</sst>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21" borderId="1" xfId="0" applyFill="1" applyBorder="1" applyAlignment="1">
      <alignment horizontal="center" vertical="center"/>
    </xf>
    <xf numFmtId="164" fontId="0" fillId="21" borderId="1" xfId="0" applyNumberForma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1" fillId="21" borderId="1" xfId="0" applyFont="1" applyFill="1" applyBorder="1" applyAlignment="1">
      <alignment horizontal="center" vertical="center" wrapText="1"/>
    </xf>
    <xf numFmtId="0" fontId="1" fillId="21" borderId="0" xfId="0" applyFont="1" applyFill="1" applyAlignment="1">
      <alignment horizontal="center" vertical="center" wrapText="1"/>
    </xf>
    <xf numFmtId="0" fontId="0" fillId="21" borderId="0" xfId="0" applyFill="1" applyAlignment="1">
      <alignment vertical="center"/>
    </xf>
    <xf numFmtId="0" fontId="23" fillId="21" borderId="0" xfId="0" applyFont="1" applyFill="1" applyAlignment="1">
      <alignment horizontal="left" vertical="center"/>
    </xf>
    <xf numFmtId="0" fontId="0" fillId="21" borderId="0" xfId="0" applyFill="1" applyAlignment="1">
      <alignment horizontal="left" vertical="center"/>
    </xf>
    <xf numFmtId="164" fontId="0" fillId="21" borderId="0" xfId="0" applyNumberFormat="1" applyFill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3.0215418478863434</c:v>
                </c:pt>
                <c:pt idx="2">
                  <c:v>4.0882142365615106</c:v>
                </c:pt>
                <c:pt idx="3">
                  <c:v>5.5330029449878415</c:v>
                </c:pt>
                <c:pt idx="4">
                  <c:v>7.4904619536777686</c:v>
                </c:pt>
                <c:pt idx="5">
                  <c:v>10.143198697027399</c:v>
                </c:pt>
                <c:pt idx="6">
                  <c:v>13.739092273584617</c:v>
                </c:pt>
                <c:pt idx="7">
                  <c:v>18.614699878988485</c:v>
                </c:pt>
                <c:pt idx="8">
                  <c:v>25.227081644422793</c:v>
                </c:pt>
                <c:pt idx="9">
                  <c:v>34.197079809673824</c:v>
                </c:pt>
                <c:pt idx="10">
                  <c:v>46.368185670270002</c:v>
                </c:pt>
                <c:pt idx="11">
                  <c:v>60.806387369363868</c:v>
                </c:pt>
                <c:pt idx="12">
                  <c:v>75.154841693095705</c:v>
                </c:pt>
                <c:pt idx="13">
                  <c:v>89.433224652663043</c:v>
                </c:pt>
                <c:pt idx="14">
                  <c:v>103.65434792362198</c:v>
                </c:pt>
                <c:pt idx="15">
                  <c:v>117.82719554138386</c:v>
                </c:pt>
                <c:pt idx="16">
                  <c:v>120.50368841573476</c:v>
                </c:pt>
                <c:pt idx="17">
                  <c:v>123.17873298853851</c:v>
                </c:pt>
                <c:pt idx="18">
                  <c:v>125.85236526427531</c:v>
                </c:pt>
                <c:pt idx="19">
                  <c:v>128.52461958745749</c:v>
                </c:pt>
                <c:pt idx="20">
                  <c:v>131.19552875292825</c:v>
                </c:pt>
                <c:pt idx="21">
                  <c:v>77.088111983126907</c:v>
                </c:pt>
                <c:pt idx="22">
                  <c:v>101.73556539442349</c:v>
                </c:pt>
                <c:pt idx="23">
                  <c:v>126.23419946512728</c:v>
                </c:pt>
                <c:pt idx="24">
                  <c:v>150.61714980411784</c:v>
                </c:pt>
                <c:pt idx="25">
                  <c:v>174.90584046860872</c:v>
                </c:pt>
                <c:pt idx="26">
                  <c:v>147.95517411067519</c:v>
                </c:pt>
                <c:pt idx="27">
                  <c:v>164.66947441295125</c:v>
                </c:pt>
                <c:pt idx="28">
                  <c:v>181.34368368345903</c:v>
                </c:pt>
                <c:pt idx="29">
                  <c:v>197.98200893841303</c:v>
                </c:pt>
                <c:pt idx="30">
                  <c:v>214.58789130305834</c:v>
                </c:pt>
                <c:pt idx="31">
                  <c:v>185.12813798476125</c:v>
                </c:pt>
                <c:pt idx="32">
                  <c:v>201.00358266422018</c:v>
                </c:pt>
                <c:pt idx="33">
                  <c:v>216.84997998272078</c:v>
                </c:pt>
                <c:pt idx="34">
                  <c:v>232.66975188863583</c:v>
                </c:pt>
                <c:pt idx="35">
                  <c:v>248.46496383915087</c:v>
                </c:pt>
                <c:pt idx="36">
                  <c:v>218.35773715529604</c:v>
                </c:pt>
                <c:pt idx="37">
                  <c:v>233.42244664801697</c:v>
                </c:pt>
                <c:pt idx="38">
                  <c:v>248.46496383915087</c:v>
                </c:pt>
                <c:pt idx="39">
                  <c:v>263.48682168593842</c:v>
                </c:pt>
                <c:pt idx="40">
                  <c:v>278.48936400091276</c:v>
                </c:pt>
                <c:pt idx="41">
                  <c:v>248.84075611692757</c:v>
                </c:pt>
                <c:pt idx="42">
                  <c:v>262.36086804994289</c:v>
                </c:pt>
                <c:pt idx="43">
                  <c:v>275.86525948349646</c:v>
                </c:pt>
                <c:pt idx="44">
                  <c:v>289.35480857103522</c:v>
                </c:pt>
                <c:pt idx="45">
                  <c:v>302.83030487228268</c:v>
                </c:pt>
                <c:pt idx="46">
                  <c:v>274.36551974723051</c:v>
                </c:pt>
                <c:pt idx="47">
                  <c:v>287.10754659858617</c:v>
                </c:pt>
                <c:pt idx="48">
                  <c:v>299.83692694209088</c:v>
                </c:pt>
                <c:pt idx="49">
                  <c:v>312.55427347161009</c:v>
                </c:pt>
                <c:pt idx="50">
                  <c:v>325.26014493454323</c:v>
                </c:pt>
                <c:pt idx="51">
                  <c:v>297.96572801830712</c:v>
                </c:pt>
                <c:pt idx="52">
                  <c:v>309.93695192564945</c:v>
                </c:pt>
                <c:pt idx="53">
                  <c:v>321.89791317588953</c:v>
                </c:pt>
                <c:pt idx="54">
                  <c:v>333.84904696577183</c:v>
                </c:pt>
                <c:pt idx="55">
                  <c:v>345.79075477962868</c:v>
                </c:pt>
                <c:pt idx="56">
                  <c:v>318.90861058050916</c:v>
                </c:pt>
                <c:pt idx="57">
                  <c:v>329.36849727470803</c:v>
                </c:pt>
                <c:pt idx="58">
                  <c:v>339.82105523856927</c:v>
                </c:pt>
                <c:pt idx="59">
                  <c:v>350.26654178094645</c:v>
                </c:pt>
                <c:pt idx="60">
                  <c:v>360.70519760433905</c:v>
                </c:pt>
                <c:pt idx="61">
                  <c:v>336.83534260693517</c:v>
                </c:pt>
                <c:pt idx="62">
                  <c:v>346.5368071755866</c:v>
                </c:pt>
                <c:pt idx="63">
                  <c:v>356.23230957994457</c:v>
                </c:pt>
                <c:pt idx="64">
                  <c:v>365.92203505591777</c:v>
                </c:pt>
                <c:pt idx="65">
                  <c:v>375.60615822359955</c:v>
                </c:pt>
                <c:pt idx="66">
                  <c:v>352.87683705646697</c:v>
                </c:pt>
                <c:pt idx="67">
                  <c:v>361.82322940720059</c:v>
                </c:pt>
                <c:pt idx="68">
                  <c:v>370.76478640470526</c:v>
                </c:pt>
                <c:pt idx="69">
                  <c:v>379.70164117358587</c:v>
                </c:pt>
                <c:pt idx="70">
                  <c:v>388.63392005694874</c:v>
                </c:pt>
                <c:pt idx="71">
                  <c:v>366.66716434689442</c:v>
                </c:pt>
                <c:pt idx="72">
                  <c:v>374.48903994418214</c:v>
                </c:pt>
                <c:pt idx="73">
                  <c:v>382.30735640887292</c:v>
                </c:pt>
                <c:pt idx="74">
                  <c:v>390.12219684408683</c:v>
                </c:pt>
                <c:pt idx="75">
                  <c:v>397.93364074958487</c:v>
                </c:pt>
                <c:pt idx="76">
                  <c:v>378.95707974932702</c:v>
                </c:pt>
                <c:pt idx="77">
                  <c:v>386.02913755517039</c:v>
                </c:pt>
                <c:pt idx="78">
                  <c:v>393.09838129270616</c:v>
                </c:pt>
                <c:pt idx="79">
                  <c:v>400.16486874659671</c:v>
                </c:pt>
                <c:pt idx="80">
                  <c:v>407.22865549260911</c:v>
                </c:pt>
                <c:pt idx="81">
                  <c:v>389.37807388667096</c:v>
                </c:pt>
                <c:pt idx="82">
                  <c:v>395.7021417186665</c:v>
                </c:pt>
                <c:pt idx="83">
                  <c:v>402.02401961743982</c:v>
                </c:pt>
                <c:pt idx="84">
                  <c:v>408.34374690780305</c:v>
                </c:pt>
                <c:pt idx="85">
                  <c:v>414.66136159701699</c:v>
                </c:pt>
                <c:pt idx="86">
                  <c:v>398.30553085732475</c:v>
                </c:pt>
                <c:pt idx="87">
                  <c:v>404.25475518897275</c:v>
                </c:pt>
                <c:pt idx="88">
                  <c:v>410.20208650717785</c:v>
                </c:pt>
                <c:pt idx="89">
                  <c:v>416.14755615430454</c:v>
                </c:pt>
                <c:pt idx="90">
                  <c:v>422.09119450330417</c:v>
                </c:pt>
                <c:pt idx="91">
                  <c:v>406.85694369927222</c:v>
                </c:pt>
                <c:pt idx="92">
                  <c:v>412.06024430985258</c:v>
                </c:pt>
                <c:pt idx="93">
                  <c:v>417.26212693788688</c:v>
                </c:pt>
                <c:pt idx="94">
                  <c:v>422.46261177230508</c:v>
                </c:pt>
                <c:pt idx="95">
                  <c:v>427.66171846396492</c:v>
                </c:pt>
                <c:pt idx="96">
                  <c:v>412.43185413738064</c:v>
                </c:pt>
                <c:pt idx="97">
                  <c:v>417.63363625997869</c:v>
                </c:pt>
                <c:pt idx="98">
                  <c:v>422.8340220101843</c:v>
                </c:pt>
                <c:pt idx="99">
                  <c:v>428.03303100123225</c:v>
                </c:pt>
                <c:pt idx="100">
                  <c:v>433.2306823305874</c:v>
                </c:pt>
                <c:pt idx="101">
                  <c:v>2.1466615206600508E-12</c:v>
                </c:pt>
                <c:pt idx="102">
                  <c:v>2.1466615206600508E-12</c:v>
                </c:pt>
                <c:pt idx="103">
                  <c:v>2.1466615206600508E-12</c:v>
                </c:pt>
                <c:pt idx="104">
                  <c:v>2.1466615206600508E-12</c:v>
                </c:pt>
                <c:pt idx="105">
                  <c:v>2.1466615206600508E-12</c:v>
                </c:pt>
                <c:pt idx="106">
                  <c:v>2.1466615206600508E-12</c:v>
                </c:pt>
                <c:pt idx="107">
                  <c:v>2.1466615206600508E-12</c:v>
                </c:pt>
                <c:pt idx="108">
                  <c:v>2.1466615206600508E-12</c:v>
                </c:pt>
                <c:pt idx="109">
                  <c:v>2.1466615206600508E-12</c:v>
                </c:pt>
                <c:pt idx="110">
                  <c:v>2.1466615206600508E-12</c:v>
                </c:pt>
                <c:pt idx="111">
                  <c:v>2.1466615206600508E-12</c:v>
                </c:pt>
                <c:pt idx="112">
                  <c:v>2.1466615206600508E-12</c:v>
                </c:pt>
                <c:pt idx="113">
                  <c:v>2.1466615206600508E-12</c:v>
                </c:pt>
                <c:pt idx="114">
                  <c:v>2.1466615206600508E-12</c:v>
                </c:pt>
                <c:pt idx="115">
                  <c:v>2.1466615206600508E-12</c:v>
                </c:pt>
                <c:pt idx="116">
                  <c:v>2.1466615206600508E-12</c:v>
                </c:pt>
                <c:pt idx="117">
                  <c:v>2.1466615206600508E-12</c:v>
                </c:pt>
                <c:pt idx="118">
                  <c:v>2.1466615206600508E-12</c:v>
                </c:pt>
                <c:pt idx="119">
                  <c:v>2.1466615206600508E-12</c:v>
                </c:pt>
                <c:pt idx="120">
                  <c:v>2.1466615206600508E-12</c:v>
                </c:pt>
                <c:pt idx="121">
                  <c:v>2.1466615206600508E-12</c:v>
                </c:pt>
                <c:pt idx="122">
                  <c:v>2.1466615206600508E-12</c:v>
                </c:pt>
                <c:pt idx="123">
                  <c:v>2.1466615206600508E-12</c:v>
                </c:pt>
                <c:pt idx="124">
                  <c:v>2.1466615206600508E-12</c:v>
                </c:pt>
                <c:pt idx="125">
                  <c:v>2.1466615206600508E-12</c:v>
                </c:pt>
                <c:pt idx="126">
                  <c:v>2.1466615206600508E-12</c:v>
                </c:pt>
                <c:pt idx="127">
                  <c:v>2.1466615206600508E-12</c:v>
                </c:pt>
                <c:pt idx="128">
                  <c:v>2.1466615206600508E-12</c:v>
                </c:pt>
                <c:pt idx="129">
                  <c:v>2.1466615206600508E-12</c:v>
                </c:pt>
                <c:pt idx="130">
                  <c:v>2.1466615206600508E-12</c:v>
                </c:pt>
                <c:pt idx="131">
                  <c:v>2.1466615206600508E-12</c:v>
                </c:pt>
                <c:pt idx="132">
                  <c:v>2.1466615206600508E-12</c:v>
                </c:pt>
                <c:pt idx="133">
                  <c:v>2.1466615206600508E-12</c:v>
                </c:pt>
                <c:pt idx="134">
                  <c:v>2.1466615206600508E-12</c:v>
                </c:pt>
                <c:pt idx="135">
                  <c:v>2.1466615206600508E-12</c:v>
                </c:pt>
                <c:pt idx="136">
                  <c:v>2.1466615206600508E-12</c:v>
                </c:pt>
                <c:pt idx="137">
                  <c:v>2.1466615206600508E-12</c:v>
                </c:pt>
                <c:pt idx="138">
                  <c:v>2.1466615206600508E-12</c:v>
                </c:pt>
                <c:pt idx="139">
                  <c:v>2.1466615206600508E-12</c:v>
                </c:pt>
                <c:pt idx="140">
                  <c:v>2.1466615206600508E-12</c:v>
                </c:pt>
                <c:pt idx="141">
                  <c:v>2.1466615206600508E-12</c:v>
                </c:pt>
                <c:pt idx="142">
                  <c:v>2.1466615206600508E-12</c:v>
                </c:pt>
                <c:pt idx="143">
                  <c:v>2.1466615206600508E-12</c:v>
                </c:pt>
                <c:pt idx="144">
                  <c:v>2.1466615206600508E-12</c:v>
                </c:pt>
                <c:pt idx="145">
                  <c:v>2.1466615206600508E-12</c:v>
                </c:pt>
                <c:pt idx="146">
                  <c:v>2.1466615206600508E-12</c:v>
                </c:pt>
                <c:pt idx="147">
                  <c:v>2.1466615206600508E-12</c:v>
                </c:pt>
                <c:pt idx="148">
                  <c:v>2.1466615206600508E-12</c:v>
                </c:pt>
                <c:pt idx="149">
                  <c:v>2.1466615206600508E-12</c:v>
                </c:pt>
                <c:pt idx="150">
                  <c:v>2.1466615206600508E-12</c:v>
                </c:pt>
                <c:pt idx="151">
                  <c:v>2.1466615206600508E-12</c:v>
                </c:pt>
                <c:pt idx="152">
                  <c:v>2.1466615206600508E-12</c:v>
                </c:pt>
                <c:pt idx="153">
                  <c:v>2.1466615206600508E-12</c:v>
                </c:pt>
                <c:pt idx="154">
                  <c:v>2.1466615206600508E-12</c:v>
                </c:pt>
                <c:pt idx="155">
                  <c:v>2.1466615206600508E-12</c:v>
                </c:pt>
                <c:pt idx="156">
                  <c:v>2.1466615206600508E-12</c:v>
                </c:pt>
                <c:pt idx="157">
                  <c:v>2.1466615206600508E-12</c:v>
                </c:pt>
                <c:pt idx="158">
                  <c:v>2.1466615206600508E-12</c:v>
                </c:pt>
                <c:pt idx="159">
                  <c:v>2.1466615206600508E-12</c:v>
                </c:pt>
                <c:pt idx="160">
                  <c:v>2.1466615206600508E-12</c:v>
                </c:pt>
                <c:pt idx="161">
                  <c:v>2.1466615206600508E-12</c:v>
                </c:pt>
                <c:pt idx="162">
                  <c:v>2.1466615206600508E-12</c:v>
                </c:pt>
                <c:pt idx="163">
                  <c:v>2.1466615206600508E-12</c:v>
                </c:pt>
                <c:pt idx="164">
                  <c:v>2.1466615206600508E-12</c:v>
                </c:pt>
                <c:pt idx="165">
                  <c:v>2.1466615206600508E-12</c:v>
                </c:pt>
                <c:pt idx="166">
                  <c:v>2.1466615206600508E-12</c:v>
                </c:pt>
                <c:pt idx="167">
                  <c:v>2.1466615206600508E-12</c:v>
                </c:pt>
                <c:pt idx="168">
                  <c:v>2.1466615206600508E-12</c:v>
                </c:pt>
                <c:pt idx="169">
                  <c:v>2.1466615206600508E-12</c:v>
                </c:pt>
                <c:pt idx="170">
                  <c:v>2.1466615206600508E-12</c:v>
                </c:pt>
                <c:pt idx="171">
                  <c:v>2.1466615206600508E-12</c:v>
                </c:pt>
                <c:pt idx="172">
                  <c:v>2.1466615206600508E-12</c:v>
                </c:pt>
                <c:pt idx="173">
                  <c:v>2.1466615206600508E-12</c:v>
                </c:pt>
                <c:pt idx="174">
                  <c:v>2.1466615206600508E-12</c:v>
                </c:pt>
                <c:pt idx="175">
                  <c:v>2.1466615206600508E-12</c:v>
                </c:pt>
                <c:pt idx="176">
                  <c:v>2.1466615206600508E-12</c:v>
                </c:pt>
                <c:pt idx="177">
                  <c:v>2.1466615206600508E-12</c:v>
                </c:pt>
                <c:pt idx="178">
                  <c:v>2.1466615206600508E-12</c:v>
                </c:pt>
                <c:pt idx="179">
                  <c:v>2.1466615206600508E-12</c:v>
                </c:pt>
                <c:pt idx="180">
                  <c:v>2.1466615206600508E-12</c:v>
                </c:pt>
                <c:pt idx="181">
                  <c:v>2.1466615206600508E-12</c:v>
                </c:pt>
                <c:pt idx="182">
                  <c:v>2.1466615206600508E-12</c:v>
                </c:pt>
                <c:pt idx="183">
                  <c:v>2.1466615206600508E-12</c:v>
                </c:pt>
                <c:pt idx="184">
                  <c:v>2.1466615206600508E-12</c:v>
                </c:pt>
                <c:pt idx="185">
                  <c:v>2.1466615206600508E-12</c:v>
                </c:pt>
                <c:pt idx="186">
                  <c:v>2.1466615206600508E-12</c:v>
                </c:pt>
                <c:pt idx="187">
                  <c:v>2.1466615206600508E-12</c:v>
                </c:pt>
                <c:pt idx="188">
                  <c:v>2.1466615206600508E-12</c:v>
                </c:pt>
                <c:pt idx="189">
                  <c:v>2.1466615206600508E-12</c:v>
                </c:pt>
                <c:pt idx="190">
                  <c:v>2.1466615206600508E-12</c:v>
                </c:pt>
                <c:pt idx="191">
                  <c:v>2.1466615206600508E-12</c:v>
                </c:pt>
                <c:pt idx="192">
                  <c:v>2.1466615206600508E-12</c:v>
                </c:pt>
                <c:pt idx="193">
                  <c:v>2.1466615206600508E-12</c:v>
                </c:pt>
                <c:pt idx="194">
                  <c:v>2.1466615206600508E-12</c:v>
                </c:pt>
                <c:pt idx="195">
                  <c:v>2.1466615206600508E-12</c:v>
                </c:pt>
                <c:pt idx="196">
                  <c:v>2.1466615206600508E-12</c:v>
                </c:pt>
                <c:pt idx="197">
                  <c:v>2.1466615206600508E-12</c:v>
                </c:pt>
                <c:pt idx="198">
                  <c:v>2.1466615206600508E-12</c:v>
                </c:pt>
                <c:pt idx="199">
                  <c:v>2.1466615206600508E-12</c:v>
                </c:pt>
                <c:pt idx="200">
                  <c:v>2.1466615206600508E-12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2.0397432939884133</c:v>
                </c:pt>
                <c:pt idx="2">
                  <c:v>2.6829760538408944</c:v>
                </c:pt>
                <c:pt idx="3">
                  <c:v>3.5298867576630588</c:v>
                </c:pt>
                <c:pt idx="4">
                  <c:v>4.6452186645304847</c:v>
                </c:pt>
                <c:pt idx="5">
                  <c:v>6.114369113244396</c:v>
                </c:pt>
                <c:pt idx="6">
                  <c:v>8.050000432419484</c:v>
                </c:pt>
                <c:pt idx="7">
                  <c:v>10.600773332460987</c:v>
                </c:pt>
                <c:pt idx="8">
                  <c:v>13.962886123316288</c:v>
                </c:pt>
                <c:pt idx="9">
                  <c:v>18.395323666680991</c:v>
                </c:pt>
                <c:pt idx="10">
                  <c:v>24.240011891841522</c:v>
                </c:pt>
                <c:pt idx="11">
                  <c:v>31.948460112750467</c:v>
                </c:pt>
                <c:pt idx="12">
                  <c:v>42.116984925366928</c:v>
                </c:pt>
                <c:pt idx="13">
                  <c:v>55.533286740848155</c:v>
                </c:pt>
                <c:pt idx="14">
                  <c:v>73.238046821280349</c:v>
                </c:pt>
                <c:pt idx="15">
                  <c:v>96.606400323428815</c:v>
                </c:pt>
                <c:pt idx="16">
                  <c:v>127.45571380632833</c:v>
                </c:pt>
                <c:pt idx="17">
                  <c:v>168.18817914979039</c:v>
                </c:pt>
                <c:pt idx="18">
                  <c:v>132.94267889875593</c:v>
                </c:pt>
                <c:pt idx="19">
                  <c:v>152.37910925625914</c:v>
                </c:pt>
                <c:pt idx="20">
                  <c:v>171.75647380930539</c:v>
                </c:pt>
                <c:pt idx="21">
                  <c:v>191.08237954211253</c:v>
                </c:pt>
                <c:pt idx="22">
                  <c:v>210.36276549590184</c:v>
                </c:pt>
                <c:pt idx="23">
                  <c:v>229.60239141179957</c:v>
                </c:pt>
                <c:pt idx="24">
                  <c:v>179.14706633212703</c:v>
                </c:pt>
                <c:pt idx="25">
                  <c:v>198.62733012375523</c:v>
                </c:pt>
                <c:pt idx="26">
                  <c:v>218.09552356842508</c:v>
                </c:pt>
                <c:pt idx="27">
                  <c:v>237.52377602402171</c:v>
                </c:pt>
                <c:pt idx="28">
                  <c:v>256.91581388934122</c:v>
                </c:pt>
                <c:pt idx="29">
                  <c:v>276.27475474670393</c:v>
                </c:pt>
                <c:pt idx="30">
                  <c:v>233.31268211967912</c:v>
                </c:pt>
                <c:pt idx="31">
                  <c:v>251.56151191392937</c:v>
                </c:pt>
                <c:pt idx="32">
                  <c:v>269.78034634355674</c:v>
                </c:pt>
                <c:pt idx="33">
                  <c:v>287.97149577913348</c:v>
                </c:pt>
                <c:pt idx="34">
                  <c:v>306.13695480290909</c:v>
                </c:pt>
                <c:pt idx="35">
                  <c:v>324.81544955459071</c:v>
                </c:pt>
                <c:pt idx="36">
                  <c:v>343.47021661326585</c:v>
                </c:pt>
                <c:pt idx="37">
                  <c:v>274.38197994257007</c:v>
                </c:pt>
                <c:pt idx="38">
                  <c:v>289.29183260128065</c:v>
                </c:pt>
                <c:pt idx="39">
                  <c:v>304.1845136115399</c:v>
                </c:pt>
                <c:pt idx="40">
                  <c:v>319.06098210248143</c:v>
                </c:pt>
                <c:pt idx="41">
                  <c:v>333.92210044844751</c:v>
                </c:pt>
                <c:pt idx="42">
                  <c:v>348.76864799176593</c:v>
                </c:pt>
                <c:pt idx="43">
                  <c:v>363.60133230586069</c:v>
                </c:pt>
                <c:pt idx="44">
                  <c:v>378.42079852394357</c:v>
                </c:pt>
                <c:pt idx="45">
                  <c:v>313.03231042622389</c:v>
                </c:pt>
                <c:pt idx="46">
                  <c:v>330.02449466885184</c:v>
                </c:pt>
                <c:pt idx="47">
                  <c:v>346.99738254715658</c:v>
                </c:pt>
                <c:pt idx="48">
                  <c:v>363.95205054099227</c:v>
                </c:pt>
                <c:pt idx="49">
                  <c:v>380.88946666468718</c:v>
                </c:pt>
                <c:pt idx="50">
                  <c:v>397.81050583352845</c:v>
                </c:pt>
                <c:pt idx="51">
                  <c:v>414.7159624789158</c:v>
                </c:pt>
                <c:pt idx="52">
                  <c:v>431.60656099910983</c:v>
                </c:pt>
                <c:pt idx="53">
                  <c:v>366.23153939338681</c:v>
                </c:pt>
                <c:pt idx="54">
                  <c:v>379.53572417550527</c:v>
                </c:pt>
                <c:pt idx="55">
                  <c:v>392.82976423294866</c:v>
                </c:pt>
                <c:pt idx="56">
                  <c:v>406.11405125413404</c:v>
                </c:pt>
                <c:pt idx="57">
                  <c:v>419.38894921155457</c:v>
                </c:pt>
                <c:pt idx="58">
                  <c:v>432.65479715665145</c:v>
                </c:pt>
                <c:pt idx="59">
                  <c:v>445.91191165402819</c:v>
                </c:pt>
                <c:pt idx="60">
                  <c:v>459.16058891110265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N11" sqref="N1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70" t="s">
        <v>291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25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25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25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25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25">
      <c r="B18" s="270" t="s">
        <v>292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25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25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25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25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25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25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25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25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25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25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25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25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25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4" zoomScale="80" zoomScaleNormal="80" workbookViewId="0">
      <selection activeCell="E19" sqref="E19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75" t="s">
        <v>190</v>
      </c>
      <c r="D1" s="275"/>
      <c r="E1" s="27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76" t="s">
        <v>192</v>
      </c>
      <c r="C3" s="277"/>
      <c r="D3" s="277"/>
      <c r="E3" s="277"/>
      <c r="F3" s="278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81" t="s">
        <v>231</v>
      </c>
      <c r="B5" s="281"/>
      <c r="C5" s="24">
        <v>5.9</v>
      </c>
      <c r="D5" s="282" t="s">
        <v>229</v>
      </c>
      <c r="E5" s="283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80" t="s">
        <v>226</v>
      </c>
      <c r="B7" s="280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13</v>
      </c>
      <c r="C9" s="32">
        <v>0.2</v>
      </c>
      <c r="D9" s="33">
        <f t="shared" ref="D9:D18" si="0">C9*$C$5</f>
        <v>1.1800000000000002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36</v>
      </c>
      <c r="C10" s="32">
        <v>0.8</v>
      </c>
      <c r="D10" s="33">
        <f t="shared" si="0"/>
        <v>4.7200000000000006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79" t="s">
        <v>232</v>
      </c>
      <c r="B22" s="279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80" t="s">
        <v>227</v>
      </c>
      <c r="B30" s="280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23</v>
      </c>
      <c r="C36" s="60"/>
      <c r="D36" s="60">
        <v>0</v>
      </c>
      <c r="E36" s="51"/>
      <c r="F36" s="51"/>
      <c r="G36" s="51"/>
      <c r="H36" s="51"/>
      <c r="I36" s="49">
        <f>IFERROR(B36/A36,"")</f>
        <v>2.2999999999999998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15</v>
      </c>
      <c r="B37" s="60">
        <v>60</v>
      </c>
      <c r="C37" s="60"/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7.4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v>67</v>
      </c>
      <c r="C38" s="60">
        <v>1</v>
      </c>
      <c r="D38" s="60">
        <v>41</v>
      </c>
      <c r="E38" s="51"/>
      <c r="F38" s="51"/>
      <c r="G38" s="51">
        <v>0.8</v>
      </c>
      <c r="H38" s="51">
        <v>0.2</v>
      </c>
      <c r="I38" s="53">
        <f t="shared" si="1"/>
        <v>1.4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25</v>
      </c>
      <c r="B39" s="60">
        <v>90</v>
      </c>
      <c r="C39" s="60">
        <v>2</v>
      </c>
      <c r="D39" s="60">
        <v>23</v>
      </c>
      <c r="E39" s="51"/>
      <c r="F39" s="51"/>
      <c r="G39" s="51">
        <v>0.6</v>
      </c>
      <c r="H39" s="51">
        <v>0.4</v>
      </c>
      <c r="I39" s="49">
        <f t="shared" si="1"/>
        <v>12.8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30</v>
      </c>
      <c r="B40" s="60">
        <v>111</v>
      </c>
      <c r="C40" s="60">
        <v>3</v>
      </c>
      <c r="D40" s="60">
        <v>24</v>
      </c>
      <c r="E40" s="51">
        <v>0.05</v>
      </c>
      <c r="F40" s="51"/>
      <c r="G40" s="51">
        <v>0.5</v>
      </c>
      <c r="H40" s="51">
        <v>0.45</v>
      </c>
      <c r="I40" s="49">
        <f t="shared" si="1"/>
        <v>8.8000000000000007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35</v>
      </c>
      <c r="B41" s="60">
        <v>129</v>
      </c>
      <c r="C41" s="60">
        <v>4</v>
      </c>
      <c r="D41" s="60">
        <v>24</v>
      </c>
      <c r="E41" s="51"/>
      <c r="F41" s="51"/>
      <c r="G41" s="51"/>
      <c r="H41" s="51"/>
      <c r="I41" s="53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v>145</v>
      </c>
      <c r="C42" s="60">
        <v>5</v>
      </c>
      <c r="D42" s="60">
        <v>23</v>
      </c>
      <c r="E42" s="51"/>
      <c r="F42" s="51"/>
      <c r="G42" s="51"/>
      <c r="H42" s="51"/>
      <c r="I42" s="53">
        <f t="shared" si="1"/>
        <v>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45</v>
      </c>
      <c r="B43" s="60">
        <v>158</v>
      </c>
      <c r="C43" s="60">
        <v>6</v>
      </c>
      <c r="D43" s="60">
        <v>22</v>
      </c>
      <c r="E43" s="51"/>
      <c r="F43" s="51"/>
      <c r="G43" s="51"/>
      <c r="H43" s="51"/>
      <c r="I43" s="49">
        <f t="shared" si="1"/>
        <v>7.2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50</v>
      </c>
      <c r="B44" s="60">
        <v>170</v>
      </c>
      <c r="C44" s="60">
        <v>7</v>
      </c>
      <c r="D44" s="60">
        <v>21</v>
      </c>
      <c r="E44" s="51"/>
      <c r="F44" s="51"/>
      <c r="G44" s="51"/>
      <c r="H44" s="51"/>
      <c r="I44" s="49">
        <f t="shared" si="1"/>
        <v>6.8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55</v>
      </c>
      <c r="B45" s="60">
        <v>181</v>
      </c>
      <c r="C45" s="60">
        <v>8</v>
      </c>
      <c r="D45" s="60">
        <v>20</v>
      </c>
      <c r="E45" s="51"/>
      <c r="F45" s="51"/>
      <c r="G45" s="51"/>
      <c r="H45" s="51"/>
      <c r="I45" s="49">
        <f t="shared" si="1"/>
        <v>6.4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60</v>
      </c>
      <c r="B46" s="60">
        <v>189</v>
      </c>
      <c r="C46" s="60">
        <v>9</v>
      </c>
      <c r="D46" s="60">
        <v>18</v>
      </c>
      <c r="E46" s="51"/>
      <c r="F46" s="51"/>
      <c r="G46" s="51"/>
      <c r="H46" s="51"/>
      <c r="I46" s="49">
        <f t="shared" si="1"/>
        <v>5.6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65</v>
      </c>
      <c r="B47" s="60">
        <v>197</v>
      </c>
      <c r="C47" s="60">
        <v>10</v>
      </c>
      <c r="D47" s="60">
        <v>17</v>
      </c>
      <c r="E47" s="51"/>
      <c r="F47" s="51"/>
      <c r="G47" s="51"/>
      <c r="H47" s="51"/>
      <c r="I47" s="49">
        <f t="shared" si="1"/>
        <v>5.2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70</v>
      </c>
      <c r="B48" s="60">
        <v>204</v>
      </c>
      <c r="C48" s="60">
        <v>11</v>
      </c>
      <c r="D48" s="60">
        <v>16</v>
      </c>
      <c r="E48" s="51"/>
      <c r="F48" s="51"/>
      <c r="G48" s="51"/>
      <c r="H48" s="51"/>
      <c r="I48" s="49">
        <f t="shared" si="1"/>
        <v>4.8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75</v>
      </c>
      <c r="B49" s="60">
        <v>209</v>
      </c>
      <c r="C49" s="60">
        <v>12</v>
      </c>
      <c r="D49" s="60">
        <v>14</v>
      </c>
      <c r="E49" s="51"/>
      <c r="F49" s="51"/>
      <c r="G49" s="51"/>
      <c r="H49" s="51"/>
      <c r="I49" s="49">
        <f t="shared" si="1"/>
        <v>4.2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80</v>
      </c>
      <c r="B50" s="50">
        <v>214</v>
      </c>
      <c r="C50" s="50">
        <v>13</v>
      </c>
      <c r="D50" s="50">
        <v>13</v>
      </c>
      <c r="E50" s="51"/>
      <c r="F50" s="51"/>
      <c r="G50" s="51"/>
      <c r="H50" s="51"/>
      <c r="I50" s="49">
        <f t="shared" si="1"/>
        <v>3.8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85</v>
      </c>
      <c r="B51" s="50">
        <v>218</v>
      </c>
      <c r="C51" s="50">
        <v>14</v>
      </c>
      <c r="D51" s="50">
        <v>12</v>
      </c>
      <c r="E51" s="51"/>
      <c r="F51" s="51"/>
      <c r="G51" s="51"/>
      <c r="H51" s="51"/>
      <c r="I51" s="49">
        <f t="shared" si="1"/>
        <v>3.4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90</v>
      </c>
      <c r="B52" s="50">
        <v>222</v>
      </c>
      <c r="C52" s="50">
        <v>15</v>
      </c>
      <c r="D52" s="50">
        <v>11</v>
      </c>
      <c r="E52" s="51"/>
      <c r="F52" s="51"/>
      <c r="G52" s="51"/>
      <c r="H52" s="51"/>
      <c r="I52" s="49">
        <f t="shared" si="1"/>
        <v>3.2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95</v>
      </c>
      <c r="B53" s="50">
        <v>225</v>
      </c>
      <c r="C53" s="50">
        <v>16</v>
      </c>
      <c r="D53" s="50">
        <v>11</v>
      </c>
      <c r="E53" s="51"/>
      <c r="F53" s="51"/>
      <c r="G53" s="51"/>
      <c r="H53" s="51"/>
      <c r="I53" s="49">
        <f t="shared" si="1"/>
        <v>2.8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100</v>
      </c>
      <c r="B54" s="50">
        <v>228</v>
      </c>
      <c r="C54" s="50">
        <v>17</v>
      </c>
      <c r="D54" s="50">
        <v>228</v>
      </c>
      <c r="E54" s="51"/>
      <c r="F54" s="51"/>
      <c r="G54" s="51"/>
      <c r="H54" s="51"/>
      <c r="I54" s="49">
        <f t="shared" si="1"/>
        <v>2.8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maritime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17</v>
      </c>
      <c r="B62" s="60">
        <v>126.3</v>
      </c>
      <c r="C62" s="60">
        <v>1</v>
      </c>
      <c r="D62" s="60">
        <v>42</v>
      </c>
      <c r="E62" s="51">
        <v>0</v>
      </c>
      <c r="F62" s="51">
        <v>0</v>
      </c>
      <c r="G62" s="51">
        <v>1</v>
      </c>
      <c r="H62" s="51">
        <v>0</v>
      </c>
      <c r="I62" s="53">
        <f>IFERROR(B62/A62,"")</f>
        <v>7.4294117647058826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23</v>
      </c>
      <c r="B63" s="60">
        <v>173.8</v>
      </c>
      <c r="C63" s="60">
        <v>2</v>
      </c>
      <c r="D63" s="60">
        <v>54.099999999999994</v>
      </c>
      <c r="E63" s="51">
        <v>0</v>
      </c>
      <c r="F63" s="51">
        <v>0.2</v>
      </c>
      <c r="G63" s="51">
        <v>0.8</v>
      </c>
      <c r="H63" s="51">
        <v>0</v>
      </c>
      <c r="I63" s="49">
        <f>IF(A63&lt;&gt;0,(B63-(B62-D62))/(A63-A62),"")</f>
        <v>14.91666666666667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25</v>
      </c>
      <c r="B64" s="60">
        <v>149.80000000000001</v>
      </c>
      <c r="C64" s="60"/>
      <c r="D64" s="60"/>
      <c r="E64" s="51"/>
      <c r="F64" s="51"/>
      <c r="G64" s="51"/>
      <c r="H64" s="51"/>
      <c r="I64" s="49">
        <f>IF(A64&lt;&gt;0,(B64-(B63-D63))/(A64-A63),"")</f>
        <v>15.049999999999997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29</v>
      </c>
      <c r="B65" s="60">
        <v>210.1</v>
      </c>
      <c r="C65" s="60">
        <v>3</v>
      </c>
      <c r="D65" s="60">
        <v>47.6</v>
      </c>
      <c r="E65" s="51">
        <v>0.25</v>
      </c>
      <c r="F65" s="51">
        <v>0.25</v>
      </c>
      <c r="G65" s="51">
        <v>0.5</v>
      </c>
      <c r="H65" s="51">
        <v>0</v>
      </c>
      <c r="I65" s="49">
        <f>IF(A65&lt;&gt;0,(B65-(B64-D64))/(A65-A64),"")</f>
        <v>15.074999999999996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34</v>
      </c>
      <c r="B66" s="60">
        <v>233.4</v>
      </c>
      <c r="C66" s="60"/>
      <c r="D66" s="60"/>
      <c r="E66" s="51" t="s">
        <v>324</v>
      </c>
      <c r="F66" s="51" t="s">
        <v>324</v>
      </c>
      <c r="G66" s="51" t="s">
        <v>324</v>
      </c>
      <c r="H66" s="51" t="s">
        <v>324</v>
      </c>
      <c r="I66" s="49">
        <f t="shared" ref="I66:I81" si="2">IF(A66&lt;&gt;0,(B66-(B65-D65))/(A66-A65),"")</f>
        <v>14.180000000000001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36</v>
      </c>
      <c r="B67" s="60">
        <v>262.60000000000002</v>
      </c>
      <c r="C67" s="60">
        <v>4</v>
      </c>
      <c r="D67" s="60">
        <v>65.599999999999994</v>
      </c>
      <c r="E67" s="51" t="s">
        <v>324</v>
      </c>
      <c r="F67" s="51" t="s">
        <v>324</v>
      </c>
      <c r="G67" s="51" t="s">
        <v>324</v>
      </c>
      <c r="H67" s="51" t="s">
        <v>324</v>
      </c>
      <c r="I67" s="49">
        <f t="shared" si="2"/>
        <v>14.600000000000009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44</v>
      </c>
      <c r="B68" s="60">
        <v>290</v>
      </c>
      <c r="C68" s="60">
        <v>5</v>
      </c>
      <c r="D68" s="60">
        <v>64.5</v>
      </c>
      <c r="E68" s="51" t="s">
        <v>324</v>
      </c>
      <c r="F68" s="51" t="s">
        <v>324</v>
      </c>
      <c r="G68" s="51" t="s">
        <v>324</v>
      </c>
      <c r="H68" s="51" t="s">
        <v>324</v>
      </c>
      <c r="I68" s="49">
        <f t="shared" si="2"/>
        <v>11.624999999999996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52</v>
      </c>
      <c r="B69" s="50">
        <v>331.8</v>
      </c>
      <c r="C69" s="50">
        <v>6</v>
      </c>
      <c r="D69" s="50">
        <v>61.8</v>
      </c>
      <c r="E69" s="51" t="s">
        <v>324</v>
      </c>
      <c r="F69" s="51" t="s">
        <v>324</v>
      </c>
      <c r="G69" s="51" t="s">
        <v>324</v>
      </c>
      <c r="H69" s="51" t="s">
        <v>324</v>
      </c>
      <c r="I69" s="49">
        <f t="shared" si="2"/>
        <v>13.287500000000001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353.5</v>
      </c>
      <c r="C70" s="50">
        <v>7</v>
      </c>
      <c r="D70" s="50">
        <v>353.5</v>
      </c>
      <c r="E70" s="51" t="s">
        <v>324</v>
      </c>
      <c r="F70" s="51" t="s">
        <v>324</v>
      </c>
      <c r="G70" s="51" t="s">
        <v>324</v>
      </c>
      <c r="H70" s="51" t="s">
        <v>324</v>
      </c>
      <c r="I70" s="49">
        <f t="shared" si="2"/>
        <v>10.4375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 t="s">
        <v>324</v>
      </c>
      <c r="F71" s="51" t="s">
        <v>324</v>
      </c>
      <c r="G71" s="51" t="s">
        <v>324</v>
      </c>
      <c r="H71" s="51" t="s">
        <v>324</v>
      </c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 t="s">
        <v>324</v>
      </c>
      <c r="F72" s="51" t="s">
        <v>324</v>
      </c>
      <c r="G72" s="51" t="s">
        <v>324</v>
      </c>
      <c r="H72" s="51" t="s">
        <v>324</v>
      </c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 t="s">
        <v>324</v>
      </c>
      <c r="F73" s="51" t="s">
        <v>324</v>
      </c>
      <c r="G73" s="51" t="s">
        <v>324</v>
      </c>
      <c r="H73" s="51" t="s">
        <v>324</v>
      </c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 t="s">
        <v>324</v>
      </c>
      <c r="F74" s="51" t="s">
        <v>324</v>
      </c>
      <c r="G74" s="51" t="s">
        <v>324</v>
      </c>
      <c r="H74" s="51" t="s">
        <v>324</v>
      </c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2" sqref="F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85" t="s">
        <v>191</v>
      </c>
      <c r="C2" s="286"/>
      <c r="D2" s="286"/>
      <c r="E2" s="286"/>
      <c r="F2" s="286"/>
      <c r="G2" s="28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84"/>
      <c r="C4" s="284"/>
      <c r="D4" s="284"/>
      <c r="E4" s="284"/>
      <c r="F4" s="284"/>
      <c r="G4" s="284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91" t="s">
        <v>176</v>
      </c>
      <c r="C1" s="292"/>
      <c r="D1" s="292"/>
      <c r="E1" s="292"/>
      <c r="F1" s="292"/>
      <c r="G1" s="292"/>
      <c r="H1" s="293"/>
      <c r="I1" s="288" t="str">
        <f>IF('Données projet'!$B$9="","",'Données projet'!$B$9)</f>
        <v>Chêne rouge d'Amérique</v>
      </c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90"/>
      <c r="AD1" s="289" t="str">
        <f>IF('Données projet'!$B$10="","",'Données projet'!$B$10)</f>
        <v>Pin maritime</v>
      </c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90"/>
      <c r="AY1" s="288" t="str">
        <f>IF('Données projet'!$B$11="","",'Données projet'!$B$11)</f>
        <v/>
      </c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90"/>
      <c r="BT1" s="288" t="str">
        <f>IF('Données projet'!$B$12="","",'Données projet'!$B$12)</f>
        <v/>
      </c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90"/>
      <c r="CO1" s="288" t="str">
        <f>IF('Données projet'!$B$13="","",'Données projet'!$B$13)</f>
        <v/>
      </c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90"/>
      <c r="DJ1" s="288" t="str">
        <f>IF('Données projet'!$B$14="","",'Données projet'!$B$14)</f>
        <v/>
      </c>
      <c r="DK1" s="289"/>
      <c r="DL1" s="289"/>
      <c r="DM1" s="289"/>
      <c r="DN1" s="289"/>
      <c r="DO1" s="289"/>
      <c r="DP1" s="289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90"/>
      <c r="EE1" s="288" t="str">
        <f>IF('Données projet'!$B$15="","",'Données projet'!$B$15)</f>
        <v/>
      </c>
      <c r="EF1" s="289"/>
      <c r="EG1" s="289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9"/>
      <c r="EY1" s="290"/>
      <c r="EZ1" s="288" t="str">
        <f>IF('Données projet'!$B$16="","",'Données projet'!$B$16)</f>
        <v/>
      </c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9"/>
      <c r="FP1" s="289"/>
      <c r="FQ1" s="289"/>
      <c r="FR1" s="289"/>
      <c r="FS1" s="289"/>
      <c r="FT1" s="290"/>
      <c r="FU1" s="288" t="str">
        <f>IF('Données projet'!$B$17="","",'Données projet'!$B$17)</f>
        <v/>
      </c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9"/>
      <c r="GG1" s="289"/>
      <c r="GH1" s="289"/>
      <c r="GI1" s="289"/>
      <c r="GJ1" s="289"/>
      <c r="GK1" s="289"/>
      <c r="GL1" s="289"/>
      <c r="GM1" s="289"/>
      <c r="GN1" s="289"/>
      <c r="GO1" s="290"/>
      <c r="GP1" s="288" t="str">
        <f>IF('Données projet'!$B$18="","",'Données projet'!$B$18)</f>
        <v/>
      </c>
      <c r="GQ1" s="289"/>
      <c r="GR1" s="289"/>
      <c r="GS1" s="289"/>
      <c r="GT1" s="289"/>
      <c r="GU1" s="289"/>
      <c r="GV1" s="289"/>
      <c r="GW1" s="289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90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328.99319251806747</v>
      </c>
      <c r="T3" s="59">
        <f>IF('Données projet'!E9&gt;30,$R$33-$H$33,LOOKUP('Données projet'!$E$9,$A$3:$A$203,R3:R203)-LOOKUP('Données projet'!$E$9,$A$3:$A$203,$H$3:$H$203))</f>
        <v>270.36198290276695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274.23303062063621</v>
      </c>
      <c r="AO3" s="59">
        <f>IF('Données projet'!E10&gt;30,$AM$33-$H$33,LOOKUP('Données projet'!$E$10,$A$3:$A$203,AM3:AM203)-LOOKUP('Données projet'!$E$10,$A$3:$A$203,$H$3:$H$203))</f>
        <v>289.08677371938779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2.2999999999999998</v>
      </c>
      <c r="N4" s="13">
        <f>IF('Données projet'!$A$36&gt;35,N3+M4-V3,IF(A4&lt;'Données projet'!$A$36,$K$205^A4,IF(A4='Données projet'!$A$36,'Données projet'!$B$36,N3+M4-V3)))</f>
        <v>1.3682730833261529</v>
      </c>
      <c r="O4" s="13">
        <f>N4*VLOOKUP('Données projet'!$B$9,Paramètres!$A$1:$I$89,3,0)*VLOOKUP('Données projet'!$B$9,Paramètres!$A$1:$I$89,5,0)</f>
        <v>1.1953233655937274</v>
      </c>
      <c r="P4" s="13">
        <f>EXP(-1.0587+0.8836*LN(O4)+0.284)</f>
        <v>0.53953319778599107</v>
      </c>
      <c r="Q4" s="20">
        <f t="shared" ref="Q4:Q34" si="2">(O4+P4)*0.475*44/12</f>
        <v>3.0215418478863434</v>
      </c>
      <c r="R4" s="59">
        <f t="shared" si="0"/>
        <v>170.83397580081018</v>
      </c>
      <c r="S4" s="59">
        <f ca="1">AVERAGE(OFFSET($R$3,0,0,'Données projet'!$E$9+1,1))-AVERAGE(OFFSET($H$3,0,0,'Données projet'!$E$9+1,1))</f>
        <v>328.99319251806747</v>
      </c>
      <c r="T4" s="59">
        <f>$T$3</f>
        <v>270.36198290276695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7.4294117647058826</v>
      </c>
      <c r="AI4" s="13">
        <f>IF('Données projet'!$A$62&gt;35,AI3+AH4-AQ3,IF(A4&lt;'Données projet'!$A$62,$AF$205^A4,IF(A4='Données projet'!$A$62,'Données projet'!$B$62,AI3+AH4-AQ3)))</f>
        <v>1.3292661998652846</v>
      </c>
      <c r="AJ4" s="13">
        <f>AI4*VLOOKUP('Données projet'!$B$10,Paramètres!$A$1:$I$89,3,0)*VLOOKUP('Données projet'!$B$10,Paramètres!$A$1:$I$89,5,0)</f>
        <v>0.79490118751944028</v>
      </c>
      <c r="AK4" s="13">
        <f>EXP(-1.0587+0.8836*LN(AJ4)+0.284)</f>
        <v>0.37624328749783065</v>
      </c>
      <c r="AL4" s="20">
        <f t="shared" ref="AL4:AL67" si="4">(AJ4+AK4)*0.475*44/12</f>
        <v>2.0397432939884133</v>
      </c>
      <c r="AM4" s="59">
        <f t="shared" ref="AM4:AM67" si="5">AL4+(AD4+AE4)*44/12</f>
        <v>169.85217724691225</v>
      </c>
      <c r="AN4" s="59">
        <f ca="1">AVERAGE(OFFSET($AM$3,0,0,'Données projet'!$E$10+1,1))-AVERAGE(OFFSET($H$3,0,0,'Données projet'!$E$10+1,1))</f>
        <v>274.23303062063621</v>
      </c>
      <c r="AO4" s="59">
        <f>$AO$3</f>
        <v>289.08677371938779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2.2999999999999998</v>
      </c>
      <c r="N5" s="13">
        <f>IF('Données projet'!$A$36&gt;35,N4+M5-V4,IF(A5&lt;'Données projet'!$A$36,$K$205^A5,IF(A5='Données projet'!$A$36,'Données projet'!$B$36,N4+M5-V4)))</f>
        <v>1.8721712305548575</v>
      </c>
      <c r="O5" s="13">
        <f>N5*VLOOKUP('Données projet'!$B$9,Paramètres!$A$1:$I$89,3,0)*VLOOKUP('Données projet'!$B$9,Paramètres!$A$1:$I$89,5,0)</f>
        <v>1.6355287870127238</v>
      </c>
      <c r="P5" s="13">
        <f t="shared" ref="P5:P68" si="33">EXP(-1.0587+0.8836*LN(O5)+0.284)</f>
        <v>0.71177125311828726</v>
      </c>
      <c r="Q5" s="20">
        <f t="shared" si="2"/>
        <v>4.0882142365615106</v>
      </c>
      <c r="R5" s="59">
        <f t="shared" si="0"/>
        <v>174.68549552406233</v>
      </c>
      <c r="S5" s="59">
        <f ca="1">AVERAGE(OFFSET($R$3,0,0,'Données projet'!$E$9+1,1))-AVERAGE(OFFSET($H$3,0,0,'Données projet'!$E$9+1,1))</f>
        <v>328.99319251806747</v>
      </c>
      <c r="T5" s="59">
        <f t="shared" ref="T5:T68" si="34">$T$3</f>
        <v>270.36198290276695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7.4294117647058826</v>
      </c>
      <c r="AI5" s="13">
        <f>IF('Données projet'!$A$62&gt;35,AI4+AH5-AQ4,IF(A5&lt;'Données projet'!$A$62,$AF$205^A5,IF(A5='Données projet'!$A$62,'Données projet'!$B$62,AI4+AH5-AQ4)))</f>
        <v>1.7669486301042947</v>
      </c>
      <c r="AJ5" s="13">
        <f>AI5*VLOOKUP('Données projet'!$B$10,Paramètres!$A$1:$I$89,3,0)*VLOOKUP('Données projet'!$B$10,Paramètres!$A$1:$I$89,5,0)</f>
        <v>1.0566352808023685</v>
      </c>
      <c r="AK5" s="13">
        <f t="shared" ref="AK5:AK68" si="35">EXP(-1.0587+0.8836*LN(AJ5)+0.284)</f>
        <v>0.48382943910627924</v>
      </c>
      <c r="AL5" s="20">
        <f t="shared" si="4"/>
        <v>2.6829760538408944</v>
      </c>
      <c r="AM5" s="59">
        <f t="shared" si="5"/>
        <v>173.28025734134172</v>
      </c>
      <c r="AN5" s="59">
        <f ca="1">AVERAGE(OFFSET($AM$3,0,0,'Données projet'!$E$10+1,1))-AVERAGE(OFFSET($H$3,0,0,'Données projet'!$E$10+1,1))</f>
        <v>274.23303062063621</v>
      </c>
      <c r="AO5" s="59">
        <f t="shared" ref="AO5:AO68" si="36">$AO$3</f>
        <v>289.08677371938779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2.2999999999999998</v>
      </c>
      <c r="N6" s="13">
        <f>IF('Données projet'!$A$36&gt;35,N5+M6-V5,IF(A6&lt;'Données projet'!$A$36,$K$205^A6,IF(A6='Données projet'!$A$36,'Données projet'!$B$36,N5+M6-V5)))</f>
        <v>2.5616415021458128</v>
      </c>
      <c r="O6" s="13">
        <f>N6*VLOOKUP('Données projet'!$B$9,Paramètres!$A$1:$I$89,3,0)*VLOOKUP('Données projet'!$B$9,Paramètres!$A$1:$I$89,5,0)</f>
        <v>2.237850016274582</v>
      </c>
      <c r="P6" s="13">
        <f t="shared" si="33"/>
        <v>0.93899377989068589</v>
      </c>
      <c r="Q6" s="20">
        <f t="shared" si="2"/>
        <v>5.5330029449878415</v>
      </c>
      <c r="R6" s="59">
        <f t="shared" si="0"/>
        <v>178.88802351487271</v>
      </c>
      <c r="S6" s="59">
        <f ca="1">AVERAGE(OFFSET($R$3,0,0,'Données projet'!$E$9+1,1))-AVERAGE(OFFSET($H$3,0,0,'Données projet'!$E$9+1,1))</f>
        <v>328.99319251806747</v>
      </c>
      <c r="T6" s="59">
        <f t="shared" si="34"/>
        <v>270.36198290276695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7.4294117647058826</v>
      </c>
      <c r="AI6" s="13">
        <f>IF('Données projet'!$A$62&gt;35,AI5+AH6-AQ5,IF(A6&lt;'Données projet'!$A$62,$AF$205^A6,IF(A6='Données projet'!$A$62,'Données projet'!$B$62,AI5+AH6-AQ5)))</f>
        <v>2.3487450908959064</v>
      </c>
      <c r="AJ6" s="13">
        <f>AI6*VLOOKUP('Données projet'!$B$10,Paramètres!$A$1:$I$89,3,0)*VLOOKUP('Données projet'!$B$10,Paramètres!$A$1:$I$89,5,0)</f>
        <v>1.4045495643557522</v>
      </c>
      <c r="AK6" s="13">
        <f t="shared" si="35"/>
        <v>0.62217967449385092</v>
      </c>
      <c r="AL6" s="20">
        <f t="shared" si="4"/>
        <v>3.5298867576630588</v>
      </c>
      <c r="AM6" s="59">
        <f t="shared" si="5"/>
        <v>176.88490732754795</v>
      </c>
      <c r="AN6" s="59">
        <f ca="1">AVERAGE(OFFSET($AM$3,0,0,'Données projet'!$E$10+1,1))-AVERAGE(OFFSET($H$3,0,0,'Données projet'!$E$10+1,1))</f>
        <v>274.23303062063621</v>
      </c>
      <c r="AO6" s="59">
        <f t="shared" si="36"/>
        <v>289.08677371938779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2.2999999999999998</v>
      </c>
      <c r="N7" s="13">
        <f>IF('Données projet'!$A$36&gt;35,N6+M7-V6,IF(A7&lt;'Données projet'!$A$36,$K$205^A7,IF(A7='Données projet'!$A$36,'Données projet'!$B$36,N6+M7-V6)))</f>
        <v>3.5050251165172894</v>
      </c>
      <c r="O7" s="13">
        <f>N7*VLOOKUP('Données projet'!$B$9,Paramètres!$A$1:$I$89,3,0)*VLOOKUP('Données projet'!$B$9,Paramètres!$A$1:$I$89,5,0)</f>
        <v>3.0619899417895042</v>
      </c>
      <c r="P7" s="13">
        <f t="shared" si="33"/>
        <v>1.2387537636714157</v>
      </c>
      <c r="Q7" s="20">
        <f t="shared" si="2"/>
        <v>7.4904619536777686</v>
      </c>
      <c r="R7" s="59">
        <f t="shared" si="0"/>
        <v>183.57658401785471</v>
      </c>
      <c r="S7" s="59">
        <f ca="1">AVERAGE(OFFSET($R$3,0,0,'Données projet'!$E$9+1,1))-AVERAGE(OFFSET($H$3,0,0,'Données projet'!$E$9+1,1))</f>
        <v>328.99319251806747</v>
      </c>
      <c r="T7" s="59">
        <f t="shared" si="34"/>
        <v>270.36198290276695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7.4294117647058826</v>
      </c>
      <c r="AI7" s="13">
        <f>IF('Données projet'!$A$62&gt;35,AI6+AH7-AQ6,IF(A7&lt;'Données projet'!$A$62,$AF$205^A7,IF(A7='Données projet'!$A$62,'Données projet'!$B$62,AI6+AH7-AQ6)))</f>
        <v>3.1221074614274436</v>
      </c>
      <c r="AJ7" s="13">
        <f>AI7*VLOOKUP('Données projet'!$B$10,Paramètres!$A$1:$I$89,3,0)*VLOOKUP('Données projet'!$B$10,Paramètres!$A$1:$I$89,5,0)</f>
        <v>1.8670202619336114</v>
      </c>
      <c r="AK7" s="13">
        <f t="shared" si="35"/>
        <v>0.80009093301212153</v>
      </c>
      <c r="AL7" s="20">
        <f t="shared" si="4"/>
        <v>4.6452186645304847</v>
      </c>
      <c r="AM7" s="59">
        <f t="shared" si="5"/>
        <v>180.73134072870744</v>
      </c>
      <c r="AN7" s="59">
        <f ca="1">AVERAGE(OFFSET($AM$3,0,0,'Données projet'!$E$10+1,1))-AVERAGE(OFFSET($H$3,0,0,'Données projet'!$E$10+1,1))</f>
        <v>274.23303062063621</v>
      </c>
      <c r="AO7" s="59">
        <f t="shared" si="36"/>
        <v>289.08677371938779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2.2999999999999998</v>
      </c>
      <c r="N8" s="13">
        <f>IF('Données projet'!$A$36&gt;35,N7+M8-V7,IF(A8&lt;'Données projet'!$A$36,$K$205^A8,IF(A8='Données projet'!$A$36,'Données projet'!$B$36,N7+M8-V7)))</f>
        <v>4.79583152331272</v>
      </c>
      <c r="O8" s="13">
        <f>N8*VLOOKUP('Données projet'!$B$9,Paramètres!$A$1:$I$89,3,0)*VLOOKUP('Données projet'!$B$9,Paramètres!$A$1:$I$89,5,0)</f>
        <v>4.189638418765993</v>
      </c>
      <c r="P8" s="13">
        <f t="shared" si="33"/>
        <v>1.6342077230679199</v>
      </c>
      <c r="Q8" s="20">
        <f t="shared" si="2"/>
        <v>10.143198697027399</v>
      </c>
      <c r="R8" s="59">
        <f t="shared" si="0"/>
        <v>188.93424657347475</v>
      </c>
      <c r="S8" s="59">
        <f ca="1">AVERAGE(OFFSET($R$3,0,0,'Données projet'!$E$9+1,1))-AVERAGE(OFFSET($H$3,0,0,'Données projet'!$E$9+1,1))</f>
        <v>328.99319251806747</v>
      </c>
      <c r="T8" s="59">
        <f t="shared" si="34"/>
        <v>270.36198290276695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7.4294117647058826</v>
      </c>
      <c r="AI8" s="13">
        <f>IF('Données projet'!$A$62&gt;35,AI7+AH8-AQ7,IF(A8&lt;'Données projet'!$A$62,$AF$205^A8,IF(A8='Données projet'!$A$62,'Données projet'!$B$62,AI7+AH8-AQ7)))</f>
        <v>4.1501119208227086</v>
      </c>
      <c r="AJ8" s="13">
        <f>AI8*VLOOKUP('Données projet'!$B$10,Paramètres!$A$1:$I$89,3,0)*VLOOKUP('Données projet'!$B$10,Paramètres!$A$1:$I$89,5,0)</f>
        <v>2.4817669286519797</v>
      </c>
      <c r="AK8" s="13">
        <f t="shared" si="35"/>
        <v>1.0288756244070036</v>
      </c>
      <c r="AL8" s="20">
        <f t="shared" si="4"/>
        <v>6.114369113244396</v>
      </c>
      <c r="AM8" s="59">
        <f t="shared" si="5"/>
        <v>184.90541698969176</v>
      </c>
      <c r="AN8" s="59">
        <f ca="1">AVERAGE(OFFSET($AM$3,0,0,'Données projet'!$E$10+1,1))-AVERAGE(OFFSET($H$3,0,0,'Données projet'!$E$10+1,1))</f>
        <v>274.23303062063621</v>
      </c>
      <c r="AO8" s="59">
        <f t="shared" si="36"/>
        <v>289.08677371938779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2.2999999999999998</v>
      </c>
      <c r="N9" s="13">
        <f>IF('Données projet'!$A$36&gt;35,N8+M9-V8,IF(A9&lt;'Données projet'!$A$36,$K$205^A9,IF(A9='Données projet'!$A$36,'Données projet'!$B$36,N8+M9-V8)))</f>
        <v>6.5620071855158564</v>
      </c>
      <c r="O9" s="13">
        <f>N9*VLOOKUP('Données projet'!$B$9,Paramètres!$A$1:$I$89,3,0)*VLOOKUP('Données projet'!$B$9,Paramètres!$A$1:$I$89,5,0)</f>
        <v>5.7325694772666536</v>
      </c>
      <c r="P9" s="13">
        <f t="shared" si="33"/>
        <v>2.1559045554135094</v>
      </c>
      <c r="Q9" s="20">
        <f t="shared" si="2"/>
        <v>13.739092273584617</v>
      </c>
      <c r="R9" s="59">
        <f t="shared" si="0"/>
        <v>195.20934436984359</v>
      </c>
      <c r="S9" s="59">
        <f ca="1">AVERAGE(OFFSET($R$3,0,0,'Données projet'!$E$9+1,1))-AVERAGE(OFFSET($H$3,0,0,'Données projet'!$E$9+1,1))</f>
        <v>328.99319251806747</v>
      </c>
      <c r="T9" s="59">
        <f t="shared" si="34"/>
        <v>270.36198290276695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7.4294117647058826</v>
      </c>
      <c r="AI9" s="13">
        <f>IF('Données projet'!$A$62&gt;35,AI8+AH9-AQ8,IF(A9&lt;'Données projet'!$A$62,$AF$205^A9,IF(A9='Données projet'!$A$62,'Données projet'!$B$62,AI8+AH9-AQ8)))</f>
        <v>5.5166035020076185</v>
      </c>
      <c r="AJ9" s="13">
        <f>AI9*VLOOKUP('Données projet'!$B$10,Paramètres!$A$1:$I$89,3,0)*VLOOKUP('Données projet'!$B$10,Paramètres!$A$1:$I$89,5,0)</f>
        <v>3.2989288942005563</v>
      </c>
      <c r="AK9" s="13">
        <f t="shared" si="35"/>
        <v>1.3230809234565641</v>
      </c>
      <c r="AL9" s="20">
        <f t="shared" si="4"/>
        <v>8.050000432419484</v>
      </c>
      <c r="AM9" s="59">
        <f t="shared" si="5"/>
        <v>189.52025252867847</v>
      </c>
      <c r="AN9" s="59">
        <f ca="1">AVERAGE(OFFSET($AM$3,0,0,'Données projet'!$E$10+1,1))-AVERAGE(OFFSET($H$3,0,0,'Données projet'!$E$10+1,1))</f>
        <v>274.23303062063621</v>
      </c>
      <c r="AO9" s="59">
        <f t="shared" si="36"/>
        <v>289.08677371938779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2.2999999999999998</v>
      </c>
      <c r="N10" s="13">
        <f>IF('Données projet'!$A$36&gt;35,N9+M10-V9,IF(A10&lt;'Données projet'!$A$36,$K$205^A10,IF(A10='Données projet'!$A$36,'Données projet'!$B$36,N9+M10-V9)))</f>
        <v>8.9786178045341511</v>
      </c>
      <c r="O10" s="13">
        <f>N10*VLOOKUP('Données projet'!$B$9,Paramètres!$A$1:$I$89,3,0)*VLOOKUP('Données projet'!$B$9,Paramètres!$A$1:$I$89,5,0)</f>
        <v>7.8437205140410358</v>
      </c>
      <c r="P10" s="13">
        <f t="shared" si="33"/>
        <v>2.8441454451868036</v>
      </c>
      <c r="Q10" s="20">
        <f t="shared" si="2"/>
        <v>18.614699878988485</v>
      </c>
      <c r="R10" s="59">
        <f t="shared" si="0"/>
        <v>202.73888081472472</v>
      </c>
      <c r="S10" s="59">
        <f ca="1">AVERAGE(OFFSET($R$3,0,0,'Données projet'!$E$9+1,1))-AVERAGE(OFFSET($H$3,0,0,'Données projet'!$E$9+1,1))</f>
        <v>328.99319251806747</v>
      </c>
      <c r="T10" s="59">
        <f t="shared" si="34"/>
        <v>270.36198290276695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7.4294117647058826</v>
      </c>
      <c r="AI10" s="13">
        <f>IF('Données projet'!$A$62&gt;35,AI9+AH10-AQ9,IF(A10&lt;'Données projet'!$A$62,$AF$205^A10,IF(A10='Données projet'!$A$62,'Données projet'!$B$62,AI9+AH10-AQ9)))</f>
        <v>7.3330345732771889</v>
      </c>
      <c r="AJ10" s="13">
        <f>AI10*VLOOKUP('Données projet'!$B$10,Paramètres!$A$1:$I$89,3,0)*VLOOKUP('Données projet'!$B$10,Paramètres!$A$1:$I$89,5,0)</f>
        <v>4.3851546748197592</v>
      </c>
      <c r="AK10" s="13">
        <f t="shared" si="35"/>
        <v>1.7014137457320038</v>
      </c>
      <c r="AL10" s="20">
        <f t="shared" si="4"/>
        <v>10.600773332460987</v>
      </c>
      <c r="AM10" s="59">
        <f t="shared" si="5"/>
        <v>194.72495426819722</v>
      </c>
      <c r="AN10" s="59">
        <f ca="1">AVERAGE(OFFSET($AM$3,0,0,'Données projet'!$E$10+1,1))-AVERAGE(OFFSET($H$3,0,0,'Données projet'!$E$10+1,1))</f>
        <v>274.23303062063621</v>
      </c>
      <c r="AO10" s="59">
        <f t="shared" si="36"/>
        <v>289.08677371938779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2.2999999999999998</v>
      </c>
      <c r="N11" s="13">
        <f>IF('Données projet'!$A$36&gt;35,N10+M11-V10,IF(A11&lt;'Données projet'!$A$36,$K$205^A11,IF(A11='Données projet'!$A$36,'Données projet'!$B$36,N10+M11-V10)))</f>
        <v>12.285201067417038</v>
      </c>
      <c r="O11" s="13">
        <f>N11*VLOOKUP('Données projet'!$B$9,Paramètres!$A$1:$I$89,3,0)*VLOOKUP('Données projet'!$B$9,Paramètres!$A$1:$I$89,5,0)</f>
        <v>10.732351652495526</v>
      </c>
      <c r="P11" s="13">
        <f t="shared" si="33"/>
        <v>3.7520971385606225</v>
      </c>
      <c r="Q11" s="20">
        <f t="shared" si="2"/>
        <v>25.227081644422793</v>
      </c>
      <c r="R11" s="59">
        <f t="shared" si="0"/>
        <v>211.98035451064334</v>
      </c>
      <c r="S11" s="59">
        <f ca="1">AVERAGE(OFFSET($R$3,0,0,'Données projet'!$E$9+1,1))-AVERAGE(OFFSET($H$3,0,0,'Données projet'!$E$9+1,1))</f>
        <v>328.99319251806747</v>
      </c>
      <c r="T11" s="59">
        <f t="shared" si="34"/>
        <v>270.36198290276695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7.4294117647058826</v>
      </c>
      <c r="AI11" s="13">
        <f>IF('Données projet'!$A$62&gt;35,AI10+AH11-AQ10,IF(A11&lt;'Données projet'!$A$62,$AF$205^A11,IF(A11='Données projet'!$A$62,'Données projet'!$B$62,AI10+AH11-AQ10)))</f>
        <v>9.7475550007009151</v>
      </c>
      <c r="AJ11" s="13">
        <f>AI11*VLOOKUP('Données projet'!$B$10,Paramètres!$A$1:$I$89,3,0)*VLOOKUP('Données projet'!$B$10,Paramètres!$A$1:$I$89,5,0)</f>
        <v>5.8290378904191478</v>
      </c>
      <c r="AK11" s="13">
        <f t="shared" si="35"/>
        <v>2.1879302186619745</v>
      </c>
      <c r="AL11" s="20">
        <f t="shared" si="4"/>
        <v>13.962886123316288</v>
      </c>
      <c r="AM11" s="59">
        <f t="shared" si="5"/>
        <v>200.71615898953684</v>
      </c>
      <c r="AN11" s="59">
        <f ca="1">AVERAGE(OFFSET($AM$3,0,0,'Données projet'!$E$10+1,1))-AVERAGE(OFFSET($H$3,0,0,'Données projet'!$E$10+1,1))</f>
        <v>274.23303062063621</v>
      </c>
      <c r="AO11" s="59">
        <f t="shared" si="36"/>
        <v>289.08677371938779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2.2999999999999998</v>
      </c>
      <c r="N12" s="13">
        <f>IF('Données projet'!$A$36&gt;35,N11+M12-V11,IF(A12&lt;'Données projet'!$A$36,$K$205^A12,IF(A12='Données projet'!$A$36,'Données projet'!$B$36,N11+M12-V11)))</f>
        <v>16.809509943796456</v>
      </c>
      <c r="O12" s="13">
        <f>N12*VLOOKUP('Données projet'!$B$9,Paramètres!$A$1:$I$89,3,0)*VLOOKUP('Données projet'!$B$9,Paramètres!$A$1:$I$89,5,0)</f>
        <v>14.684787886900585</v>
      </c>
      <c r="P12" s="13">
        <f t="shared" si="33"/>
        <v>4.9498990851609408</v>
      </c>
      <c r="Q12" s="20">
        <f t="shared" si="2"/>
        <v>34.197079809673824</v>
      </c>
      <c r="R12" s="59">
        <f t="shared" si="0"/>
        <v>223.5550385622299</v>
      </c>
      <c r="S12" s="59">
        <f ca="1">AVERAGE(OFFSET($R$3,0,0,'Données projet'!$E$9+1,1))-AVERAGE(OFFSET($H$3,0,0,'Données projet'!$E$9+1,1))</f>
        <v>328.99319251806747</v>
      </c>
      <c r="T12" s="59">
        <f t="shared" si="34"/>
        <v>270.36198290276695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7.4294117647058826</v>
      </c>
      <c r="AI12" s="13">
        <f>IF('Données projet'!$A$62&gt;35,AI11+AH12-AQ11,IF(A12&lt;'Données projet'!$A$62,$AF$205^A12,IF(A12='Données projet'!$A$62,'Données projet'!$B$62,AI11+AH12-AQ11)))</f>
        <v>12.957095393759557</v>
      </c>
      <c r="AJ12" s="13">
        <f>AI12*VLOOKUP('Données projet'!$B$10,Paramètres!$A$1:$I$89,3,0)*VLOOKUP('Données projet'!$B$10,Paramètres!$A$1:$I$89,5,0)</f>
        <v>7.7483430454682152</v>
      </c>
      <c r="AK12" s="13">
        <f t="shared" si="35"/>
        <v>2.8135652798988611</v>
      </c>
      <c r="AL12" s="20">
        <f t="shared" si="4"/>
        <v>18.395323666680991</v>
      </c>
      <c r="AM12" s="59">
        <f t="shared" si="5"/>
        <v>207.75328241923705</v>
      </c>
      <c r="AN12" s="59">
        <f ca="1">AVERAGE(OFFSET($AM$3,0,0,'Données projet'!$E$10+1,1))-AVERAGE(OFFSET($H$3,0,0,'Données projet'!$E$10+1,1))</f>
        <v>274.23303062063621</v>
      </c>
      <c r="AO12" s="59">
        <f t="shared" si="36"/>
        <v>289.08677371938779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23</v>
      </c>
      <c r="L13" s="12">
        <f>VLOOKUP(A13,'Données projet'!$A$35:$I$55,9,0)</f>
        <v>2.2999999999999998</v>
      </c>
      <c r="M13" s="12">
        <f t="array" ref="M13">INDEX(L:L,MIN(IF(ISNUMBER(L13:L209),ROW(L13:L209),"")))</f>
        <v>2.2999999999999998</v>
      </c>
      <c r="N13" s="13">
        <f>IF('Données projet'!$A$36&gt;35,N12+M13-V12,IF(A13&lt;'Données projet'!$A$36,$K$205^A13,IF(A13='Données projet'!$A$36,'Données projet'!$B$36,N12+M13-V12)))</f>
        <v>23</v>
      </c>
      <c r="O13" s="13">
        <f>N13*VLOOKUP('Données projet'!$B$9,Paramètres!$A$1:$I$89,3,0)*VLOOKUP('Données projet'!$B$9,Paramètres!$A$1:$I$89,5,0)</f>
        <v>20.0928</v>
      </c>
      <c r="P13" s="13">
        <f t="shared" si="33"/>
        <v>6.5300817245569407</v>
      </c>
      <c r="Q13" s="20">
        <f t="shared" si="2"/>
        <v>46.368185670270002</v>
      </c>
      <c r="R13" s="59">
        <f t="shared" si="0"/>
        <v>238.3068476553149</v>
      </c>
      <c r="S13" s="59">
        <f ca="1">AVERAGE(OFFSET($R$3,0,0,'Données projet'!$E$9+1,1))-AVERAGE(OFFSET($H$3,0,0,'Données projet'!$E$9+1,1))</f>
        <v>328.99319251806747</v>
      </c>
      <c r="T13" s="59">
        <f t="shared" si="34"/>
        <v>270.36198290276695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7.4294117647058826</v>
      </c>
      <c r="AI13" s="13">
        <f>IF('Données projet'!$A$62&gt;35,AI12+AH13-AQ12,IF(A13&lt;'Données projet'!$A$62,$AF$205^A13,IF(A13='Données projet'!$A$62,'Données projet'!$B$62,AI12+AH13-AQ12)))</f>
        <v>17.223428955354748</v>
      </c>
      <c r="AJ13" s="13">
        <f>AI13*VLOOKUP('Données projet'!$B$10,Paramètres!$A$1:$I$89,3,0)*VLOOKUP('Données projet'!$B$10,Paramètres!$A$1:$I$89,5,0)</f>
        <v>10.29961051530214</v>
      </c>
      <c r="AK13" s="13">
        <f t="shared" si="35"/>
        <v>3.6180996618317494</v>
      </c>
      <c r="AL13" s="20">
        <f t="shared" si="4"/>
        <v>24.240011891841522</v>
      </c>
      <c r="AM13" s="59">
        <f t="shared" si="5"/>
        <v>216.17867387688642</v>
      </c>
      <c r="AN13" s="59">
        <f ca="1">AVERAGE(OFFSET($AM$3,0,0,'Données projet'!$E$10+1,1))-AVERAGE(OFFSET($H$3,0,0,'Données projet'!$E$10+1,1))</f>
        <v>274.23303062063621</v>
      </c>
      <c r="AO13" s="59">
        <f t="shared" si="36"/>
        <v>289.08677371938779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7.4</v>
      </c>
      <c r="N14" s="13">
        <f>IF('Données projet'!$A$36&gt;35,N13+M14-V13,IF(A14&lt;'Données projet'!$A$36,$K$205^A14,IF(A14='Données projet'!$A$36,'Données projet'!$B$36,N13+M14-V13)))</f>
        <v>30.4</v>
      </c>
      <c r="O14" s="13">
        <f>N14*VLOOKUP('Données projet'!$B$9,Paramètres!$A$1:$I$89,3,0)*VLOOKUP('Données projet'!$B$9,Paramètres!$A$1:$I$89,5,0)</f>
        <v>26.557440000000003</v>
      </c>
      <c r="P14" s="13">
        <f t="shared" si="33"/>
        <v>8.3553182981993483</v>
      </c>
      <c r="Q14" s="20">
        <f t="shared" si="2"/>
        <v>60.806387369363868</v>
      </c>
      <c r="R14" s="59">
        <f t="shared" si="0"/>
        <v>255.30218597847801</v>
      </c>
      <c r="S14" s="59">
        <f ca="1">AVERAGE(OFFSET($R$3,0,0,'Données projet'!$E$9+1,1))-AVERAGE(OFFSET($H$3,0,0,'Données projet'!$E$9+1,1))</f>
        <v>328.99319251806747</v>
      </c>
      <c r="T14" s="59">
        <f t="shared" si="34"/>
        <v>270.36198290276695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7.4294117647058826</v>
      </c>
      <c r="AI14" s="13">
        <f>IF('Données projet'!$A$62&gt;35,AI13+AH14-AQ13,IF(A14&lt;'Données projet'!$A$62,$AF$205^A14,IF(A14='Données projet'!$A$62,'Données projet'!$B$62,AI13+AH14-AQ13)))</f>
        <v>22.894521956134117</v>
      </c>
      <c r="AJ14" s="13">
        <f>AI14*VLOOKUP('Données projet'!$B$10,Paramètres!$A$1:$I$89,3,0)*VLOOKUP('Données projet'!$B$10,Paramètres!$A$1:$I$89,5,0)</f>
        <v>13.690924129768202</v>
      </c>
      <c r="AK14" s="13">
        <f t="shared" si="35"/>
        <v>4.6526893320980971</v>
      </c>
      <c r="AL14" s="20">
        <f t="shared" si="4"/>
        <v>31.948460112750467</v>
      </c>
      <c r="AM14" s="59">
        <f t="shared" si="5"/>
        <v>226.4442587218646</v>
      </c>
      <c r="AN14" s="59">
        <f ca="1">AVERAGE(OFFSET($AM$3,0,0,'Données projet'!$E$10+1,1))-AVERAGE(OFFSET($H$3,0,0,'Données projet'!$E$10+1,1))</f>
        <v>274.23303062063621</v>
      </c>
      <c r="AO14" s="59">
        <f t="shared" si="36"/>
        <v>289.08677371938779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7.4</v>
      </c>
      <c r="N15" s="13">
        <f>IF('Données projet'!$A$36&gt;35,N14+M15-V14,IF(A15&lt;'Données projet'!$A$36,$K$205^A15,IF(A15='Données projet'!$A$36,'Données projet'!$B$36,N14+M15-V14)))</f>
        <v>37.799999999999997</v>
      </c>
      <c r="O15" s="13">
        <f>N15*VLOOKUP('Données projet'!$B$9,Paramètres!$A$1:$I$89,3,0)*VLOOKUP('Données projet'!$B$9,Paramètres!$A$1:$I$89,5,0)</f>
        <v>33.022080000000003</v>
      </c>
      <c r="P15" s="13">
        <f t="shared" si="33"/>
        <v>10.129025278332465</v>
      </c>
      <c r="Q15" s="20">
        <f t="shared" si="2"/>
        <v>75.154841693095705</v>
      </c>
      <c r="R15" s="59">
        <f t="shared" si="0"/>
        <v>272.18461914582861</v>
      </c>
      <c r="S15" s="59">
        <f ca="1">AVERAGE(OFFSET($R$3,0,0,'Données projet'!$E$9+1,1))-AVERAGE(OFFSET($H$3,0,0,'Données projet'!$E$9+1,1))</f>
        <v>328.99319251806747</v>
      </c>
      <c r="T15" s="59">
        <f t="shared" si="34"/>
        <v>270.36198290276695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7.4294117647058826</v>
      </c>
      <c r="AI15" s="13">
        <f>IF('Données projet'!$A$62&gt;35,AI14+AH15-AQ14,IF(A15&lt;'Données projet'!$A$62,$AF$205^A15,IF(A15='Données projet'!$A$62,'Données projet'!$B$62,AI14+AH15-AQ14)))</f>
        <v>30.432914198362717</v>
      </c>
      <c r="AJ15" s="13">
        <f>AI15*VLOOKUP('Données projet'!$B$10,Paramètres!$A$1:$I$89,3,0)*VLOOKUP('Données projet'!$B$10,Paramètres!$A$1:$I$89,5,0)</f>
        <v>18.198882690620906</v>
      </c>
      <c r="AK15" s="13">
        <f t="shared" si="35"/>
        <v>5.983118223465369</v>
      </c>
      <c r="AL15" s="20">
        <f t="shared" si="4"/>
        <v>42.116984925366928</v>
      </c>
      <c r="AM15" s="59">
        <f t="shared" si="5"/>
        <v>239.14676237809979</v>
      </c>
      <c r="AN15" s="59">
        <f ca="1">AVERAGE(OFFSET($AM$3,0,0,'Données projet'!$E$10+1,1))-AVERAGE(OFFSET($H$3,0,0,'Données projet'!$E$10+1,1))</f>
        <v>274.23303062063621</v>
      </c>
      <c r="AO15" s="59">
        <f t="shared" si="36"/>
        <v>289.08677371938779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7.4</v>
      </c>
      <c r="N16" s="13">
        <f>IF('Données projet'!$A$36&gt;35,N15+M16-V15,IF(A16&lt;'Données projet'!$A$36,$K$205^A16,IF(A16='Données projet'!$A$36,'Données projet'!$B$36,N15+M16-V15)))</f>
        <v>45.199999999999996</v>
      </c>
      <c r="O16" s="13">
        <f>N16*VLOOKUP('Données projet'!$B$9,Paramètres!$A$1:$I$89,3,0)*VLOOKUP('Données projet'!$B$9,Paramètres!$A$1:$I$89,5,0)</f>
        <v>39.486720000000005</v>
      </c>
      <c r="P16" s="13">
        <f t="shared" si="33"/>
        <v>11.862499896265861</v>
      </c>
      <c r="Q16" s="20">
        <f t="shared" si="2"/>
        <v>89.433224652663043</v>
      </c>
      <c r="R16" s="59">
        <f t="shared" si="0"/>
        <v>288.97422490428187</v>
      </c>
      <c r="S16" s="59">
        <f ca="1">AVERAGE(OFFSET($R$3,0,0,'Données projet'!$E$9+1,1))-AVERAGE(OFFSET($H$3,0,0,'Données projet'!$E$9+1,1))</f>
        <v>328.99319251806747</v>
      </c>
      <c r="T16" s="59">
        <f t="shared" si="34"/>
        <v>270.36198290276695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7.4294117647058826</v>
      </c>
      <c r="AI16" s="13">
        <f>IF('Données projet'!$A$62&gt;35,AI15+AH16-AQ15,IF(A16&lt;'Données projet'!$A$62,$AF$205^A16,IF(A16='Données projet'!$A$62,'Données projet'!$B$62,AI15+AH16-AQ15)))</f>
        <v>40.453444207283873</v>
      </c>
      <c r="AJ16" s="13">
        <f>AI16*VLOOKUP('Données projet'!$B$10,Paramètres!$A$1:$I$89,3,0)*VLOOKUP('Données projet'!$B$10,Paramètres!$A$1:$I$89,5,0)</f>
        <v>24.191159635955756</v>
      </c>
      <c r="AK16" s="13">
        <f t="shared" si="35"/>
        <v>7.6939810764929506</v>
      </c>
      <c r="AL16" s="20">
        <f t="shared" si="4"/>
        <v>55.533286740848155</v>
      </c>
      <c r="AM16" s="59">
        <f t="shared" si="5"/>
        <v>255.07428699246697</v>
      </c>
      <c r="AN16" s="59">
        <f ca="1">AVERAGE(OFFSET($AM$3,0,0,'Données projet'!$E$10+1,1))-AVERAGE(OFFSET($H$3,0,0,'Données projet'!$E$10+1,1))</f>
        <v>274.23303062063621</v>
      </c>
      <c r="AO16" s="59">
        <f t="shared" si="36"/>
        <v>289.08677371938779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7.4</v>
      </c>
      <c r="N17" s="13">
        <f>IF('Données projet'!$A$36&gt;35,N16+M17-V16,IF(A17&lt;'Données projet'!$A$36,$K$205^A17,IF(A17='Données projet'!$A$36,'Données projet'!$B$36,N16+M17-V16)))</f>
        <v>52.599999999999994</v>
      </c>
      <c r="O17" s="13">
        <f>N17*VLOOKUP('Données projet'!$B$9,Paramètres!$A$1:$I$89,3,0)*VLOOKUP('Données projet'!$B$9,Paramètres!$A$1:$I$89,5,0)</f>
        <v>45.951360000000001</v>
      </c>
      <c r="P17" s="13">
        <f t="shared" si="33"/>
        <v>13.563098137964777</v>
      </c>
      <c r="Q17" s="20">
        <f t="shared" si="2"/>
        <v>103.65434792362198</v>
      </c>
      <c r="R17" s="59">
        <f t="shared" si="0"/>
        <v>305.68420969589516</v>
      </c>
      <c r="S17" s="59">
        <f ca="1">AVERAGE(OFFSET($R$3,0,0,'Données projet'!$E$9+1,1))-AVERAGE(OFFSET($H$3,0,0,'Données projet'!$E$9+1,1))</f>
        <v>328.99319251806747</v>
      </c>
      <c r="T17" s="59">
        <f t="shared" si="34"/>
        <v>270.36198290276695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7.4294117647058826</v>
      </c>
      <c r="AI17" s="13">
        <f>IF('Données projet'!$A$62&gt;35,AI16+AH17-AQ16,IF(A17&lt;'Données projet'!$A$62,$AF$205^A17,IF(A17='Données projet'!$A$62,'Données projet'!$B$62,AI16+AH17-AQ16)))</f>
        <v>53.773396052878539</v>
      </c>
      <c r="AJ17" s="13">
        <f>AI17*VLOOKUP('Données projet'!$B$10,Paramètres!$A$1:$I$89,3,0)*VLOOKUP('Données projet'!$B$10,Paramètres!$A$1:$I$89,5,0)</f>
        <v>32.15649083962137</v>
      </c>
      <c r="AK17" s="13">
        <f t="shared" si="35"/>
        <v>9.8940623591998964</v>
      </c>
      <c r="AL17" s="20">
        <f t="shared" si="4"/>
        <v>73.238046821280349</v>
      </c>
      <c r="AM17" s="59">
        <f t="shared" si="5"/>
        <v>275.26790859355356</v>
      </c>
      <c r="AN17" s="59">
        <f ca="1">AVERAGE(OFFSET($AM$3,0,0,'Données projet'!$E$10+1,1))-AVERAGE(OFFSET($H$3,0,0,'Données projet'!$E$10+1,1))</f>
        <v>274.23303062063621</v>
      </c>
      <c r="AO17" s="59">
        <f t="shared" si="36"/>
        <v>289.08677371938779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60</v>
      </c>
      <c r="L18" s="12">
        <f>VLOOKUP(A18,'Données projet'!$A$35:$I$55,9,0)</f>
        <v>7.4</v>
      </c>
      <c r="M18" s="12">
        <f t="array" ref="M18">INDEX(L:L,MIN(IF(ISNUMBER(L18:L214),ROW(L18:L214),"")))</f>
        <v>7.4</v>
      </c>
      <c r="N18" s="13">
        <f>IF('Données projet'!$A$36&gt;35,N17+M18-V17,IF(A18&lt;'Données projet'!$A$36,$K$205^A18,IF(A18='Données projet'!$A$36,'Données projet'!$B$36,N17+M18-V17)))</f>
        <v>59.999999999999993</v>
      </c>
      <c r="O18" s="13">
        <f>N18*VLOOKUP('Données projet'!$B$9,Paramètres!$A$1:$I$89,3,0)*VLOOKUP('Données projet'!$B$9,Paramètres!$A$1:$I$89,5,0)</f>
        <v>52.416000000000004</v>
      </c>
      <c r="P18" s="13">
        <f t="shared" si="33"/>
        <v>15.235978301273029</v>
      </c>
      <c r="Q18" s="20">
        <f t="shared" si="2"/>
        <v>117.82719554138386</v>
      </c>
      <c r="R18" s="59">
        <f t="shared" si="0"/>
        <v>322.32394547426492</v>
      </c>
      <c r="S18" s="59">
        <f ca="1">AVERAGE(OFFSET($R$3,0,0,'Données projet'!$E$9+1,1))-AVERAGE(OFFSET($H$3,0,0,'Données projet'!$E$9+1,1))</f>
        <v>328.99319251806747</v>
      </c>
      <c r="T18" s="59">
        <f t="shared" si="34"/>
        <v>270.36198290276695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7.4294117647058826</v>
      </c>
      <c r="AI18" s="13">
        <f>IF('Données projet'!$A$62&gt;35,AI17+AH18-AQ17,IF(A18&lt;'Données projet'!$A$62,$AF$205^A18,IF(A18='Données projet'!$A$62,'Données projet'!$B$62,AI17+AH18-AQ17)))</f>
        <v>71.479157825060767</v>
      </c>
      <c r="AJ18" s="13">
        <f>AI18*VLOOKUP('Données projet'!$B$10,Paramètres!$A$1:$I$89,3,0)*VLOOKUP('Données projet'!$B$10,Paramètres!$A$1:$I$89,5,0)</f>
        <v>42.744536379386346</v>
      </c>
      <c r="AK18" s="13">
        <f t="shared" si="35"/>
        <v>12.723253279998616</v>
      </c>
      <c r="AL18" s="20">
        <f t="shared" si="4"/>
        <v>96.606400323428815</v>
      </c>
      <c r="AM18" s="59">
        <f t="shared" si="5"/>
        <v>301.10315025630985</v>
      </c>
      <c r="AN18" s="59">
        <f ca="1">AVERAGE(OFFSET($AM$3,0,0,'Données projet'!$E$10+1,1))-AVERAGE(OFFSET($H$3,0,0,'Données projet'!$E$10+1,1))</f>
        <v>274.23303062063621</v>
      </c>
      <c r="AO18" s="59">
        <f t="shared" si="36"/>
        <v>289.08677371938779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1.4</v>
      </c>
      <c r="N19" s="13">
        <f>IF('Données projet'!$A$36&gt;35,N18+M19-V18,IF(A19&lt;'Données projet'!$A$36,$K$205^A19,IF(A19='Données projet'!$A$36,'Données projet'!$B$36,N18+M19-V18)))</f>
        <v>61.399999999999991</v>
      </c>
      <c r="O19" s="13">
        <f>N19*VLOOKUP('Données projet'!$B$9,Paramètres!$A$1:$I$89,3,0)*VLOOKUP('Données projet'!$B$9,Paramètres!$A$1:$I$89,5,0)</f>
        <v>53.639040000000001</v>
      </c>
      <c r="P19" s="13">
        <f t="shared" si="33"/>
        <v>15.549680621474506</v>
      </c>
      <c r="Q19" s="20">
        <f t="shared" si="2"/>
        <v>120.50368841573476</v>
      </c>
      <c r="R19" s="59">
        <f t="shared" si="0"/>
        <v>327.44573433784882</v>
      </c>
      <c r="S19" s="59">
        <f ca="1">AVERAGE(OFFSET($R$3,0,0,'Données projet'!$E$9+1,1))-AVERAGE(OFFSET($H$3,0,0,'Données projet'!$E$9+1,1))</f>
        <v>328.99319251806747</v>
      </c>
      <c r="T19" s="59">
        <f t="shared" si="34"/>
        <v>270.36198290276695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7.4294117647058826</v>
      </c>
      <c r="AI19" s="13">
        <f>IF('Données projet'!$A$62&gt;35,AI18+AH19-AQ18,IF(A19&lt;'Données projet'!$A$62,$AF$205^A19,IF(A19='Données projet'!$A$62,'Données projet'!$B$62,AI18+AH19-AQ18)))</f>
        <v>95.014828491689414</v>
      </c>
      <c r="AJ19" s="13">
        <f>AI19*VLOOKUP('Données projet'!$B$10,Paramètres!$A$1:$I$89,3,0)*VLOOKUP('Données projet'!$B$10,Paramètres!$A$1:$I$89,5,0)</f>
        <v>56.818867438030274</v>
      </c>
      <c r="AK19" s="13">
        <f t="shared" si="35"/>
        <v>16.36144670914388</v>
      </c>
      <c r="AL19" s="20">
        <f t="shared" si="4"/>
        <v>127.45571380632833</v>
      </c>
      <c r="AM19" s="59">
        <f t="shared" si="5"/>
        <v>334.3977597284424</v>
      </c>
      <c r="AN19" s="59">
        <f ca="1">AVERAGE(OFFSET($AM$3,0,0,'Données projet'!$E$10+1,1))-AVERAGE(OFFSET($H$3,0,0,'Données projet'!$E$10+1,1))</f>
        <v>274.23303062063621</v>
      </c>
      <c r="AO19" s="59">
        <f t="shared" si="36"/>
        <v>289.08677371938779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1.4</v>
      </c>
      <c r="N20" s="13">
        <f>IF('Données projet'!$A$36&gt;35,N19+M20-V19,IF(A20&lt;'Données projet'!$A$36,$K$205^A20,IF(A20='Données projet'!$A$36,'Données projet'!$B$36,N19+M20-V19)))</f>
        <v>62.79999999999999</v>
      </c>
      <c r="O20" s="13">
        <f>N20*VLOOKUP('Données projet'!$B$9,Paramètres!$A$1:$I$89,3,0)*VLOOKUP('Données projet'!$B$9,Paramètres!$A$1:$I$89,5,0)</f>
        <v>54.862079999999999</v>
      </c>
      <c r="P20" s="13">
        <f t="shared" si="33"/>
        <v>15.862551380979047</v>
      </c>
      <c r="Q20" s="20">
        <f t="shared" si="2"/>
        <v>123.17873298853851</v>
      </c>
      <c r="R20" s="59">
        <f t="shared" si="0"/>
        <v>332.54485730441127</v>
      </c>
      <c r="S20" s="59">
        <f ca="1">AVERAGE(OFFSET($R$3,0,0,'Données projet'!$E$9+1,1))-AVERAGE(OFFSET($H$3,0,0,'Données projet'!$E$9+1,1))</f>
        <v>328.99319251806747</v>
      </c>
      <c r="T20" s="59">
        <f t="shared" si="34"/>
        <v>270.36198290276695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126.3</v>
      </c>
      <c r="AG20" s="12">
        <f>VLOOKUP(A20,'Données projet'!$A$61:$I$81,9,0)</f>
        <v>7.4294117647058826</v>
      </c>
      <c r="AH20" s="12">
        <f t="array" ref="AH20">INDEX(AG:AG,MIN(IF(ISNUMBER(AG20:AG216),ROW(AG20:AG216),"")))</f>
        <v>7.4294117647058826</v>
      </c>
      <c r="AI20" s="13">
        <f>IF('Données projet'!$A$62&gt;35,AI19+AH20-AQ19,IF(A20&lt;'Données projet'!$A$62,$AF$205^A20,IF(A20='Données projet'!$A$62,'Données projet'!$B$62,AI19+AH20-AQ19)))</f>
        <v>126.3</v>
      </c>
      <c r="AJ20" s="13">
        <f>AI20*VLOOKUP('Données projet'!$B$10,Paramètres!$A$1:$I$89,3,0)*VLOOKUP('Données projet'!$B$10,Paramètres!$A$1:$I$89,5,0)</f>
        <v>75.5274</v>
      </c>
      <c r="AK20" s="13">
        <f t="shared" si="35"/>
        <v>21.039975588396402</v>
      </c>
      <c r="AL20" s="20">
        <f t="shared" si="4"/>
        <v>168.18817914979039</v>
      </c>
      <c r="AM20" s="59">
        <f t="shared" si="5"/>
        <v>377.55430346566311</v>
      </c>
      <c r="AN20" s="59">
        <f ca="1">AVERAGE(OFFSET($AM$3,0,0,'Données projet'!$E$10+1,1))-AVERAGE(OFFSET($H$3,0,0,'Données projet'!$E$10+1,1))</f>
        <v>274.23303062063621</v>
      </c>
      <c r="AO20" s="59">
        <f t="shared" si="36"/>
        <v>289.08677371938779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42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1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28.437146384674719</v>
      </c>
      <c r="AX20" s="21">
        <f t="shared" si="6"/>
        <v>28.437146384674719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1.4</v>
      </c>
      <c r="N21" s="13">
        <f>IF('Données projet'!$A$36&gt;35,N20+M21-V20,IF(A21&lt;'Données projet'!$A$36,$K$205^A21,IF(A21='Données projet'!$A$36,'Données projet'!$B$36,N20+M21-V20)))</f>
        <v>64.199999999999989</v>
      </c>
      <c r="O21" s="13">
        <f>N21*VLOOKUP('Données projet'!$B$9,Paramètres!$A$1:$I$89,3,0)*VLOOKUP('Données projet'!$B$9,Paramètres!$A$1:$I$89,5,0)</f>
        <v>56.085119999999996</v>
      </c>
      <c r="P21" s="13">
        <f t="shared" si="33"/>
        <v>16.174611252215492</v>
      </c>
      <c r="Q21" s="20">
        <f t="shared" si="2"/>
        <v>125.85236526427531</v>
      </c>
      <c r="R21" s="59">
        <f t="shared" si="0"/>
        <v>337.62171845627842</v>
      </c>
      <c r="S21" s="59">
        <f ca="1">AVERAGE(OFFSET($R$3,0,0,'Données projet'!$E$9+1,1))-AVERAGE(OFFSET($H$3,0,0,'Données projet'!$E$9+1,1))</f>
        <v>328.99319251806747</v>
      </c>
      <c r="T21" s="59">
        <f t="shared" si="34"/>
        <v>270.36198290276695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14.91666666666667</v>
      </c>
      <c r="AI21" s="13">
        <f>IF('Données projet'!$A$62&gt;35,AI20+AH21-AQ20,IF(A21&lt;'Données projet'!$A$62,$AF$205^A21,IF(A21='Données projet'!$A$62,'Données projet'!$B$62,AI20+AH21-AQ20)))</f>
        <v>99.216666666666669</v>
      </c>
      <c r="AJ21" s="13">
        <f>AI21*VLOOKUP('Données projet'!$B$10,Paramètres!$A$1:$I$89,3,0)*VLOOKUP('Données projet'!$B$10,Paramètres!$A$1:$I$89,5,0)</f>
        <v>59.331566666666674</v>
      </c>
      <c r="AK21" s="13">
        <f t="shared" si="35"/>
        <v>16.999158059891762</v>
      </c>
      <c r="AL21" s="20">
        <f t="shared" si="4"/>
        <v>132.94267889875593</v>
      </c>
      <c r="AM21" s="59">
        <f t="shared" si="5"/>
        <v>344.71203209075907</v>
      </c>
      <c r="AN21" s="59">
        <f ca="1">AVERAGE(OFFSET($AM$3,0,0,'Données projet'!$E$10+1,1))-AVERAGE(OFFSET($H$3,0,0,'Données projet'!$E$10+1,1))</f>
        <v>274.23303062063621</v>
      </c>
      <c r="AO21" s="59">
        <f t="shared" si="36"/>
        <v>289.08677371938779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20.10809904619801</v>
      </c>
      <c r="AX21" s="21">
        <f t="shared" si="6"/>
        <v>20.10809904619801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1.4</v>
      </c>
      <c r="N22" s="13">
        <f>IF('Données projet'!$A$36&gt;35,N21+M22-V21,IF(A22&lt;'Données projet'!$A$36,$K$205^A22,IF(A22='Données projet'!$A$36,'Données projet'!$B$36,N21+M22-V21)))</f>
        <v>65.599999999999994</v>
      </c>
      <c r="O22" s="13">
        <f>N22*VLOOKUP('Données projet'!$B$9,Paramètres!$A$1:$I$89,3,0)*VLOOKUP('Données projet'!$B$9,Paramètres!$A$1:$I$89,5,0)</f>
        <v>57.308160000000001</v>
      </c>
      <c r="P22" s="13">
        <f t="shared" si="33"/>
        <v>16.485879954521049</v>
      </c>
      <c r="Q22" s="20">
        <f t="shared" si="2"/>
        <v>128.52461958745749</v>
      </c>
      <c r="R22" s="59">
        <f t="shared" si="0"/>
        <v>342.67671383048105</v>
      </c>
      <c r="S22" s="59">
        <f ca="1">AVERAGE(OFFSET($R$3,0,0,'Données projet'!$E$9+1,1))-AVERAGE(OFFSET($H$3,0,0,'Données projet'!$E$9+1,1))</f>
        <v>328.99319251806747</v>
      </c>
      <c r="T22" s="59">
        <f t="shared" si="34"/>
        <v>270.36198290276695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14.91666666666667</v>
      </c>
      <c r="AI22" s="13">
        <f>IF('Données projet'!$A$62&gt;35,AI21+AH22-AQ21,IF(A22&lt;'Données projet'!$A$62,$AF$205^A22,IF(A22='Données projet'!$A$62,'Données projet'!$B$62,AI21+AH22-AQ21)))</f>
        <v>114.13333333333334</v>
      </c>
      <c r="AJ22" s="13">
        <f>AI22*VLOOKUP('Données projet'!$B$10,Paramètres!$A$1:$I$89,3,0)*VLOOKUP('Données projet'!$B$10,Paramètres!$A$1:$I$89,5,0)</f>
        <v>68.251733333333348</v>
      </c>
      <c r="AK22" s="13">
        <f t="shared" si="35"/>
        <v>19.238664325762812</v>
      </c>
      <c r="AL22" s="20">
        <f t="shared" si="4"/>
        <v>152.37910925625914</v>
      </c>
      <c r="AM22" s="59">
        <f t="shared" si="5"/>
        <v>366.5312034992827</v>
      </c>
      <c r="AN22" s="59">
        <f ca="1">AVERAGE(OFFSET($AM$3,0,0,'Données projet'!$E$10+1,1))-AVERAGE(OFFSET($H$3,0,0,'Données projet'!$E$10+1,1))</f>
        <v>274.23303062063621</v>
      </c>
      <c r="AO22" s="59">
        <f t="shared" si="36"/>
        <v>289.08677371938779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14.218573192337363</v>
      </c>
      <c r="AX22" s="21">
        <f t="shared" si="6"/>
        <v>14.218573192337363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67</v>
      </c>
      <c r="L23" s="12">
        <f>VLOOKUP(A23,'Données projet'!$A$35:$I$55,9,0)</f>
        <v>1.4</v>
      </c>
      <c r="M23" s="12">
        <f t="array" ref="M23">INDEX(L:L,MIN(IF(ISNUMBER(L23:L219),ROW(L23:L219),"")))</f>
        <v>1.4</v>
      </c>
      <c r="N23" s="13">
        <f>IF('Données projet'!$A$36&gt;35,N22+M23-V22,IF(A23&lt;'Données projet'!$A$36,$K$205^A23,IF(A23='Données projet'!$A$36,'Données projet'!$B$36,N22+M23-V22)))</f>
        <v>67</v>
      </c>
      <c r="O23" s="13">
        <f>N23*VLOOKUP('Données projet'!$B$9,Paramètres!$A$1:$I$89,3,0)*VLOOKUP('Données projet'!$B$9,Paramètres!$A$1:$I$89,5,0)</f>
        <v>58.531200000000005</v>
      </c>
      <c r="P23" s="13">
        <f t="shared" si="33"/>
        <v>16.796376317470752</v>
      </c>
      <c r="Q23" s="20">
        <f t="shared" si="2"/>
        <v>131.19552875292825</v>
      </c>
      <c r="R23" s="59">
        <f t="shared" si="0"/>
        <v>347.71023163982397</v>
      </c>
      <c r="S23" s="59">
        <f ca="1">AVERAGE(OFFSET($R$3,0,0,'Données projet'!$E$9+1,1))-AVERAGE(OFFSET($H$3,0,0,'Données projet'!$E$9+1,1))</f>
        <v>328.99319251806747</v>
      </c>
      <c r="T23" s="59">
        <f t="shared" si="34"/>
        <v>270.36198290276695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41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0.8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27.035895693255966</v>
      </c>
      <c r="AC23" s="22">
        <f t="shared" si="3"/>
        <v>27.035895693255966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14.91666666666667</v>
      </c>
      <c r="AI23" s="13">
        <f>IF('Données projet'!$A$62&gt;35,AI22+AH23-AQ22,IF(A23&lt;'Données projet'!$A$62,$AF$205^A23,IF(A23='Données projet'!$A$62,'Données projet'!$B$62,AI22+AH23-AQ22)))</f>
        <v>129.05000000000001</v>
      </c>
      <c r="AJ23" s="13">
        <f>AI23*VLOOKUP('Données projet'!$B$10,Paramètres!$A$1:$I$89,3,0)*VLOOKUP('Données projet'!$B$10,Paramètres!$A$1:$I$89,5,0)</f>
        <v>77.171900000000008</v>
      </c>
      <c r="AK23" s="13">
        <f t="shared" si="35"/>
        <v>21.444257211084427</v>
      </c>
      <c r="AL23" s="20">
        <f t="shared" si="4"/>
        <v>171.75647380930539</v>
      </c>
      <c r="AM23" s="59">
        <f t="shared" si="5"/>
        <v>388.27117669620111</v>
      </c>
      <c r="AN23" s="59">
        <f ca="1">AVERAGE(OFFSET($AM$3,0,0,'Données projet'!$E$10+1,1))-AVERAGE(OFFSET($H$3,0,0,'Données projet'!$E$10+1,1))</f>
        <v>274.23303062063621</v>
      </c>
      <c r="AO23" s="59">
        <f t="shared" si="36"/>
        <v>289.08677371938779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10.054049523099007</v>
      </c>
      <c r="AX23" s="21">
        <f t="shared" si="6"/>
        <v>10.054049523099007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12.8</v>
      </c>
      <c r="N24" s="13">
        <f>IF('Données projet'!$A$36&gt;35,N23+M24-V23,IF(A24&lt;'Données projet'!$A$36,$K$205^A24,IF(A24='Données projet'!$A$36,'Données projet'!$B$36,N23+M24-V23)))</f>
        <v>38.799999999999997</v>
      </c>
      <c r="O24" s="13">
        <f>N24*VLOOKUP('Données projet'!$B$9,Paramètres!$A$1:$I$89,3,0)*VLOOKUP('Données projet'!$B$9,Paramètres!$A$1:$I$89,5,0)</f>
        <v>33.895680000000006</v>
      </c>
      <c r="P24" s="13">
        <f t="shared" si="33"/>
        <v>10.365436928111139</v>
      </c>
      <c r="Q24" s="20">
        <f t="shared" si="2"/>
        <v>77.088111983126907</v>
      </c>
      <c r="R24" s="59">
        <f t="shared" si="0"/>
        <v>295.94564035900129</v>
      </c>
      <c r="S24" s="59">
        <f ca="1">AVERAGE(OFFSET($R$3,0,0,'Données projet'!$E$9+1,1))-AVERAGE(OFFSET($H$3,0,0,'Données projet'!$E$9+1,1))</f>
        <v>328.99319251806747</v>
      </c>
      <c r="T24" s="59">
        <f t="shared" si="34"/>
        <v>270.36198290276695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19.117265180153471</v>
      </c>
      <c r="AC24" s="22">
        <f t="shared" si="3"/>
        <v>19.117265180153471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14.91666666666667</v>
      </c>
      <c r="AI24" s="13">
        <f>IF('Données projet'!$A$62&gt;35,AI23+AH24-AQ23,IF(A24&lt;'Données projet'!$A$62,$AF$205^A24,IF(A24='Données projet'!$A$62,'Données projet'!$B$62,AI23+AH24-AQ23)))</f>
        <v>143.96666666666667</v>
      </c>
      <c r="AJ24" s="13">
        <f>AI24*VLOOKUP('Données projet'!$B$10,Paramètres!$A$1:$I$89,3,0)*VLOOKUP('Données projet'!$B$10,Paramètres!$A$1:$I$89,5,0)</f>
        <v>86.092066666666668</v>
      </c>
      <c r="AK24" s="13">
        <f t="shared" si="35"/>
        <v>23.620304362297478</v>
      </c>
      <c r="AL24" s="20">
        <f t="shared" si="4"/>
        <v>191.08237954211253</v>
      </c>
      <c r="AM24" s="59">
        <f t="shared" si="5"/>
        <v>409.93990791798694</v>
      </c>
      <c r="AN24" s="59">
        <f ca="1">AVERAGE(OFFSET($AM$3,0,0,'Données projet'!$E$10+1,1))-AVERAGE(OFFSET($H$3,0,0,'Données projet'!$E$10+1,1))</f>
        <v>274.23303062063621</v>
      </c>
      <c r="AO24" s="59">
        <f t="shared" si="36"/>
        <v>289.08677371938779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7.1092865961686824</v>
      </c>
      <c r="AX24" s="21">
        <f t="shared" si="6"/>
        <v>7.1092865961686824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12.8</v>
      </c>
      <c r="N25" s="13">
        <f>IF('Données projet'!$A$36&gt;35,N24+M25-V24,IF(A25&lt;'Données projet'!$A$36,$K$205^A25,IF(A25='Données projet'!$A$36,'Données projet'!$B$36,N24+M25-V24)))</f>
        <v>51.599999999999994</v>
      </c>
      <c r="O25" s="13">
        <f>N25*VLOOKUP('Données projet'!$B$9,Paramètres!$A$1:$I$89,3,0)*VLOOKUP('Données projet'!$B$9,Paramètres!$A$1:$I$89,5,0)</f>
        <v>45.077760000000005</v>
      </c>
      <c r="P25" s="13">
        <f t="shared" si="33"/>
        <v>13.335004819764684</v>
      </c>
      <c r="Q25" s="20">
        <f t="shared" si="2"/>
        <v>101.73556539442349</v>
      </c>
      <c r="R25" s="59">
        <f t="shared" si="0"/>
        <v>322.9164792978919</v>
      </c>
      <c r="S25" s="59">
        <f ca="1">AVERAGE(OFFSET($R$3,0,0,'Données projet'!$E$9+1,1))-AVERAGE(OFFSET($H$3,0,0,'Données projet'!$E$9+1,1))</f>
        <v>328.99319251806747</v>
      </c>
      <c r="T25" s="59">
        <f t="shared" si="34"/>
        <v>270.36198290276695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13.517947846627985</v>
      </c>
      <c r="AC25" s="22">
        <f t="shared" si="3"/>
        <v>13.517947846627985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14.91666666666667</v>
      </c>
      <c r="AI25" s="13">
        <f>IF('Données projet'!$A$62&gt;35,AI24+AH25-AQ24,IF(A25&lt;'Données projet'!$A$62,$AF$205^A25,IF(A25='Données projet'!$A$62,'Données projet'!$B$62,AI24+AH25-AQ24)))</f>
        <v>158.88333333333333</v>
      </c>
      <c r="AJ25" s="13">
        <f>AI25*VLOOKUP('Données projet'!$B$10,Paramètres!$A$1:$I$89,3,0)*VLOOKUP('Données projet'!$B$10,Paramètres!$A$1:$I$89,5,0)</f>
        <v>95.012233333333327</v>
      </c>
      <c r="AK25" s="13">
        <f t="shared" si="35"/>
        <v>25.770215755222758</v>
      </c>
      <c r="AL25" s="20">
        <f t="shared" si="4"/>
        <v>210.36276549590184</v>
      </c>
      <c r="AM25" s="59">
        <f t="shared" si="5"/>
        <v>431.54367939937026</v>
      </c>
      <c r="AN25" s="59">
        <f ca="1">AVERAGE(OFFSET($AM$3,0,0,'Données projet'!$E$10+1,1))-AVERAGE(OFFSET($H$3,0,0,'Données projet'!$E$10+1,1))</f>
        <v>274.23303062063621</v>
      </c>
      <c r="AO25" s="59">
        <f t="shared" si="36"/>
        <v>289.08677371938779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5.0270247615495043</v>
      </c>
      <c r="AX25" s="21">
        <f t="shared" si="6"/>
        <v>5.0270247615495043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12.8</v>
      </c>
      <c r="N26" s="13">
        <f>IF('Données projet'!$A$36&gt;35,N25+M26-V25,IF(A26&lt;'Données projet'!$A$36,$K$205^A26,IF(A26='Données projet'!$A$36,'Données projet'!$B$36,N25+M26-V25)))</f>
        <v>64.399999999999991</v>
      </c>
      <c r="O26" s="13">
        <f>N26*VLOOKUP('Données projet'!$B$9,Paramètres!$A$1:$I$89,3,0)*VLOOKUP('Données projet'!$B$9,Paramètres!$A$1:$I$89,5,0)</f>
        <v>56.259840000000004</v>
      </c>
      <c r="P26" s="13">
        <f t="shared" si="33"/>
        <v>16.219126200073077</v>
      </c>
      <c r="Q26" s="20">
        <f t="shared" si="2"/>
        <v>126.23419946512728</v>
      </c>
      <c r="R26" s="59">
        <f t="shared" si="0"/>
        <v>349.71939617467376</v>
      </c>
      <c r="S26" s="59">
        <f ca="1">AVERAGE(OFFSET($R$3,0,0,'Données projet'!$E$9+1,1))-AVERAGE(OFFSET($H$3,0,0,'Données projet'!$E$9+1,1))</f>
        <v>328.99319251806747</v>
      </c>
      <c r="T26" s="59">
        <f t="shared" si="34"/>
        <v>270.36198290276695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9.558632590076737</v>
      </c>
      <c r="AC26" s="22">
        <f t="shared" si="3"/>
        <v>9.558632590076737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>
        <f>VLOOKUP(A26,'Données projet'!$A$61:$I$81,2,0)</f>
        <v>173.8</v>
      </c>
      <c r="AG26" s="12">
        <f>VLOOKUP(A26,'Données projet'!$A$61:$I$81,9,0)</f>
        <v>14.91666666666667</v>
      </c>
      <c r="AH26" s="12">
        <f t="array" ref="AH26">INDEX(AG:AG,MIN(IF(ISNUMBER(AG26:AG222),ROW(AG26:AG222),"")))</f>
        <v>14.91666666666667</v>
      </c>
      <c r="AI26" s="13">
        <f>IF('Données projet'!$A$62&gt;35,AI25+AH26-AQ25,IF(A26&lt;'Données projet'!$A$62,$AF$205^A26,IF(A26='Données projet'!$A$62,'Données projet'!$B$62,AI25+AH26-AQ25)))</f>
        <v>173.79999999999998</v>
      </c>
      <c r="AJ26" s="13">
        <f>AI26*VLOOKUP('Données projet'!$B$10,Paramètres!$A$1:$I$89,3,0)*VLOOKUP('Données projet'!$B$10,Paramètres!$A$1:$I$89,5,0)</f>
        <v>103.9324</v>
      </c>
      <c r="AK26" s="13">
        <f t="shared" si="35"/>
        <v>27.896724255578693</v>
      </c>
      <c r="AL26" s="20">
        <f t="shared" si="4"/>
        <v>229.60239141179957</v>
      </c>
      <c r="AM26" s="59">
        <f t="shared" si="5"/>
        <v>453.08758812134607</v>
      </c>
      <c r="AN26" s="59">
        <f ca="1">AVERAGE(OFFSET($AM$3,0,0,'Données projet'!$E$10+1,1))-AVERAGE(OFFSET($H$3,0,0,'Données projet'!$E$10+1,1))</f>
        <v>274.23303062063621</v>
      </c>
      <c r="AO26" s="59">
        <f t="shared" si="36"/>
        <v>289.08677371938779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54.099999999999994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9.0000000000000011E-2</v>
      </c>
      <c r="AT26" s="16">
        <f>IF(ISNA(VLOOKUP(A26,'Données projet'!$A$61:$I$81,7,0)),0%,VLOOKUP(A26,'Données projet'!$A$61:$I$81,7,0))</f>
        <v>0.8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3.8472991524223912</v>
      </c>
      <c r="AW26" s="21">
        <f>EXP(-LN(2)/2)*AW25+(1-EXP(-LN(2)/2))/(LN(2)/2)*AQ26*AT26*VLOOKUP('Données projet'!$B$10,Paramètres!$A$1:$I$89,3,0)*0.475*44/12</f>
        <v>32.858445572577722</v>
      </c>
      <c r="AX26" s="21">
        <f t="shared" si="6"/>
        <v>36.705744725000116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12.8</v>
      </c>
      <c r="N27" s="13">
        <f>IF('Données projet'!$A$36&gt;35,N26+M27-V26,IF(A27&lt;'Données projet'!$A$36,$K$205^A27,IF(A27='Données projet'!$A$36,'Données projet'!$B$36,N26+M27-V26)))</f>
        <v>77.199999999999989</v>
      </c>
      <c r="O27" s="13">
        <f>N27*VLOOKUP('Données projet'!$B$9,Paramètres!$A$1:$I$89,3,0)*VLOOKUP('Données projet'!$B$9,Paramètres!$A$1:$I$89,5,0)</f>
        <v>67.441919999999996</v>
      </c>
      <c r="P27" s="13">
        <f t="shared" si="33"/>
        <v>19.036826299015036</v>
      </c>
      <c r="Q27" s="20">
        <f t="shared" si="2"/>
        <v>150.61714980411784</v>
      </c>
      <c r="R27" s="59">
        <f t="shared" si="0"/>
        <v>376.38785798773768</v>
      </c>
      <c r="S27" s="59">
        <f ca="1">AVERAGE(OFFSET($R$3,0,0,'Données projet'!$E$9+1,1))-AVERAGE(OFFSET($H$3,0,0,'Données projet'!$E$9+1,1))</f>
        <v>328.99319251806747</v>
      </c>
      <c r="T27" s="59">
        <f t="shared" si="34"/>
        <v>270.36198290276695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6.7589739233139934</v>
      </c>
      <c r="AC27" s="22">
        <f t="shared" si="3"/>
        <v>6.7589739233139934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15.049999999999997</v>
      </c>
      <c r="AI27" s="13">
        <f>IF('Données projet'!$A$62&gt;35,AI26+AH27-AQ26,IF(A27&lt;'Données projet'!$A$62,$AF$205^A27,IF(A27='Données projet'!$A$62,'Données projet'!$B$62,AI26+AH27-AQ26)))</f>
        <v>134.74999999999997</v>
      </c>
      <c r="AJ27" s="13">
        <f>AI27*VLOOKUP('Données projet'!$B$10,Paramètres!$A$1:$I$89,3,0)*VLOOKUP('Données projet'!$B$10,Paramètres!$A$1:$I$89,5,0)</f>
        <v>80.580499999999986</v>
      </c>
      <c r="AK27" s="13">
        <f t="shared" si="35"/>
        <v>22.279059616532283</v>
      </c>
      <c r="AL27" s="20">
        <f t="shared" si="4"/>
        <v>179.14706633212703</v>
      </c>
      <c r="AM27" s="59">
        <f t="shared" si="5"/>
        <v>404.91777451574683</v>
      </c>
      <c r="AN27" s="59">
        <f ca="1">AVERAGE(OFFSET($AM$3,0,0,'Données projet'!$E$10+1,1))-AVERAGE(OFFSET($H$3,0,0,'Données projet'!$E$10+1,1))</f>
        <v>274.23303062063621</v>
      </c>
      <c r="AO27" s="59">
        <f t="shared" si="36"/>
        <v>289.08677371938779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3.7420945547787317</v>
      </c>
      <c r="AW27" s="21">
        <f>EXP(-LN(2)/2)*AW26+(1-EXP(-LN(2)/2))/(LN(2)/2)*AQ27*AT27*VLOOKUP('Données projet'!$B$10,Paramètres!$A$1:$I$89,3,0)*0.475*44/12</f>
        <v>23.234429683618799</v>
      </c>
      <c r="AX27" s="21">
        <f t="shared" si="6"/>
        <v>26.976524238397531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90</v>
      </c>
      <c r="L28" s="12">
        <f>VLOOKUP(A28,'Données projet'!$A$35:$I$55,9,0)</f>
        <v>12.8</v>
      </c>
      <c r="M28" s="12">
        <f t="array" ref="M28">INDEX(L:L,MIN(IF(ISNUMBER(L28:L224),ROW(L28:L224),"")))</f>
        <v>12.8</v>
      </c>
      <c r="N28" s="13">
        <f>IF('Données projet'!$A$36&gt;35,N27+M28-V27,IF(A28&lt;'Données projet'!$A$36,$K$205^A28,IF(A28='Données projet'!$A$36,'Données projet'!$B$36,N27+M28-V27)))</f>
        <v>89.999999999999986</v>
      </c>
      <c r="O28" s="13">
        <f>N28*VLOOKUP('Données projet'!$B$9,Paramètres!$A$1:$I$89,3,0)*VLOOKUP('Données projet'!$B$9,Paramètres!$A$1:$I$89,5,0)</f>
        <v>78.623999999999995</v>
      </c>
      <c r="P28" s="13">
        <f t="shared" si="33"/>
        <v>21.800406010684444</v>
      </c>
      <c r="Q28" s="20">
        <f t="shared" si="2"/>
        <v>174.90584046860872</v>
      </c>
      <c r="R28" s="59">
        <f t="shared" si="0"/>
        <v>402.94361443494086</v>
      </c>
      <c r="S28" s="59">
        <f ca="1">AVERAGE(OFFSET($R$3,0,0,'Données projet'!$E$9+1,1))-AVERAGE(OFFSET($H$3,0,0,'Données projet'!$E$9+1,1))</f>
        <v>328.99319251806747</v>
      </c>
      <c r="T28" s="59">
        <f t="shared" si="34"/>
        <v>270.36198290276695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23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0.6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16.154174848908255</v>
      </c>
      <c r="AC28" s="22">
        <f t="shared" si="3"/>
        <v>16.154174848908255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149.80000000000001</v>
      </c>
      <c r="AG28" s="12">
        <f>VLOOKUP(A28,'Données projet'!$A$61:$I$81,9,0)</f>
        <v>15.049999999999997</v>
      </c>
      <c r="AH28" s="12">
        <f t="array" ref="AH28">INDEX(AG:AG,MIN(IF(ISNUMBER(AG28:AG224),ROW(AG28:AG224),"")))</f>
        <v>15.049999999999997</v>
      </c>
      <c r="AI28" s="13">
        <f>IF('Données projet'!$A$62&gt;35,AI27+AH28-AQ27,IF(A28&lt;'Données projet'!$A$62,$AF$205^A28,IF(A28='Données projet'!$A$62,'Données projet'!$B$62,AI27+AH28-AQ27)))</f>
        <v>149.79999999999995</v>
      </c>
      <c r="AJ28" s="13">
        <f>AI28*VLOOKUP('Données projet'!$B$10,Paramètres!$A$1:$I$89,3,0)*VLOOKUP('Données projet'!$B$10,Paramètres!$A$1:$I$89,5,0)</f>
        <v>89.580399999999983</v>
      </c>
      <c r="AK28" s="13">
        <f t="shared" si="35"/>
        <v>24.464000071055661</v>
      </c>
      <c r="AL28" s="20">
        <f t="shared" si="4"/>
        <v>198.62733012375523</v>
      </c>
      <c r="AM28" s="59">
        <f t="shared" si="5"/>
        <v>426.66510409008731</v>
      </c>
      <c r="AN28" s="59">
        <f ca="1">AVERAGE(OFFSET($AM$3,0,0,'Données projet'!$E$10+1,1))-AVERAGE(OFFSET($H$3,0,0,'Données projet'!$E$10+1,1))</f>
        <v>274.23303062063621</v>
      </c>
      <c r="AO28" s="59">
        <f t="shared" si="36"/>
        <v>289.08677371938779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3.6397667823901072</v>
      </c>
      <c r="AW28" s="21">
        <f>EXP(-LN(2)/2)*AW27+(1-EXP(-LN(2)/2))/(LN(2)/2)*AQ28*AT28*VLOOKUP('Données projet'!$B$10,Paramètres!$A$1:$I$89,3,0)*0.475*44/12</f>
        <v>16.429222786288864</v>
      </c>
      <c r="AX28" s="21">
        <f t="shared" si="6"/>
        <v>20.068989568678973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8.8000000000000007</v>
      </c>
      <c r="N29" s="13">
        <f>IF('Données projet'!$A$36&gt;35,N28+M29-V28,IF(A29&lt;'Données projet'!$A$36,$K$205^A29,IF(A29='Données projet'!$A$36,'Données projet'!$B$36,N28+M29-V28)))</f>
        <v>75.799999999999983</v>
      </c>
      <c r="O29" s="13">
        <f>N29*VLOOKUP('Données projet'!$B$9,Paramètres!$A$1:$I$89,3,0)*VLOOKUP('Données projet'!$B$9,Paramètres!$A$1:$I$89,5,0)</f>
        <v>66.218879999999999</v>
      </c>
      <c r="P29" s="13">
        <f t="shared" si="33"/>
        <v>18.731459202301547</v>
      </c>
      <c r="Q29" s="20">
        <f t="shared" si="2"/>
        <v>147.95517411067519</v>
      </c>
      <c r="R29" s="59">
        <f t="shared" si="0"/>
        <v>378.24188815986537</v>
      </c>
      <c r="S29" s="59">
        <f ca="1">AVERAGE(OFFSET($R$3,0,0,'Données projet'!$E$9+1,1))-AVERAGE(OFFSET($H$3,0,0,'Données projet'!$E$9+1,1))</f>
        <v>328.99319251806747</v>
      </c>
      <c r="T29" s="59">
        <f t="shared" si="34"/>
        <v>270.36198290276695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11.422726580136199</v>
      </c>
      <c r="AC29" s="22">
        <f t="shared" si="3"/>
        <v>11.422726580136199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15.074999999999996</v>
      </c>
      <c r="AI29" s="13">
        <f>IF('Données projet'!$A$62&gt;35,AI28+AH29-AQ28,IF(A29&lt;'Données projet'!$A$62,$AF$205^A29,IF(A29='Données projet'!$A$62,'Données projet'!$B$62,AI28+AH29-AQ28)))</f>
        <v>164.87499999999994</v>
      </c>
      <c r="AJ29" s="13">
        <f>AI29*VLOOKUP('Données projet'!$B$10,Paramètres!$A$1:$I$89,3,0)*VLOOKUP('Données projet'!$B$10,Paramètres!$A$1:$I$89,5,0)</f>
        <v>98.595249999999965</v>
      </c>
      <c r="AK29" s="13">
        <f t="shared" si="35"/>
        <v>26.627060182827854</v>
      </c>
      <c r="AL29" s="20">
        <f t="shared" si="4"/>
        <v>218.09552356842508</v>
      </c>
      <c r="AM29" s="59">
        <f t="shared" si="5"/>
        <v>448.38223761761526</v>
      </c>
      <c r="AN29" s="59">
        <f ca="1">AVERAGE(OFFSET($AM$3,0,0,'Données projet'!$E$10+1,1))-AVERAGE(OFFSET($H$3,0,0,'Données projet'!$E$10+1,1))</f>
        <v>274.23303062063621</v>
      </c>
      <c r="AO29" s="59">
        <f t="shared" si="36"/>
        <v>289.08677371938779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3.5402371683186336</v>
      </c>
      <c r="AW29" s="21">
        <f>EXP(-LN(2)/2)*AW28+(1-EXP(-LN(2)/2))/(LN(2)/2)*AQ29*AT29*VLOOKUP('Données projet'!$B$10,Paramètres!$A$1:$I$89,3,0)*0.475*44/12</f>
        <v>11.617214841809401</v>
      </c>
      <c r="AX29" s="21">
        <f t="shared" si="6"/>
        <v>15.157452010128035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8.8000000000000007</v>
      </c>
      <c r="N30" s="13">
        <f>IF('Données projet'!$A$36&gt;35,N29+M30-V29,IF(A30&lt;'Données projet'!$A$36,$K$205^A30,IF(A30='Données projet'!$A$36,'Données projet'!$B$36,N29+M30-V29)))</f>
        <v>84.59999999999998</v>
      </c>
      <c r="O30" s="13">
        <f>N30*VLOOKUP('Données projet'!$B$9,Paramètres!$A$1:$I$89,3,0)*VLOOKUP('Données projet'!$B$9,Paramètres!$A$1:$I$89,5,0)</f>
        <v>73.906559999999985</v>
      </c>
      <c r="P30" s="13">
        <f t="shared" si="33"/>
        <v>20.640506648584481</v>
      </c>
      <c r="Q30" s="20">
        <f t="shared" si="2"/>
        <v>164.66947441295125</v>
      </c>
      <c r="R30" s="59">
        <f t="shared" si="0"/>
        <v>397.18731728551472</v>
      </c>
      <c r="S30" s="59">
        <f ca="1">AVERAGE(OFFSET($R$3,0,0,'Données projet'!$E$9+1,1))-AVERAGE(OFFSET($H$3,0,0,'Données projet'!$E$9+1,1))</f>
        <v>328.99319251806747</v>
      </c>
      <c r="T30" s="59">
        <f t="shared" si="34"/>
        <v>270.36198290276695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8.0770874244541293</v>
      </c>
      <c r="AC30" s="22">
        <f t="shared" si="3"/>
        <v>8.0770874244541293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15.074999999999996</v>
      </c>
      <c r="AI30" s="13">
        <f>IF('Données projet'!$A$62&gt;35,AI29+AH30-AQ29,IF(A30&lt;'Données projet'!$A$62,$AF$205^A30,IF(A30='Données projet'!$A$62,'Données projet'!$B$62,AI29+AH30-AQ29)))</f>
        <v>179.94999999999993</v>
      </c>
      <c r="AJ30" s="13">
        <f>AI30*VLOOKUP('Données projet'!$B$10,Paramètres!$A$1:$I$89,3,0)*VLOOKUP('Données projet'!$B$10,Paramètres!$A$1:$I$89,5,0)</f>
        <v>107.61009999999997</v>
      </c>
      <c r="AK30" s="13">
        <f t="shared" si="35"/>
        <v>28.767187669294827</v>
      </c>
      <c r="AL30" s="20">
        <f t="shared" si="4"/>
        <v>237.52377602402171</v>
      </c>
      <c r="AM30" s="59">
        <f t="shared" si="5"/>
        <v>470.04161889658519</v>
      </c>
      <c r="AN30" s="59">
        <f ca="1">AVERAGE(OFFSET($AM$3,0,0,'Données projet'!$E$10+1,1))-AVERAGE(OFFSET($H$3,0,0,'Données projet'!$E$10+1,1))</f>
        <v>274.23303062063621</v>
      </c>
      <c r="AO30" s="59">
        <f t="shared" si="36"/>
        <v>289.08677371938779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3.4434291967779793</v>
      </c>
      <c r="AW30" s="21">
        <f>EXP(-LN(2)/2)*AW29+(1-EXP(-LN(2)/2))/(LN(2)/2)*AQ30*AT30*VLOOKUP('Données projet'!$B$10,Paramètres!$A$1:$I$89,3,0)*0.475*44/12</f>
        <v>8.214611393144434</v>
      </c>
      <c r="AX30" s="21">
        <f t="shared" si="6"/>
        <v>11.658040589922413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8.8000000000000007</v>
      </c>
      <c r="N31" s="13">
        <f>IF('Données projet'!$A$36&gt;35,N30+M31-V30,IF(A31&lt;'Données projet'!$A$36,$K$205^A31,IF(A31='Données projet'!$A$36,'Données projet'!$B$36,N30+M31-V30)))</f>
        <v>93.399999999999977</v>
      </c>
      <c r="O31" s="13">
        <f>N31*VLOOKUP('Données projet'!$B$9,Paramètres!$A$1:$I$89,3,0)*VLOOKUP('Données projet'!$B$9,Paramètres!$A$1:$I$89,5,0)</f>
        <v>81.594239999999999</v>
      </c>
      <c r="P31" s="13">
        <f t="shared" si="33"/>
        <v>22.526535320646335</v>
      </c>
      <c r="Q31" s="20">
        <f t="shared" si="2"/>
        <v>181.34368368345903</v>
      </c>
      <c r="R31" s="59">
        <f t="shared" si="0"/>
        <v>416.07515310544312</v>
      </c>
      <c r="S31" s="59">
        <f ca="1">AVERAGE(OFFSET($R$3,0,0,'Données projet'!$E$9+1,1))-AVERAGE(OFFSET($H$3,0,0,'Données projet'!$E$9+1,1))</f>
        <v>328.99319251806747</v>
      </c>
      <c r="T31" s="59">
        <f t="shared" si="34"/>
        <v>270.36198290276695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5.7113632900681015</v>
      </c>
      <c r="AC31" s="22">
        <f t="shared" si="3"/>
        <v>5.7113632900681015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15.074999999999996</v>
      </c>
      <c r="AI31" s="13">
        <f>IF('Données projet'!$A$62&gt;35,AI30+AH31-AQ30,IF(A31&lt;'Données projet'!$A$62,$AF$205^A31,IF(A31='Données projet'!$A$62,'Données projet'!$B$62,AI30+AH31-AQ30)))</f>
        <v>195.02499999999992</v>
      </c>
      <c r="AJ31" s="13">
        <f>AI31*VLOOKUP('Données projet'!$B$10,Paramètres!$A$1:$I$89,3,0)*VLOOKUP('Données projet'!$B$10,Paramètres!$A$1:$I$89,5,0)</f>
        <v>116.62494999999997</v>
      </c>
      <c r="AK31" s="13">
        <f t="shared" si="35"/>
        <v>30.886522089573948</v>
      </c>
      <c r="AL31" s="20">
        <f t="shared" si="4"/>
        <v>256.91581388934122</v>
      </c>
      <c r="AM31" s="59">
        <f t="shared" si="5"/>
        <v>491.64728331132528</v>
      </c>
      <c r="AN31" s="59">
        <f ca="1">AVERAGE(OFFSET($AM$3,0,0,'Données projet'!$E$10+1,1))-AVERAGE(OFFSET($H$3,0,0,'Données projet'!$E$10+1,1))</f>
        <v>274.23303062063621</v>
      </c>
      <c r="AO31" s="59">
        <f t="shared" si="36"/>
        <v>289.08677371938779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3.349268444310014</v>
      </c>
      <c r="AW31" s="21">
        <f>EXP(-LN(2)/2)*AW30+(1-EXP(-LN(2)/2))/(LN(2)/2)*AQ31*AT31*VLOOKUP('Données projet'!$B$10,Paramètres!$A$1:$I$89,3,0)*0.475*44/12</f>
        <v>5.8086074209047016</v>
      </c>
      <c r="AX31" s="21">
        <f t="shared" si="6"/>
        <v>9.1578758652147165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8.8000000000000007</v>
      </c>
      <c r="N32" s="13">
        <f>IF('Données projet'!$A$36&gt;35,N31+M32-V31,IF(A32&lt;'Données projet'!$A$36,$K$205^A32,IF(A32='Données projet'!$A$36,'Données projet'!$B$36,N31+M32-V31)))</f>
        <v>102.19999999999997</v>
      </c>
      <c r="O32" s="13">
        <f>N32*VLOOKUP('Données projet'!$B$9,Paramètres!$A$1:$I$89,3,0)*VLOOKUP('Données projet'!$B$9,Paramètres!$A$1:$I$89,5,0)</f>
        <v>89.281919999999985</v>
      </c>
      <c r="P32" s="13">
        <f t="shared" si="33"/>
        <v>24.391960730189304</v>
      </c>
      <c r="Q32" s="20">
        <f t="shared" si="2"/>
        <v>197.98200893841303</v>
      </c>
      <c r="R32" s="59">
        <f t="shared" si="0"/>
        <v>434.90990626118889</v>
      </c>
      <c r="S32" s="59">
        <f ca="1">AVERAGE(OFFSET($R$3,0,0,'Données projet'!$E$9+1,1))-AVERAGE(OFFSET($H$3,0,0,'Données projet'!$E$9+1,1))</f>
        <v>328.99319251806747</v>
      </c>
      <c r="T32" s="59">
        <f t="shared" si="34"/>
        <v>270.36198290276695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4.0385437122270655</v>
      </c>
      <c r="AC32" s="22">
        <f t="shared" si="3"/>
        <v>4.0385437122270655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210.1</v>
      </c>
      <c r="AG32" s="12">
        <f>VLOOKUP(A32,'Données projet'!$A$61:$I$81,9,0)</f>
        <v>15.074999999999996</v>
      </c>
      <c r="AH32" s="12">
        <f t="array" ref="AH32">INDEX(AG:AG,MIN(IF(ISNUMBER(AG32:AG228),ROW(AG32:AG228),"")))</f>
        <v>15.074999999999996</v>
      </c>
      <c r="AI32" s="13">
        <f>IF('Données projet'!$A$62&gt;35,AI31+AH32-AQ31,IF(A32&lt;'Données projet'!$A$62,$AF$205^A32,IF(A32='Données projet'!$A$62,'Données projet'!$B$62,AI31+AH32-AQ31)))</f>
        <v>210.09999999999991</v>
      </c>
      <c r="AJ32" s="13">
        <f>AI32*VLOOKUP('Données projet'!$B$10,Paramètres!$A$1:$I$89,3,0)*VLOOKUP('Données projet'!$B$10,Paramètres!$A$1:$I$89,5,0)</f>
        <v>125.63979999999995</v>
      </c>
      <c r="AK32" s="13">
        <f t="shared" si="35"/>
        <v>32.986853443083646</v>
      </c>
      <c r="AL32" s="20">
        <f t="shared" si="4"/>
        <v>276.27475474670393</v>
      </c>
      <c r="AM32" s="59">
        <f t="shared" si="5"/>
        <v>513.20265206947977</v>
      </c>
      <c r="AN32" s="59">
        <f ca="1">AVERAGE(OFFSET($AM$3,0,0,'Données projet'!$E$10+1,1))-AVERAGE(OFFSET($H$3,0,0,'Données projet'!$E$10+1,1))</f>
        <v>274.23303062063621</v>
      </c>
      <c r="AO32" s="59">
        <f t="shared" si="36"/>
        <v>289.08677371938779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47.6</v>
      </c>
      <c r="AR32" s="16">
        <f>IF(ISNA(VLOOKUP(A32,'Données projet'!$A$61:$I$81,5,0)),0%,VLOOKUP(A32,'Données projet'!$A$61:$I$81,5,0)*VLOOKUP('Données projet'!$B$10,Paramètres!$A$1:$I$89,7,0))</f>
        <v>0.1125</v>
      </c>
      <c r="AS32" s="16">
        <f>IF(ISNA(VLOOKUP(A32,'Données projet'!$A$61:$I$81,6,0)),0%,VLOOKUP(A32,'Données projet'!$A$61:$I$81,6,0)*VLOOKUP('Données projet'!$B$10,Paramètres!$A$1:$I$89,7,0))</f>
        <v>0.1125</v>
      </c>
      <c r="AT32" s="16">
        <f>IF(ISNA(VLOOKUP(A32,'Données projet'!$A$61:$I$81,7,0)),0%,VLOOKUP(A32,'Données projet'!$A$61:$I$81,7,0))</f>
        <v>0.5</v>
      </c>
      <c r="AU32" s="21">
        <f>EXP(-LN(2)/35)*AU31+(1-EXP(-LN(2)/35))/(LN(2)/35)*AQ32*AR32*VLOOKUP('Données projet'!$B$10,Paramètres!$A$1:$I$89,3,0)*0.475*44/12</f>
        <v>4.2480440900094854</v>
      </c>
      <c r="AV32" s="21">
        <f>EXP(-LN(2)/25)*AV31+(1-EXP(-LN(2)/25))/(LN(2)/25)*Calculateur!AQ32*Calculateur!AS32*VLOOKUP('Données projet'!$B$10,Paramètres!$A$1:$I$89,3,0)*0.475*44/12</f>
        <v>7.4890004443654057</v>
      </c>
      <c r="AW32" s="21">
        <f>EXP(-LN(2)/2)*AW31+(1-EXP(-LN(2)/2))/(LN(2)/2)*AQ32*AT32*VLOOKUP('Données projet'!$B$10,Paramètres!$A$1:$I$89,3,0)*0.475*44/12</f>
        <v>20.221688647887895</v>
      </c>
      <c r="AX32" s="21">
        <f t="shared" si="6"/>
        <v>31.958733182262787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111</v>
      </c>
      <c r="L33" s="12">
        <f>VLOOKUP(A33,'Données projet'!$A$35:$I$55,9,0)</f>
        <v>8.8000000000000007</v>
      </c>
      <c r="M33" s="12">
        <f t="array" ref="M33">INDEX(L:L,MIN(IF(ISNUMBER(L33:L229),ROW(L33:L229),"")))</f>
        <v>8.8000000000000007</v>
      </c>
      <c r="N33" s="13">
        <f>IF('Données projet'!$A$36&gt;35,N32+M33-V32,IF(A33&lt;'Données projet'!$A$36,$K$205^A33,IF(A33='Données projet'!$A$36,'Données projet'!$B$36,N32+M33-V32)))</f>
        <v>110.99999999999997</v>
      </c>
      <c r="O33" s="13">
        <f>N33*VLOOKUP('Données projet'!$B$9,Paramètres!$A$1:$I$89,3,0)*VLOOKUP('Données projet'!$B$9,Paramètres!$A$1:$I$89,5,0)</f>
        <v>96.969599999999986</v>
      </c>
      <c r="P33" s="13">
        <f t="shared" si="33"/>
        <v>26.238758642904337</v>
      </c>
      <c r="Q33" s="20">
        <f t="shared" si="2"/>
        <v>214.58789130305834</v>
      </c>
      <c r="R33" s="59">
        <f t="shared" si="0"/>
        <v>453.69531623610033</v>
      </c>
      <c r="S33" s="59">
        <f ca="1">AVERAGE(OFFSET($R$3,0,0,'Données projet'!$E$9+1,1))-AVERAGE(OFFSET($H$3,0,0,'Données projet'!$E$9+1,1))</f>
        <v>328.99319251806747</v>
      </c>
      <c r="T33" s="59">
        <f t="shared" si="34"/>
        <v>270.36198290276695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24</v>
      </c>
      <c r="W33" s="16">
        <f>IF(ISNA(VLOOKUP(A33,'Données projet'!$A$35:$I$55,5,0)),0%,VLOOKUP(A33,'Données projet'!$A$35:$I$55,5,0)*VLOOKUP('Données projet'!$B$9,Paramètres!$A$1:$I$89,7,0))</f>
        <v>2.1500000000000002E-2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0.5</v>
      </c>
      <c r="Z33" s="21">
        <f>EXP(-LN(2)/35)*Z32+(1-EXP(-LN(2)/35))/(LN(2)/35)*V33*W33*VLOOKUP('Données projet'!$B$9,Paramètres!$A$1:$I$89,3,0)*0.475*44/12</f>
        <v>0.49832128455695252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12.746862996225259</v>
      </c>
      <c r="AC33" s="22">
        <f t="shared" si="3"/>
        <v>13.245184280782212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14.180000000000001</v>
      </c>
      <c r="AI33" s="13">
        <f>IF('Données projet'!$A$62&gt;35,AI32+AH33-AQ32,IF(A33&lt;'Données projet'!$A$62,$AF$205^A33,IF(A33='Données projet'!$A$62,'Données projet'!$B$62,AI32+AH33-AQ32)))</f>
        <v>176.67999999999992</v>
      </c>
      <c r="AJ33" s="13">
        <f>AI33*VLOOKUP('Données projet'!$B$10,Paramètres!$A$1:$I$89,3,0)*VLOOKUP('Données projet'!$B$10,Paramètres!$A$1:$I$89,5,0)</f>
        <v>105.65463999999996</v>
      </c>
      <c r="AK33" s="13">
        <f t="shared" si="35"/>
        <v>28.304794709863643</v>
      </c>
      <c r="AL33" s="20">
        <f t="shared" si="4"/>
        <v>233.31268211967912</v>
      </c>
      <c r="AM33" s="59">
        <f t="shared" si="5"/>
        <v>472.42010705272111</v>
      </c>
      <c r="AN33" s="59">
        <f ca="1">AVERAGE(OFFSET($AM$3,0,0,'Données projet'!$E$10+1,1))-AVERAGE(OFFSET($H$3,0,0,'Données projet'!$E$10+1,1))</f>
        <v>274.23303062063621</v>
      </c>
      <c r="AO33" s="59">
        <f t="shared" si="36"/>
        <v>289.08677371938779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4.1647425364554493</v>
      </c>
      <c r="AV33" s="21">
        <f>EXP(-LN(2)/25)*AV32+(1-EXP(-LN(2)/25))/(LN(2)/25)*Calculateur!AQ33*Calculateur!AS33*VLOOKUP('Données projet'!$B$10,Paramètres!$A$1:$I$89,3,0)*0.475*44/12</f>
        <v>7.2842133333848169</v>
      </c>
      <c r="AW33" s="21">
        <f>EXP(-LN(2)/2)*AW32+(1-EXP(-LN(2)/2))/(LN(2)/2)*AQ33*AT33*VLOOKUP('Données projet'!$B$10,Paramètres!$A$1:$I$89,3,0)*0.475*44/12</f>
        <v>14.298893169964559</v>
      </c>
      <c r="AX33" s="21">
        <f t="shared" si="6"/>
        <v>25.747849039804827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8.4</v>
      </c>
      <c r="N34" s="13">
        <f>IF('Données projet'!$A$36&gt;35,N33+M34-V33,IF(A34&lt;'Données projet'!$A$36,$K$205^A34,IF(A34='Données projet'!$A$36,'Données projet'!$B$36,N33+M34-V33)))</f>
        <v>95.399999999999977</v>
      </c>
      <c r="O34" s="13">
        <f>N34*VLOOKUP('Données projet'!$B$9,Paramètres!$A$1:$I$89,3,0)*VLOOKUP('Données projet'!$B$9,Paramètres!$A$1:$I$89,5,0)</f>
        <v>83.341439999999992</v>
      </c>
      <c r="P34" s="13">
        <f t="shared" si="33"/>
        <v>22.952227742446681</v>
      </c>
      <c r="Q34" s="20">
        <f t="shared" si="2"/>
        <v>185.12813798476125</v>
      </c>
      <c r="R34" s="59">
        <f t="shared" si="0"/>
        <v>425.17626119757881</v>
      </c>
      <c r="S34" s="59">
        <f ca="1">AVERAGE(OFFSET($R$3,0,0,'Données projet'!$E$9+1,1))-AVERAGE(OFFSET($H$3,0,0,'Données projet'!$E$9+1,1))</f>
        <v>328.99319251806747</v>
      </c>
      <c r="T34" s="59">
        <f t="shared" si="34"/>
        <v>270.36198290276695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0.4885495081127621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9.0133932634867548</v>
      </c>
      <c r="AC34" s="22">
        <f t="shared" si="3"/>
        <v>9.5019427715995164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14.180000000000001</v>
      </c>
      <c r="AI34" s="13">
        <f>IF('Données projet'!$A$62&gt;35,AI33+AH34-AQ33,IF(A34&lt;'Données projet'!$A$62,$AF$205^A34,IF(A34='Données projet'!$A$62,'Données projet'!$B$62,AI33+AH34-AQ33)))</f>
        <v>190.85999999999993</v>
      </c>
      <c r="AJ34" s="13">
        <f>AI34*VLOOKUP('Données projet'!$B$10,Paramètres!$A$1:$I$89,3,0)*VLOOKUP('Données projet'!$B$10,Paramètres!$A$1:$I$89,5,0)</f>
        <v>114.13427999999996</v>
      </c>
      <c r="AK34" s="13">
        <f t="shared" si="35"/>
        <v>30.302951720916447</v>
      </c>
      <c r="AL34" s="20">
        <f t="shared" si="4"/>
        <v>251.56151191392937</v>
      </c>
      <c r="AM34" s="59">
        <f t="shared" si="5"/>
        <v>491.60963512674692</v>
      </c>
      <c r="AN34" s="59">
        <f ca="1">AVERAGE(OFFSET($AM$3,0,0,'Données projet'!$E$10+1,1))-AVERAGE(OFFSET($H$3,0,0,'Données projet'!$E$10+1,1))</f>
        <v>274.23303062063621</v>
      </c>
      <c r="AO34" s="59">
        <f t="shared" si="36"/>
        <v>289.08677371938779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4.0830744755576776</v>
      </c>
      <c r="AV34" s="21">
        <f>EXP(-LN(2)/25)*AV33+(1-EXP(-LN(2)/25))/(LN(2)/25)*Calculateur!AQ34*Calculateur!AS34*VLOOKUP('Données projet'!$B$10,Paramètres!$A$1:$I$89,3,0)*0.475*44/12</f>
        <v>7.0850261367232781</v>
      </c>
      <c r="AW34" s="21">
        <f>EXP(-LN(2)/2)*AW33+(1-EXP(-LN(2)/2))/(LN(2)/2)*AQ34*AT34*VLOOKUP('Données projet'!$B$10,Paramètres!$A$1:$I$89,3,0)*0.475*44/12</f>
        <v>10.110844323943949</v>
      </c>
      <c r="AX34" s="21">
        <f t="shared" si="6"/>
        <v>21.278944936224903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8.4</v>
      </c>
      <c r="N35" s="13">
        <f>IF('Données projet'!$A$36&gt;35,N34+M35-V34,IF(A35&lt;'Données projet'!$A$36,$K$205^A35,IF(A35='Données projet'!$A$36,'Données projet'!$B$36,N34+M35-V34)))</f>
        <v>103.79999999999998</v>
      </c>
      <c r="O35" s="13">
        <f>N35*VLOOKUP('Données projet'!$B$9,Paramètres!$A$1:$I$89,3,0)*VLOOKUP('Données projet'!$B$9,Paramètres!$A$1:$I$89,5,0)</f>
        <v>90.679679999999991</v>
      </c>
      <c r="P35" s="13">
        <f t="shared" si="33"/>
        <v>24.729075596681458</v>
      </c>
      <c r="Q35" s="20">
        <f t="shared" ref="Q35:Q66" si="53">(O35+P35)*0.475*44/12</f>
        <v>201.00358266422018</v>
      </c>
      <c r="R35" s="59">
        <f t="shared" si="0"/>
        <v>441.97608514474553</v>
      </c>
      <c r="S35" s="59">
        <f ca="1">AVERAGE(OFFSET($R$3,0,0,'Données projet'!$E$9+1,1))-AVERAGE(OFFSET($H$3,0,0,'Données projet'!$E$9+1,1))</f>
        <v>328.99319251806747</v>
      </c>
      <c r="T35" s="59">
        <f t="shared" si="34"/>
        <v>270.36198290276695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0.47896935024444715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6.3734314981126303</v>
      </c>
      <c r="AC35" s="22">
        <f t="shared" si="3"/>
        <v>6.8524008483570773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14.180000000000001</v>
      </c>
      <c r="AI35" s="13">
        <f>IF('Données projet'!$A$62&gt;35,AI34+AH35-AQ34,IF(A35&lt;'Données projet'!$A$62,$AF$205^A35,IF(A35='Données projet'!$A$62,'Données projet'!$B$62,AI34+AH35-AQ34)))</f>
        <v>205.03999999999994</v>
      </c>
      <c r="AJ35" s="13">
        <f>AI35*VLOOKUP('Données projet'!$B$10,Paramètres!$A$1:$I$89,3,0)*VLOOKUP('Données projet'!$B$10,Paramètres!$A$1:$I$89,5,0)</f>
        <v>122.61391999999996</v>
      </c>
      <c r="AK35" s="13">
        <f t="shared" si="35"/>
        <v>32.283886513046994</v>
      </c>
      <c r="AL35" s="20">
        <f t="shared" si="4"/>
        <v>269.78034634355674</v>
      </c>
      <c r="AM35" s="59">
        <f t="shared" si="5"/>
        <v>510.75284882408209</v>
      </c>
      <c r="AN35" s="59">
        <f ca="1">AVERAGE(OFFSET($AM$3,0,0,'Données projet'!$E$10+1,1))-AVERAGE(OFFSET($H$3,0,0,'Données projet'!$E$10+1,1))</f>
        <v>274.23303062063621</v>
      </c>
      <c r="AO35" s="59">
        <f t="shared" si="36"/>
        <v>289.08677371938779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4.0030078755215124</v>
      </c>
      <c r="AV35" s="21">
        <f>EXP(-LN(2)/25)*AV34+(1-EXP(-LN(2)/25))/(LN(2)/25)*Calculateur!AQ35*Calculateur!AS35*VLOOKUP('Données projet'!$B$10,Paramètres!$A$1:$I$89,3,0)*0.475*44/12</f>
        <v>6.8912857244292489</v>
      </c>
      <c r="AW35" s="21">
        <f>EXP(-LN(2)/2)*AW34+(1-EXP(-LN(2)/2))/(LN(2)/2)*AQ35*AT35*VLOOKUP('Données projet'!$B$10,Paramètres!$A$1:$I$89,3,0)*0.475*44/12</f>
        <v>7.1494465849822806</v>
      </c>
      <c r="AX35" s="21">
        <f t="shared" si="6"/>
        <v>18.043740184933043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8.4</v>
      </c>
      <c r="N36" s="13">
        <f>IF('Données projet'!$A$36&gt;35,N35+M36-V35,IF(A36&lt;'Données projet'!$A$36,$K$205^A36,IF(A36='Données projet'!$A$36,'Données projet'!$B$36,N35+M36-V35)))</f>
        <v>112.19999999999999</v>
      </c>
      <c r="O36" s="13">
        <f>N36*VLOOKUP('Données projet'!$B$9,Paramètres!$A$1:$I$89,3,0)*VLOOKUP('Données projet'!$B$9,Paramètres!$A$1:$I$89,5,0)</f>
        <v>98.017920000000004</v>
      </c>
      <c r="P36" s="13">
        <f t="shared" si="33"/>
        <v>26.489245540318151</v>
      </c>
      <c r="Q36" s="20">
        <f t="shared" si="53"/>
        <v>216.84997998272078</v>
      </c>
      <c r="R36" s="59">
        <f t="shared" si="0"/>
        <v>458.73082581726152</v>
      </c>
      <c r="S36" s="59">
        <f ca="1">AVERAGE(OFFSET($R$3,0,0,'Données projet'!$E$9+1,1))-AVERAGE(OFFSET($H$3,0,0,'Données projet'!$E$9+1,1))</f>
        <v>328.99319251806747</v>
      </c>
      <c r="T36" s="59">
        <f t="shared" si="34"/>
        <v>270.36198290276695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0.4695770534286105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4.5066966317433774</v>
      </c>
      <c r="AC36" s="22">
        <f t="shared" si="3"/>
        <v>4.9762736851719875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14.180000000000001</v>
      </c>
      <c r="AI36" s="13">
        <f>IF('Données projet'!$A$62&gt;35,AI35+AH36-AQ35,IF(A36&lt;'Données projet'!$A$62,$AF$205^A36,IF(A36='Données projet'!$A$62,'Données projet'!$B$62,AI35+AH36-AQ35)))</f>
        <v>219.21999999999994</v>
      </c>
      <c r="AJ36" s="13">
        <f>AI36*VLOOKUP('Données projet'!$B$10,Paramètres!$A$1:$I$89,3,0)*VLOOKUP('Données projet'!$B$10,Paramètres!$A$1:$I$89,5,0)</f>
        <v>131.09355999999997</v>
      </c>
      <c r="AK36" s="13">
        <f t="shared" si="35"/>
        <v>34.248925614813515</v>
      </c>
      <c r="AL36" s="20">
        <f t="shared" si="4"/>
        <v>287.97149577913348</v>
      </c>
      <c r="AM36" s="59">
        <f t="shared" si="5"/>
        <v>529.85234161367418</v>
      </c>
      <c r="AN36" s="59">
        <f ca="1">AVERAGE(OFFSET($AM$3,0,0,'Données projet'!$E$10+1,1))-AVERAGE(OFFSET($H$3,0,0,'Données projet'!$E$10+1,1))</f>
        <v>274.23303062063621</v>
      </c>
      <c r="AO36" s="59">
        <f t="shared" si="36"/>
        <v>289.08677371938779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3.9245113326762522</v>
      </c>
      <c r="AV36" s="21">
        <f>EXP(-LN(2)/25)*AV35+(1-EXP(-LN(2)/25))/(LN(2)/25)*Calculateur!AQ36*Calculateur!AS36*VLOOKUP('Données projet'!$B$10,Paramètres!$A$1:$I$89,3,0)*0.475*44/12</f>
        <v>6.7028431538977653</v>
      </c>
      <c r="AW36" s="21">
        <f>EXP(-LN(2)/2)*AW35+(1-EXP(-LN(2)/2))/(LN(2)/2)*AQ36*AT36*VLOOKUP('Données projet'!$B$10,Paramètres!$A$1:$I$89,3,0)*0.475*44/12</f>
        <v>5.0554221619719755</v>
      </c>
      <c r="AX36" s="21">
        <f t="shared" si="6"/>
        <v>15.682776648545993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8.4</v>
      </c>
      <c r="N37" s="13">
        <f>IF('Données projet'!$A$36&gt;35,N36+M37-V36,IF(A37&lt;'Données projet'!$A$36,$K$205^A37,IF(A37='Données projet'!$A$36,'Données projet'!$B$36,N36+M37-V36)))</f>
        <v>120.6</v>
      </c>
      <c r="O37" s="13">
        <f>N37*VLOOKUP('Données projet'!$B$9,Paramètres!$A$1:$I$89,3,0)*VLOOKUP('Données projet'!$B$9,Paramètres!$A$1:$I$89,5,0)</f>
        <v>105.35616</v>
      </c>
      <c r="P37" s="13">
        <f t="shared" si="33"/>
        <v>28.234128165723941</v>
      </c>
      <c r="Q37" s="20">
        <f t="shared" si="53"/>
        <v>232.66975188863583</v>
      </c>
      <c r="R37" s="59">
        <f t="shared" si="0"/>
        <v>475.44318335075138</v>
      </c>
      <c r="S37" s="59">
        <f ca="1">AVERAGE(OFFSET($R$3,0,0,'Données projet'!$E$9+1,1))-AVERAGE(OFFSET($H$3,0,0,'Données projet'!$E$9+1,1))</f>
        <v>328.99319251806747</v>
      </c>
      <c r="T37" s="59">
        <f t="shared" si="34"/>
        <v>270.36198290276695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0.46036893382459704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3.1867157490563152</v>
      </c>
      <c r="AC37" s="22">
        <f t="shared" si="3"/>
        <v>3.6470846828809123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233.4</v>
      </c>
      <c r="AG37" s="12">
        <f>VLOOKUP(A37,'Données projet'!$A$61:$I$81,9,0)</f>
        <v>14.180000000000001</v>
      </c>
      <c r="AH37" s="12">
        <f t="array" ref="AH37">INDEX(AG:AG,MIN(IF(ISNUMBER(AG37:AG233),ROW(AG37:AG233),"")))</f>
        <v>14.180000000000001</v>
      </c>
      <c r="AI37" s="13">
        <f>IF('Données projet'!$A$62&gt;35,AI36+AH37-AQ36,IF(A37&lt;'Données projet'!$A$62,$AF$205^A37,IF(A37='Données projet'!$A$62,'Données projet'!$B$62,AI36+AH37-AQ36)))</f>
        <v>233.39999999999995</v>
      </c>
      <c r="AJ37" s="13">
        <f>AI37*VLOOKUP('Données projet'!$B$10,Paramètres!$A$1:$I$89,3,0)*VLOOKUP('Données projet'!$B$10,Paramètres!$A$1:$I$89,5,0)</f>
        <v>139.57319999999999</v>
      </c>
      <c r="AK37" s="13">
        <f t="shared" si="35"/>
        <v>36.19921424090478</v>
      </c>
      <c r="AL37" s="20">
        <f t="shared" si="4"/>
        <v>306.13695480290909</v>
      </c>
      <c r="AM37" s="59">
        <f t="shared" si="5"/>
        <v>548.91038626502473</v>
      </c>
      <c r="AN37" s="59">
        <f ca="1">AVERAGE(OFFSET($AM$3,0,0,'Données projet'!$E$10+1,1))-AVERAGE(OFFSET($H$3,0,0,'Données projet'!$E$10+1,1))</f>
        <v>274.23303062063621</v>
      </c>
      <c r="AO37" s="59">
        <f t="shared" si="36"/>
        <v>289.08677371938779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 t="e">
        <f>IF(ISNA(VLOOKUP(A37,'Données projet'!$A$61:$I$81,5,0)),0%,VLOOKUP(A37,'Données projet'!$A$61:$I$81,5,0)*VLOOKUP('Données projet'!$B$10,Paramètres!$A$1:$I$89,7,0))</f>
        <v>#VALUE!</v>
      </c>
      <c r="AS37" s="16" t="e">
        <f>IF(ISNA(VLOOKUP(A37,'Données projet'!$A$61:$I$81,6,0)),0%,VLOOKUP(A37,'Données projet'!$A$61:$I$81,6,0)*VLOOKUP('Données projet'!$B$10,Paramètres!$A$1:$I$89,7,0))</f>
        <v>#VALUE!</v>
      </c>
      <c r="AT37" s="16" t="str">
        <f>IF(ISNA(VLOOKUP(A37,'Données projet'!$A$61:$I$81,7,0)),0%,VLOOKUP(A37,'Données projet'!$A$61:$I$81,7,0))</f>
        <v/>
      </c>
      <c r="AU37" s="21" t="e">
        <f>EXP(-LN(2)/35)*AU36+(1-EXP(-LN(2)/35))/(LN(2)/35)*AQ37*AR37*VLOOKUP('Données projet'!$B$10,Paramètres!$A$1:$I$89,3,0)*0.475*44/12</f>
        <v>#VALUE!</v>
      </c>
      <c r="AV37" s="21" t="e">
        <f>EXP(-LN(2)/25)*AV36+(1-EXP(-LN(2)/25))/(LN(2)/25)*Calculateur!AQ37*Calculateur!AS37*VLOOKUP('Données projet'!$B$10,Paramètres!$A$1:$I$89,3,0)*0.475*44/12</f>
        <v>#VALUE!</v>
      </c>
      <c r="AW37" s="21" t="e">
        <f>EXP(-LN(2)/2)*AW36+(1-EXP(-LN(2)/2))/(LN(2)/2)*AQ37*AT37*VLOOKUP('Données projet'!$B$10,Paramètres!$A$1:$I$89,3,0)*0.475*44/12</f>
        <v>#VALUE!</v>
      </c>
      <c r="AX37" s="21" t="e">
        <f t="shared" si="6"/>
        <v>#VALUE!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129</v>
      </c>
      <c r="L38" s="12">
        <f>VLOOKUP(A38,'Données projet'!$A$35:$I$55,9,0)</f>
        <v>8.4</v>
      </c>
      <c r="M38" s="12">
        <f t="array" ref="M38">INDEX(L:L,MIN(IF(ISNUMBER(L38:L234),ROW(L38:L234),"")))</f>
        <v>8.4</v>
      </c>
      <c r="N38" s="13">
        <f>IF('Données projet'!$A$36&gt;35,N37+M38-V37,IF(A38&lt;'Données projet'!$A$36,$K$205^A38,IF(A38='Données projet'!$A$36,'Données projet'!$B$36,N37+M38-V37)))</f>
        <v>129</v>
      </c>
      <c r="O38" s="13">
        <f>N38*VLOOKUP('Données projet'!$B$9,Paramètres!$A$1:$I$89,3,0)*VLOOKUP('Données projet'!$B$9,Paramètres!$A$1:$I$89,5,0)</f>
        <v>112.69440000000002</v>
      </c>
      <c r="P38" s="13">
        <f t="shared" si="33"/>
        <v>29.964909381330632</v>
      </c>
      <c r="Q38" s="20">
        <f t="shared" si="53"/>
        <v>248.46496383915087</v>
      </c>
      <c r="R38" s="59">
        <f t="shared" si="0"/>
        <v>492.1154965637254</v>
      </c>
      <c r="S38" s="59">
        <f ca="1">AVERAGE(OFFSET($R$3,0,0,'Données projet'!$E$9+1,1))-AVERAGE(OFFSET($H$3,0,0,'Données projet'!$E$9+1,1))</f>
        <v>328.99319251806747</v>
      </c>
      <c r="T38" s="59">
        <f t="shared" si="34"/>
        <v>270.36198290276695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24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0.45134137982961992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2.2533483158716887</v>
      </c>
      <c r="AC38" s="22">
        <f t="shared" si="3"/>
        <v>2.7046896957013087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14.600000000000009</v>
      </c>
      <c r="AI38" s="13">
        <f>IF('Données projet'!$A$62&gt;35,AI37+AH38-AQ37,IF(A38&lt;'Données projet'!$A$62,$AF$205^A38,IF(A38='Données projet'!$A$62,'Données projet'!$B$62,AI37+AH38-AQ37)))</f>
        <v>247.99999999999994</v>
      </c>
      <c r="AJ38" s="13">
        <f>AI38*VLOOKUP('Données projet'!$B$10,Paramètres!$A$1:$I$89,3,0)*VLOOKUP('Données projet'!$B$10,Paramètres!$A$1:$I$89,5,0)</f>
        <v>148.30399999999997</v>
      </c>
      <c r="AK38" s="13">
        <f t="shared" si="35"/>
        <v>38.192908835171721</v>
      </c>
      <c r="AL38" s="20">
        <f t="shared" si="4"/>
        <v>324.81544955459071</v>
      </c>
      <c r="AM38" s="59">
        <f t="shared" si="5"/>
        <v>568.46598227916525</v>
      </c>
      <c r="AN38" s="59">
        <f ca="1">AVERAGE(OFFSET($AM$3,0,0,'Données projet'!$E$10+1,1))-AVERAGE(OFFSET($H$3,0,0,'Données projet'!$E$10+1,1))</f>
        <v>274.23303062063621</v>
      </c>
      <c r="AO38" s="59">
        <f t="shared" si="36"/>
        <v>289.08677371938779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#VALUE!</v>
      </c>
      <c r="AV38" s="21" t="e">
        <f>EXP(-LN(2)/25)*AV37+(1-EXP(-LN(2)/25))/(LN(2)/25)*Calculateur!AQ38*Calculateur!AS38*VLOOKUP('Données projet'!$B$10,Paramètres!$A$1:$I$89,3,0)*0.475*44/12</f>
        <v>#VALUE!</v>
      </c>
      <c r="AW38" s="21" t="e">
        <f>EXP(-LN(2)/2)*AW37+(1-EXP(-LN(2)/2))/(LN(2)/2)*AQ38*AT38*VLOOKUP('Données projet'!$B$10,Paramètres!$A$1:$I$89,3,0)*0.475*44/12</f>
        <v>#VALUE!</v>
      </c>
      <c r="AX38" s="21" t="e">
        <f t="shared" si="6"/>
        <v>#VALUE!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</v>
      </c>
      <c r="N39" s="13">
        <f>IF('Données projet'!$A$36&gt;35,N38+M39-V38,IF(A39&lt;'Données projet'!$A$36,$K$205^A39,IF(A39='Données projet'!$A$36,'Données projet'!$B$36,N38+M39-V38)))</f>
        <v>113</v>
      </c>
      <c r="O39" s="13">
        <f>N39*VLOOKUP('Données projet'!$B$9,Paramètres!$A$1:$I$89,3,0)*VLOOKUP('Données projet'!$B$9,Paramètres!$A$1:$I$89,5,0)</f>
        <v>98.716800000000021</v>
      </c>
      <c r="P39" s="13">
        <f t="shared" si="33"/>
        <v>26.656063438447475</v>
      </c>
      <c r="Q39" s="20">
        <f t="shared" si="53"/>
        <v>218.35773715529604</v>
      </c>
      <c r="R39" s="59">
        <f t="shared" si="0"/>
        <v>462.87015539633046</v>
      </c>
      <c r="S39" s="59">
        <f ca="1">AVERAGE(OFFSET($R$3,0,0,'Données projet'!$E$9+1,1))-AVERAGE(OFFSET($H$3,0,0,'Données projet'!$E$9+1,1))</f>
        <v>328.99319251806747</v>
      </c>
      <c r="T39" s="59">
        <f t="shared" si="34"/>
        <v>270.36198290276695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0.44249085066222005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1.5933578745281576</v>
      </c>
      <c r="AC39" s="22">
        <f t="shared" si="3"/>
        <v>2.0358487251903776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262.60000000000002</v>
      </c>
      <c r="AG39" s="12">
        <f>VLOOKUP(A39,'Données projet'!$A$61:$I$81,9,0)</f>
        <v>14.600000000000009</v>
      </c>
      <c r="AH39" s="12">
        <f t="array" ref="AH39">INDEX(AG:AG,MIN(IF(ISNUMBER(AG39:AG235),ROW(AG39:AG235),"")))</f>
        <v>14.600000000000009</v>
      </c>
      <c r="AI39" s="13">
        <f>IF('Données projet'!$A$62&gt;35,AI38+AH39-AQ38,IF(A39&lt;'Données projet'!$A$62,$AF$205^A39,IF(A39='Données projet'!$A$62,'Données projet'!$B$62,AI38+AH39-AQ38)))</f>
        <v>262.59999999999997</v>
      </c>
      <c r="AJ39" s="13">
        <f>AI39*VLOOKUP('Données projet'!$B$10,Paramètres!$A$1:$I$89,3,0)*VLOOKUP('Données projet'!$B$10,Paramètres!$A$1:$I$89,5,0)</f>
        <v>157.03479999999999</v>
      </c>
      <c r="AK39" s="13">
        <f t="shared" si="35"/>
        <v>40.172979873645495</v>
      </c>
      <c r="AL39" s="20">
        <f t="shared" si="4"/>
        <v>343.47021661326585</v>
      </c>
      <c r="AM39" s="59">
        <f t="shared" si="5"/>
        <v>587.98263485430027</v>
      </c>
      <c r="AN39" s="59">
        <f ca="1">AVERAGE(OFFSET($AM$3,0,0,'Données projet'!$E$10+1,1))-AVERAGE(OFFSET($H$3,0,0,'Données projet'!$E$10+1,1))</f>
        <v>274.23303062063621</v>
      </c>
      <c r="AO39" s="59">
        <f t="shared" si="36"/>
        <v>289.08677371938779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65.599999999999994</v>
      </c>
      <c r="AR39" s="16" t="e">
        <f>IF(ISNA(VLOOKUP(A39,'Données projet'!$A$61:$I$81,5,0)),0%,VLOOKUP(A39,'Données projet'!$A$61:$I$81,5,0)*VLOOKUP('Données projet'!$B$10,Paramètres!$A$1:$I$89,7,0))</f>
        <v>#VALUE!</v>
      </c>
      <c r="AS39" s="16" t="e">
        <f>IF(ISNA(VLOOKUP(A39,'Données projet'!$A$61:$I$81,6,0)),0%,VLOOKUP(A39,'Données projet'!$A$61:$I$81,6,0)*VLOOKUP('Données projet'!$B$10,Paramètres!$A$1:$I$89,7,0))</f>
        <v>#VALUE!</v>
      </c>
      <c r="AT39" s="16" t="str">
        <f>IF(ISNA(VLOOKUP(A39,'Données projet'!$A$61:$I$81,7,0)),0%,VLOOKUP(A39,'Données projet'!$A$61:$I$81,7,0))</f>
        <v/>
      </c>
      <c r="AU39" s="21" t="e">
        <f>EXP(-LN(2)/35)*AU38+(1-EXP(-LN(2)/35))/(LN(2)/35)*AQ39*AR39*VLOOKUP('Données projet'!$B$10,Paramètres!$A$1:$I$89,3,0)*0.475*44/12</f>
        <v>#VALUE!</v>
      </c>
      <c r="AV39" s="21" t="e">
        <f>EXP(-LN(2)/25)*AV38+(1-EXP(-LN(2)/25))/(LN(2)/25)*Calculateur!AQ39*Calculateur!AS39*VLOOKUP('Données projet'!$B$10,Paramètres!$A$1:$I$89,3,0)*0.475*44/12</f>
        <v>#VALUE!</v>
      </c>
      <c r="AW39" s="21" t="e">
        <f>EXP(-LN(2)/2)*AW38+(1-EXP(-LN(2)/2))/(LN(2)/2)*AQ39*AT39*VLOOKUP('Données projet'!$B$10,Paramètres!$A$1:$I$89,3,0)*0.475*44/12</f>
        <v>#VALUE!</v>
      </c>
      <c r="AX39" s="21" t="e">
        <f t="shared" si="6"/>
        <v>#VALUE!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</v>
      </c>
      <c r="N40" s="13">
        <f>IF('Données projet'!$A$36&gt;35,N39+M40-V39,IF(A40&lt;'Données projet'!$A$36,$K$205^A40,IF(A40='Données projet'!$A$36,'Données projet'!$B$36,N39+M40-V39)))</f>
        <v>121</v>
      </c>
      <c r="O40" s="13">
        <f>N40*VLOOKUP('Données projet'!$B$9,Paramètres!$A$1:$I$89,3,0)*VLOOKUP('Données projet'!$B$9,Paramètres!$A$1:$I$89,5,0)</f>
        <v>105.70560000000002</v>
      </c>
      <c r="P40" s="13">
        <f t="shared" si="33"/>
        <v>28.316857405559993</v>
      </c>
      <c r="Q40" s="20">
        <f t="shared" si="53"/>
        <v>233.42244664801697</v>
      </c>
      <c r="R40" s="59">
        <f t="shared" si="0"/>
        <v>478.78179861868807</v>
      </c>
      <c r="S40" s="59">
        <f ca="1">AVERAGE(OFFSET($R$3,0,0,'Données projet'!$E$9+1,1))-AVERAGE(OFFSET($H$3,0,0,'Données projet'!$E$9+1,1))</f>
        <v>328.99319251806747</v>
      </c>
      <c r="T40" s="59">
        <f t="shared" si="34"/>
        <v>270.36198290276695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0.4338138749735031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1.1266741579358444</v>
      </c>
      <c r="AC40" s="22">
        <f t="shared" si="3"/>
        <v>1.5604880329093476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11.624999999999996</v>
      </c>
      <c r="AI40" s="13">
        <f>IF('Données projet'!$A$62&gt;35,AI39+AH40-AQ39,IF(A40&lt;'Données projet'!$A$62,$AF$205^A40,IF(A40='Données projet'!$A$62,'Données projet'!$B$62,AI39+AH40-AQ39)))</f>
        <v>208.62499999999997</v>
      </c>
      <c r="AJ40" s="13">
        <f>AI40*VLOOKUP('Données projet'!$B$10,Paramètres!$A$1:$I$89,3,0)*VLOOKUP('Données projet'!$B$10,Paramètres!$A$1:$I$89,5,0)</f>
        <v>124.75774999999999</v>
      </c>
      <c r="AK40" s="13">
        <f t="shared" si="35"/>
        <v>32.782142789992399</v>
      </c>
      <c r="AL40" s="20">
        <f t="shared" si="4"/>
        <v>274.38197994257007</v>
      </c>
      <c r="AM40" s="59">
        <f t="shared" si="5"/>
        <v>519.7413319132412</v>
      </c>
      <c r="AN40" s="59">
        <f ca="1">AVERAGE(OFFSET($AM$3,0,0,'Données projet'!$E$10+1,1))-AVERAGE(OFFSET($H$3,0,0,'Données projet'!$E$10+1,1))</f>
        <v>274.23303062063621</v>
      </c>
      <c r="AO40" s="59">
        <f t="shared" si="36"/>
        <v>289.08677371938779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#VALUE!</v>
      </c>
      <c r="AV40" s="21" t="e">
        <f>EXP(-LN(2)/25)*AV39+(1-EXP(-LN(2)/25))/(LN(2)/25)*Calculateur!AQ40*Calculateur!AS40*VLOOKUP('Données projet'!$B$10,Paramètres!$A$1:$I$89,3,0)*0.475*44/12</f>
        <v>#VALUE!</v>
      </c>
      <c r="AW40" s="21" t="e">
        <f>EXP(-LN(2)/2)*AW39+(1-EXP(-LN(2)/2))/(LN(2)/2)*AQ40*AT40*VLOOKUP('Données projet'!$B$10,Paramètres!$A$1:$I$89,3,0)*0.475*44/12</f>
        <v>#VALUE!</v>
      </c>
      <c r="AX40" s="21" t="e">
        <f t="shared" si="6"/>
        <v>#VALUE!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</v>
      </c>
      <c r="N41" s="13">
        <f>IF('Données projet'!$A$36&gt;35,N40+M41-V40,IF(A41&lt;'Données projet'!$A$36,$K$205^A41,IF(A41='Données projet'!$A$36,'Données projet'!$B$36,N40+M41-V40)))</f>
        <v>129</v>
      </c>
      <c r="O41" s="13">
        <f>N41*VLOOKUP('Données projet'!$B$9,Paramètres!$A$1:$I$89,3,0)*VLOOKUP('Données projet'!$B$9,Paramètres!$A$1:$I$89,5,0)</f>
        <v>112.69440000000002</v>
      </c>
      <c r="P41" s="13">
        <f t="shared" si="33"/>
        <v>29.964909381330632</v>
      </c>
      <c r="Q41" s="20">
        <f t="shared" si="53"/>
        <v>248.46496383915087</v>
      </c>
      <c r="R41" s="59">
        <f t="shared" si="0"/>
        <v>494.65655713270962</v>
      </c>
      <c r="S41" s="59">
        <f ca="1">AVERAGE(OFFSET($R$3,0,0,'Données projet'!$E$9+1,1))-AVERAGE(OFFSET($H$3,0,0,'Données projet'!$E$9+1,1))</f>
        <v>328.99319251806747</v>
      </c>
      <c r="T41" s="59">
        <f t="shared" si="34"/>
        <v>270.36198290276695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0.42530704948560932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0.79667893726407879</v>
      </c>
      <c r="AC41" s="22">
        <f t="shared" si="3"/>
        <v>1.2219859867496881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11.624999999999996</v>
      </c>
      <c r="AI41" s="13">
        <f>IF('Données projet'!$A$62&gt;35,AI40+AH41-AQ40,IF(A41&lt;'Données projet'!$A$62,$AF$205^A41,IF(A41='Données projet'!$A$62,'Données projet'!$B$62,AI40+AH41-AQ40)))</f>
        <v>220.24999999999997</v>
      </c>
      <c r="AJ41" s="13">
        <f>AI41*VLOOKUP('Données projet'!$B$10,Paramètres!$A$1:$I$89,3,0)*VLOOKUP('Données projet'!$B$10,Paramètres!$A$1:$I$89,5,0)</f>
        <v>131.70949999999999</v>
      </c>
      <c r="AK41" s="13">
        <f t="shared" si="35"/>
        <v>34.391073742362131</v>
      </c>
      <c r="AL41" s="20">
        <f t="shared" si="4"/>
        <v>289.29183260128065</v>
      </c>
      <c r="AM41" s="59">
        <f t="shared" si="5"/>
        <v>535.48342589483934</v>
      </c>
      <c r="AN41" s="59">
        <f ca="1">AVERAGE(OFFSET($AM$3,0,0,'Données projet'!$E$10+1,1))-AVERAGE(OFFSET($H$3,0,0,'Données projet'!$E$10+1,1))</f>
        <v>274.23303062063621</v>
      </c>
      <c r="AO41" s="59">
        <f t="shared" si="36"/>
        <v>289.08677371938779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#VALUE!</v>
      </c>
      <c r="AV41" s="21" t="e">
        <f>EXP(-LN(2)/25)*AV40+(1-EXP(-LN(2)/25))/(LN(2)/25)*Calculateur!AQ41*Calculateur!AS41*VLOOKUP('Données projet'!$B$10,Paramètres!$A$1:$I$89,3,0)*0.475*44/12</f>
        <v>#VALUE!</v>
      </c>
      <c r="AW41" s="21" t="e">
        <f>EXP(-LN(2)/2)*AW40+(1-EXP(-LN(2)/2))/(LN(2)/2)*AQ41*AT41*VLOOKUP('Données projet'!$B$10,Paramètres!$A$1:$I$89,3,0)*0.475*44/12</f>
        <v>#VALUE!</v>
      </c>
      <c r="AX41" s="21" t="e">
        <f t="shared" si="6"/>
        <v>#VALUE!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</v>
      </c>
      <c r="N42" s="13">
        <f>IF('Données projet'!$A$36&gt;35,N41+M42-V41,IF(A42&lt;'Données projet'!$A$36,$K$205^A42,IF(A42='Données projet'!$A$36,'Données projet'!$B$36,N41+M42-V41)))</f>
        <v>137</v>
      </c>
      <c r="O42" s="13">
        <f>N42*VLOOKUP('Données projet'!$B$9,Paramètres!$A$1:$I$89,3,0)*VLOOKUP('Données projet'!$B$9,Paramètres!$A$1:$I$89,5,0)</f>
        <v>119.68320000000003</v>
      </c>
      <c r="P42" s="13">
        <f t="shared" si="33"/>
        <v>31.601099532596194</v>
      </c>
      <c r="Q42" s="20">
        <f t="shared" si="53"/>
        <v>263.48682168593842</v>
      </c>
      <c r="R42" s="59">
        <f t="shared" si="0"/>
        <v>510.49621877604557</v>
      </c>
      <c r="S42" s="59">
        <f ca="1">AVERAGE(OFFSET($R$3,0,0,'Données projet'!$E$9+1,1))-AVERAGE(OFFSET($H$3,0,0,'Données projet'!$E$9+1,1))</f>
        <v>328.99319251806747</v>
      </c>
      <c r="T42" s="59">
        <f t="shared" si="34"/>
        <v>270.36198290276695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0.41696703765688192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0.56333707896792218</v>
      </c>
      <c r="AC42" s="22">
        <f t="shared" si="3"/>
        <v>0.9803041166248041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11.624999999999996</v>
      </c>
      <c r="AI42" s="13">
        <f>IF('Données projet'!$A$62&gt;35,AI41+AH42-AQ41,IF(A42&lt;'Données projet'!$A$62,$AF$205^A42,IF(A42='Données projet'!$A$62,'Données projet'!$B$62,AI41+AH42-AQ41)))</f>
        <v>231.87499999999997</v>
      </c>
      <c r="AJ42" s="13">
        <f>AI42*VLOOKUP('Données projet'!$B$10,Paramètres!$A$1:$I$89,3,0)*VLOOKUP('Données projet'!$B$10,Paramètres!$A$1:$I$89,5,0)</f>
        <v>138.66125</v>
      </c>
      <c r="AK42" s="13">
        <f t="shared" si="35"/>
        <v>35.990145375046829</v>
      </c>
      <c r="AL42" s="20">
        <f t="shared" si="4"/>
        <v>304.1845136115399</v>
      </c>
      <c r="AM42" s="59">
        <f t="shared" si="5"/>
        <v>551.19391070164704</v>
      </c>
      <c r="AN42" s="59">
        <f ca="1">AVERAGE(OFFSET($AM$3,0,0,'Données projet'!$E$10+1,1))-AVERAGE(OFFSET($H$3,0,0,'Données projet'!$E$10+1,1))</f>
        <v>274.23303062063621</v>
      </c>
      <c r="AO42" s="59">
        <f t="shared" si="36"/>
        <v>289.08677371938779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#VALUE!</v>
      </c>
      <c r="AV42" s="21" t="e">
        <f>EXP(-LN(2)/25)*AV41+(1-EXP(-LN(2)/25))/(LN(2)/25)*Calculateur!AQ42*Calculateur!AS42*VLOOKUP('Données projet'!$B$10,Paramètres!$A$1:$I$89,3,0)*0.475*44/12</f>
        <v>#VALUE!</v>
      </c>
      <c r="AW42" s="21" t="e">
        <f>EXP(-LN(2)/2)*AW41+(1-EXP(-LN(2)/2))/(LN(2)/2)*AQ42*AT42*VLOOKUP('Données projet'!$B$10,Paramètres!$A$1:$I$89,3,0)*0.475*44/12</f>
        <v>#VALUE!</v>
      </c>
      <c r="AX42" s="21" t="e">
        <f t="shared" si="6"/>
        <v>#VALUE!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145</v>
      </c>
      <c r="L43" s="12">
        <f>VLOOKUP(A43,'Données projet'!$A$35:$I$55,9,0)</f>
        <v>8</v>
      </c>
      <c r="M43" s="12">
        <f t="array" ref="M43">INDEX(L:L,MIN(IF(ISNUMBER(L43:L239),ROW(L43:L239),"")))</f>
        <v>8</v>
      </c>
      <c r="N43" s="13">
        <f>IF('Données projet'!$A$36&gt;35,N42+M43-V42,IF(A43&lt;'Données projet'!$A$36,$K$205^A43,IF(A43='Données projet'!$A$36,'Données projet'!$B$36,N42+M43-V42)))</f>
        <v>145</v>
      </c>
      <c r="O43" s="13">
        <f>N43*VLOOKUP('Données projet'!$B$9,Paramètres!$A$1:$I$89,3,0)*VLOOKUP('Données projet'!$B$9,Paramètres!$A$1:$I$89,5,0)</f>
        <v>126.67200000000001</v>
      </c>
      <c r="P43" s="13">
        <f t="shared" si="33"/>
        <v>33.226199426361347</v>
      </c>
      <c r="Q43" s="20">
        <f t="shared" si="53"/>
        <v>278.48936400091276</v>
      </c>
      <c r="R43" s="59">
        <f t="shared" si="0"/>
        <v>526.3023778200336</v>
      </c>
      <c r="S43" s="59">
        <f ca="1">AVERAGE(OFFSET($R$3,0,0,'Données projet'!$E$9+1,1))-AVERAGE(OFFSET($H$3,0,0,'Données projet'!$E$9+1,1))</f>
        <v>328.99319251806747</v>
      </c>
      <c r="T43" s="59">
        <f t="shared" si="34"/>
        <v>270.36198290276695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23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0.40879056837321093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0.3983394686320394</v>
      </c>
      <c r="AC43" s="22">
        <f t="shared" si="3"/>
        <v>0.80713003700525032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11.624999999999996</v>
      </c>
      <c r="AI43" s="13">
        <f>IF('Données projet'!$A$62&gt;35,AI42+AH43-AQ42,IF(A43&lt;'Données projet'!$A$62,$AF$205^A43,IF(A43='Données projet'!$A$62,'Données projet'!$B$62,AI42+AH43-AQ42)))</f>
        <v>243.49999999999997</v>
      </c>
      <c r="AJ43" s="13">
        <f>AI43*VLOOKUP('Données projet'!$B$10,Paramètres!$A$1:$I$89,3,0)*VLOOKUP('Données projet'!$B$10,Paramètres!$A$1:$I$89,5,0)</f>
        <v>145.613</v>
      </c>
      <c r="AK43" s="13">
        <f t="shared" si="35"/>
        <v>37.579908384199868</v>
      </c>
      <c r="AL43" s="20">
        <f t="shared" si="4"/>
        <v>319.06098210248143</v>
      </c>
      <c r="AM43" s="59">
        <f t="shared" si="5"/>
        <v>566.87399592160227</v>
      </c>
      <c r="AN43" s="59">
        <f ca="1">AVERAGE(OFFSET($AM$3,0,0,'Données projet'!$E$10+1,1))-AVERAGE(OFFSET($H$3,0,0,'Données projet'!$E$10+1,1))</f>
        <v>274.23303062063621</v>
      </c>
      <c r="AO43" s="59">
        <f t="shared" si="36"/>
        <v>289.08677371938779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#VALUE!</v>
      </c>
      <c r="AV43" s="21" t="e">
        <f>EXP(-LN(2)/25)*AV42+(1-EXP(-LN(2)/25))/(LN(2)/25)*Calculateur!AQ43*Calculateur!AS43*VLOOKUP('Données projet'!$B$10,Paramètres!$A$1:$I$89,3,0)*0.475*44/12</f>
        <v>#VALUE!</v>
      </c>
      <c r="AW43" s="21" t="e">
        <f>EXP(-LN(2)/2)*AW42+(1-EXP(-LN(2)/2))/(LN(2)/2)*AQ43*AT43*VLOOKUP('Données projet'!$B$10,Paramètres!$A$1:$I$89,3,0)*0.475*44/12</f>
        <v>#VALUE!</v>
      </c>
      <c r="AX43" s="21" t="e">
        <f t="shared" si="6"/>
        <v>#VALUE!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7.2</v>
      </c>
      <c r="N44" s="13">
        <f>IF('Données projet'!$A$36&gt;35,N43+M44-V43,IF(A44&lt;'Données projet'!$A$36,$K$205^A44,IF(A44='Données projet'!$A$36,'Données projet'!$B$36,N43+M44-V43)))</f>
        <v>129.19999999999999</v>
      </c>
      <c r="O44" s="13">
        <f>N44*VLOOKUP('Données projet'!$B$9,Paramètres!$A$1:$I$89,3,0)*VLOOKUP('Données projet'!$B$9,Paramètres!$A$1:$I$89,5,0)</f>
        <v>112.86912000000001</v>
      </c>
      <c r="P44" s="13">
        <f t="shared" si="33"/>
        <v>30.00595528244644</v>
      </c>
      <c r="Q44" s="20">
        <f t="shared" si="53"/>
        <v>248.84075611692757</v>
      </c>
      <c r="R44" s="59">
        <f t="shared" si="0"/>
        <v>497.44344571143154</v>
      </c>
      <c r="S44" s="59">
        <f ca="1">AVERAGE(OFFSET($R$3,0,0,'Données projet'!$E$9+1,1))-AVERAGE(OFFSET($H$3,0,0,'Données projet'!$E$9+1,1))</f>
        <v>328.99319251806747</v>
      </c>
      <c r="T44" s="59">
        <f t="shared" si="34"/>
        <v>270.36198290276695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0.40077443466503893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0.28166853948396109</v>
      </c>
      <c r="AC44" s="22">
        <f t="shared" si="3"/>
        <v>0.68244297414900001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11.624999999999996</v>
      </c>
      <c r="AI44" s="13">
        <f>IF('Données projet'!$A$62&gt;35,AI43+AH44-AQ43,IF(A44&lt;'Données projet'!$A$62,$AF$205^A44,IF(A44='Données projet'!$A$62,'Données projet'!$B$62,AI43+AH44-AQ43)))</f>
        <v>255.12499999999997</v>
      </c>
      <c r="AJ44" s="13">
        <f>AI44*VLOOKUP('Données projet'!$B$10,Paramètres!$A$1:$I$89,3,0)*VLOOKUP('Données projet'!$B$10,Paramètres!$A$1:$I$89,5,0)</f>
        <v>152.56474999999998</v>
      </c>
      <c r="AK44" s="13">
        <f t="shared" si="35"/>
        <v>39.160857912984248</v>
      </c>
      <c r="AL44" s="20">
        <f t="shared" si="4"/>
        <v>333.92210044844751</v>
      </c>
      <c r="AM44" s="59">
        <f t="shared" si="5"/>
        <v>582.52479004295151</v>
      </c>
      <c r="AN44" s="59">
        <f ca="1">AVERAGE(OFFSET($AM$3,0,0,'Données projet'!$E$10+1,1))-AVERAGE(OFFSET($H$3,0,0,'Données projet'!$E$10+1,1))</f>
        <v>274.23303062063621</v>
      </c>
      <c r="AO44" s="59">
        <f t="shared" si="36"/>
        <v>289.08677371938779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#VALUE!</v>
      </c>
      <c r="AV44" s="21" t="e">
        <f>EXP(-LN(2)/25)*AV43+(1-EXP(-LN(2)/25))/(LN(2)/25)*Calculateur!AQ44*Calculateur!AS44*VLOOKUP('Données projet'!$B$10,Paramètres!$A$1:$I$89,3,0)*0.475*44/12</f>
        <v>#VALUE!</v>
      </c>
      <c r="AW44" s="21" t="e">
        <f>EXP(-LN(2)/2)*AW43+(1-EXP(-LN(2)/2))/(LN(2)/2)*AQ44*AT44*VLOOKUP('Données projet'!$B$10,Paramètres!$A$1:$I$89,3,0)*0.475*44/12</f>
        <v>#VALUE!</v>
      </c>
      <c r="AX44" s="21" t="e">
        <f t="shared" si="6"/>
        <v>#VALUE!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7.2</v>
      </c>
      <c r="N45" s="13">
        <f>IF('Données projet'!$A$36&gt;35,N44+M45-V44,IF(A45&lt;'Données projet'!$A$36,$K$205^A45,IF(A45='Données projet'!$A$36,'Données projet'!$B$36,N44+M45-V44)))</f>
        <v>136.39999999999998</v>
      </c>
      <c r="O45" s="13">
        <f>N45*VLOOKUP('Données projet'!$B$9,Paramètres!$A$1:$I$89,3,0)*VLOOKUP('Données projet'!$B$9,Paramètres!$A$1:$I$89,5,0)</f>
        <v>119.15904</v>
      </c>
      <c r="P45" s="13">
        <f t="shared" si="33"/>
        <v>31.478778976043738</v>
      </c>
      <c r="Q45" s="20">
        <f t="shared" si="53"/>
        <v>262.36086804994289</v>
      </c>
      <c r="R45" s="59">
        <f t="shared" si="0"/>
        <v>511.7395343105776</v>
      </c>
      <c r="S45" s="59">
        <f ca="1">AVERAGE(OFFSET($R$3,0,0,'Données projet'!$E$9+1,1))-AVERAGE(OFFSET($H$3,0,0,'Données projet'!$E$9+1,1))</f>
        <v>328.99319251806747</v>
      </c>
      <c r="T45" s="59">
        <f t="shared" si="34"/>
        <v>270.36198290276695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0.39291549244952539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0.1991697343160197</v>
      </c>
      <c r="AC45" s="22">
        <f t="shared" si="3"/>
        <v>0.59208522676554509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11.624999999999996</v>
      </c>
      <c r="AI45" s="13">
        <f>IF('Données projet'!$A$62&gt;35,AI44+AH45-AQ44,IF(A45&lt;'Données projet'!$A$62,$AF$205^A45,IF(A45='Données projet'!$A$62,'Données projet'!$B$62,AI44+AH45-AQ44)))</f>
        <v>266.74999999999994</v>
      </c>
      <c r="AJ45" s="13">
        <f>AI45*VLOOKUP('Données projet'!$B$10,Paramètres!$A$1:$I$89,3,0)*VLOOKUP('Données projet'!$B$10,Paramètres!$A$1:$I$89,5,0)</f>
        <v>159.51649999999998</v>
      </c>
      <c r="AK45" s="13">
        <f t="shared" si="35"/>
        <v>40.733441430679065</v>
      </c>
      <c r="AL45" s="20">
        <f t="shared" si="4"/>
        <v>348.76864799176593</v>
      </c>
      <c r="AM45" s="59">
        <f t="shared" si="5"/>
        <v>598.14731425240063</v>
      </c>
      <c r="AN45" s="59">
        <f ca="1">AVERAGE(OFFSET($AM$3,0,0,'Données projet'!$E$10+1,1))-AVERAGE(OFFSET($H$3,0,0,'Données projet'!$E$10+1,1))</f>
        <v>274.23303062063621</v>
      </c>
      <c r="AO45" s="59">
        <f t="shared" si="36"/>
        <v>289.08677371938779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#VALUE!</v>
      </c>
      <c r="AV45" s="21" t="e">
        <f>EXP(-LN(2)/25)*AV44+(1-EXP(-LN(2)/25))/(LN(2)/25)*Calculateur!AQ45*Calculateur!AS45*VLOOKUP('Données projet'!$B$10,Paramètres!$A$1:$I$89,3,0)*0.475*44/12</f>
        <v>#VALUE!</v>
      </c>
      <c r="AW45" s="21" t="e">
        <f>EXP(-LN(2)/2)*AW44+(1-EXP(-LN(2)/2))/(LN(2)/2)*AQ45*AT45*VLOOKUP('Données projet'!$B$10,Paramètres!$A$1:$I$89,3,0)*0.475*44/12</f>
        <v>#VALUE!</v>
      </c>
      <c r="AX45" s="21" t="e">
        <f t="shared" si="6"/>
        <v>#VALUE!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7.2</v>
      </c>
      <c r="N46" s="13">
        <f>IF('Données projet'!$A$36&gt;35,N45+M46-V45,IF(A46&lt;'Données projet'!$A$36,$K$205^A46,IF(A46='Données projet'!$A$36,'Données projet'!$B$36,N45+M46-V45)))</f>
        <v>143.59999999999997</v>
      </c>
      <c r="O46" s="13">
        <f>N46*VLOOKUP('Données projet'!$B$9,Paramètres!$A$1:$I$89,3,0)*VLOOKUP('Données projet'!$B$9,Paramètres!$A$1:$I$89,5,0)</f>
        <v>125.44895999999997</v>
      </c>
      <c r="P46" s="13">
        <f t="shared" si="33"/>
        <v>32.942576545548221</v>
      </c>
      <c r="Q46" s="20">
        <f t="shared" si="53"/>
        <v>275.86525948349646</v>
      </c>
      <c r="R46" s="59">
        <f t="shared" si="0"/>
        <v>526.00644094992845</v>
      </c>
      <c r="S46" s="59">
        <f ca="1">AVERAGE(OFFSET($R$3,0,0,'Données projet'!$E$9+1,1))-AVERAGE(OFFSET($H$3,0,0,'Données projet'!$E$9+1,1))</f>
        <v>328.99319251806747</v>
      </c>
      <c r="T46" s="59">
        <f t="shared" si="34"/>
        <v>270.36198290276695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0.38521065929737663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0.14083426974198054</v>
      </c>
      <c r="AC46" s="22">
        <f t="shared" si="3"/>
        <v>0.52604492903935718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11.624999999999996</v>
      </c>
      <c r="AI46" s="13">
        <f>IF('Données projet'!$A$62&gt;35,AI45+AH46-AQ45,IF(A46&lt;'Données projet'!$A$62,$AF$205^A46,IF(A46='Données projet'!$A$62,'Données projet'!$B$62,AI45+AH46-AQ45)))</f>
        <v>278.37499999999994</v>
      </c>
      <c r="AJ46" s="13">
        <f>AI46*VLOOKUP('Données projet'!$B$10,Paramètres!$A$1:$I$89,3,0)*VLOOKUP('Données projet'!$B$10,Paramètres!$A$1:$I$89,5,0)</f>
        <v>166.46824999999998</v>
      </c>
      <c r="AK46" s="13">
        <f t="shared" si="35"/>
        <v>42.298065199537241</v>
      </c>
      <c r="AL46" s="20">
        <f t="shared" si="4"/>
        <v>363.60133230586069</v>
      </c>
      <c r="AM46" s="59">
        <f t="shared" si="5"/>
        <v>613.7425137722928</v>
      </c>
      <c r="AN46" s="59">
        <f ca="1">AVERAGE(OFFSET($AM$3,0,0,'Données projet'!$E$10+1,1))-AVERAGE(OFFSET($H$3,0,0,'Données projet'!$E$10+1,1))</f>
        <v>274.23303062063621</v>
      </c>
      <c r="AO46" s="59">
        <f t="shared" si="36"/>
        <v>289.08677371938779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#VALUE!</v>
      </c>
      <c r="AV46" s="21" t="e">
        <f>EXP(-LN(2)/25)*AV45+(1-EXP(-LN(2)/25))/(LN(2)/25)*Calculateur!AQ46*Calculateur!AS46*VLOOKUP('Données projet'!$B$10,Paramètres!$A$1:$I$89,3,0)*0.475*44/12</f>
        <v>#VALUE!</v>
      </c>
      <c r="AW46" s="21" t="e">
        <f>EXP(-LN(2)/2)*AW45+(1-EXP(-LN(2)/2))/(LN(2)/2)*AQ46*AT46*VLOOKUP('Données projet'!$B$10,Paramètres!$A$1:$I$89,3,0)*0.475*44/12</f>
        <v>#VALUE!</v>
      </c>
      <c r="AX46" s="21" t="e">
        <f t="shared" si="6"/>
        <v>#VALUE!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7.2</v>
      </c>
      <c r="N47" s="13">
        <f>IF('Données projet'!$A$36&gt;35,N46+M47-V46,IF(A47&lt;'Données projet'!$A$36,$K$205^A47,IF(A47='Données projet'!$A$36,'Données projet'!$B$36,N46+M47-V46)))</f>
        <v>150.79999999999995</v>
      </c>
      <c r="O47" s="13">
        <f>N47*VLOOKUP('Données projet'!$B$9,Paramètres!$A$1:$I$89,3,0)*VLOOKUP('Données projet'!$B$9,Paramètres!$A$1:$I$89,5,0)</f>
        <v>131.73887999999997</v>
      </c>
      <c r="P47" s="13">
        <f t="shared" si="33"/>
        <v>34.397852193895829</v>
      </c>
      <c r="Q47" s="20">
        <f t="shared" si="53"/>
        <v>289.35480857103522</v>
      </c>
      <c r="R47" s="59">
        <f t="shared" si="0"/>
        <v>540.24527730917271</v>
      </c>
      <c r="S47" s="59">
        <f ca="1">AVERAGE(OFFSET($R$3,0,0,'Données projet'!$E$9+1,1))-AVERAGE(OFFSET($H$3,0,0,'Données projet'!$E$9+1,1))</f>
        <v>328.99319251806747</v>
      </c>
      <c r="T47" s="59">
        <f t="shared" si="34"/>
        <v>270.36198290276695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0.37765691322385736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9.9584867158009849E-2</v>
      </c>
      <c r="AC47" s="22">
        <f t="shared" si="3"/>
        <v>0.47724178038186721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290</v>
      </c>
      <c r="AG47" s="12">
        <f>VLOOKUP(A47,'Données projet'!$A$61:$I$81,9,0)</f>
        <v>11.624999999999996</v>
      </c>
      <c r="AH47" s="12">
        <f t="array" ref="AH47">INDEX(AG:AG,MIN(IF(ISNUMBER(AG47:AG243),ROW(AG47:AG243),"")))</f>
        <v>11.624999999999996</v>
      </c>
      <c r="AI47" s="13">
        <f>IF('Données projet'!$A$62&gt;35,AI46+AH47-AQ46,IF(A47&lt;'Données projet'!$A$62,$AF$205^A47,IF(A47='Données projet'!$A$62,'Données projet'!$B$62,AI46+AH47-AQ46)))</f>
        <v>289.99999999999994</v>
      </c>
      <c r="AJ47" s="13">
        <f>AI47*VLOOKUP('Données projet'!$B$10,Paramètres!$A$1:$I$89,3,0)*VLOOKUP('Données projet'!$B$10,Paramètres!$A$1:$I$89,5,0)</f>
        <v>173.42</v>
      </c>
      <c r="AK47" s="13">
        <f t="shared" si="35"/>
        <v>43.855099630972404</v>
      </c>
      <c r="AL47" s="20">
        <f t="shared" si="4"/>
        <v>378.42079852394357</v>
      </c>
      <c r="AM47" s="59">
        <f t="shared" si="5"/>
        <v>629.31126726208095</v>
      </c>
      <c r="AN47" s="59">
        <f ca="1">AVERAGE(OFFSET($AM$3,0,0,'Données projet'!$E$10+1,1))-AVERAGE(OFFSET($H$3,0,0,'Données projet'!$E$10+1,1))</f>
        <v>274.23303062063621</v>
      </c>
      <c r="AO47" s="59">
        <f t="shared" si="36"/>
        <v>289.08677371938779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64.5</v>
      </c>
      <c r="AR47" s="16" t="e">
        <f>IF(ISNA(VLOOKUP(A47,'Données projet'!$A$61:$I$81,5,0)),0%,VLOOKUP(A47,'Données projet'!$A$61:$I$81,5,0)*VLOOKUP('Données projet'!$B$10,Paramètres!$A$1:$I$89,7,0))</f>
        <v>#VALUE!</v>
      </c>
      <c r="AS47" s="16" t="e">
        <f>IF(ISNA(VLOOKUP(A47,'Données projet'!$A$61:$I$81,6,0)),0%,VLOOKUP(A47,'Données projet'!$A$61:$I$81,6,0)*VLOOKUP('Données projet'!$B$10,Paramètres!$A$1:$I$89,7,0))</f>
        <v>#VALUE!</v>
      </c>
      <c r="AT47" s="16" t="str">
        <f>IF(ISNA(VLOOKUP(A47,'Données projet'!$A$61:$I$81,7,0)),0%,VLOOKUP(A47,'Données projet'!$A$61:$I$81,7,0))</f>
        <v/>
      </c>
      <c r="AU47" s="21" t="e">
        <f>EXP(-LN(2)/35)*AU46+(1-EXP(-LN(2)/35))/(LN(2)/35)*AQ47*AR47*VLOOKUP('Données projet'!$B$10,Paramètres!$A$1:$I$89,3,0)*0.475*44/12</f>
        <v>#VALUE!</v>
      </c>
      <c r="AV47" s="21" t="e">
        <f>EXP(-LN(2)/25)*AV46+(1-EXP(-LN(2)/25))/(LN(2)/25)*Calculateur!AQ47*Calculateur!AS47*VLOOKUP('Données projet'!$B$10,Paramètres!$A$1:$I$89,3,0)*0.475*44/12</f>
        <v>#VALUE!</v>
      </c>
      <c r="AW47" s="21" t="e">
        <f>EXP(-LN(2)/2)*AW46+(1-EXP(-LN(2)/2))/(LN(2)/2)*AQ47*AT47*VLOOKUP('Données projet'!$B$10,Paramètres!$A$1:$I$89,3,0)*0.475*44/12</f>
        <v>#VALUE!</v>
      </c>
      <c r="AX47" s="21" t="e">
        <f t="shared" si="6"/>
        <v>#VALUE!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7.2</v>
      </c>
      <c r="M48" s="12">
        <f t="array" ref="M48">INDEX(L:L,MIN(IF(ISNUMBER(L48:L244),ROW(L48:L244),"")))</f>
        <v>7.2</v>
      </c>
      <c r="N48" s="13">
        <f>IF('Données projet'!$A$36&gt;35,N47+M48-V47,IF(A48&lt;'Données projet'!$A$36,$K$205^A48,IF(A48='Données projet'!$A$36,'Données projet'!$B$36,N47+M48-V47)))</f>
        <v>157.99999999999994</v>
      </c>
      <c r="O48" s="13">
        <f>N48*VLOOKUP('Données projet'!$B$9,Paramètres!$A$1:$I$89,3,0)*VLOOKUP('Données projet'!$B$9,Paramètres!$A$1:$I$89,5,0)</f>
        <v>138.02879999999996</v>
      </c>
      <c r="P48" s="13">
        <f t="shared" si="33"/>
        <v>35.845059256813073</v>
      </c>
      <c r="Q48" s="20">
        <f t="shared" si="53"/>
        <v>302.83030487228268</v>
      </c>
      <c r="R48" s="59">
        <f t="shared" si="0"/>
        <v>554.45706242311678</v>
      </c>
      <c r="S48" s="59">
        <f ca="1">AVERAGE(OFFSET($R$3,0,0,'Données projet'!$E$9+1,1))-AVERAGE(OFFSET($H$3,0,0,'Données projet'!$E$9+1,1))</f>
        <v>328.99319251806747</v>
      </c>
      <c r="T48" s="59">
        <f t="shared" si="34"/>
        <v>270.36198290276695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22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0.37025129150350961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7.0417134870990272E-2</v>
      </c>
      <c r="AC48" s="22">
        <f t="shared" si="3"/>
        <v>0.44066842637449988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13.287500000000001</v>
      </c>
      <c r="AI48" s="13">
        <f>IF('Données projet'!$A$62&gt;35,AI47+AH48-AQ47,IF(A48&lt;'Données projet'!$A$62,$AF$205^A48,IF(A48='Données projet'!$A$62,'Données projet'!$B$62,AI47+AH48-AQ47)))</f>
        <v>238.78749999999997</v>
      </c>
      <c r="AJ48" s="13">
        <f>AI48*VLOOKUP('Données projet'!$B$10,Paramètres!$A$1:$I$89,3,0)*VLOOKUP('Données projet'!$B$10,Paramètres!$A$1:$I$89,5,0)</f>
        <v>142.79492500000001</v>
      </c>
      <c r="AK48" s="13">
        <f t="shared" si="35"/>
        <v>36.936545101181174</v>
      </c>
      <c r="AL48" s="20">
        <f t="shared" si="4"/>
        <v>313.03231042622389</v>
      </c>
      <c r="AM48" s="59">
        <f t="shared" si="5"/>
        <v>564.65906797705804</v>
      </c>
      <c r="AN48" s="59">
        <f ca="1">AVERAGE(OFFSET($AM$3,0,0,'Données projet'!$E$10+1,1))-AVERAGE(OFFSET($H$3,0,0,'Données projet'!$E$10+1,1))</f>
        <v>274.23303062063621</v>
      </c>
      <c r="AO48" s="59">
        <f t="shared" si="36"/>
        <v>289.08677371938779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#VALUE!</v>
      </c>
      <c r="AV48" s="21" t="e">
        <f>EXP(-LN(2)/25)*AV47+(1-EXP(-LN(2)/25))/(LN(2)/25)*Calculateur!AQ48*Calculateur!AS48*VLOOKUP('Données projet'!$B$10,Paramètres!$A$1:$I$89,3,0)*0.475*44/12</f>
        <v>#VALUE!</v>
      </c>
      <c r="AW48" s="21" t="e">
        <f>EXP(-LN(2)/2)*AW47+(1-EXP(-LN(2)/2))/(LN(2)/2)*AQ48*AT48*VLOOKUP('Données projet'!$B$10,Paramètres!$A$1:$I$89,3,0)*0.475*44/12</f>
        <v>#VALUE!</v>
      </c>
      <c r="AX48" s="21" t="e">
        <f t="shared" si="6"/>
        <v>#VALUE!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6.8</v>
      </c>
      <c r="N49" s="13">
        <f>IF('Données projet'!$A$36&gt;35,N48+M49-V48,IF(A49&lt;'Données projet'!$A$36,$K$205^A49,IF(A49='Données projet'!$A$36,'Données projet'!$B$36,N48+M49-V48)))</f>
        <v>142.79999999999995</v>
      </c>
      <c r="O49" s="13">
        <f>N49*VLOOKUP('Données projet'!$B$9,Paramètres!$A$1:$I$89,3,0)*VLOOKUP('Données projet'!$B$9,Paramètres!$A$1:$I$89,5,0)</f>
        <v>124.75007999999997</v>
      </c>
      <c r="P49" s="13">
        <f t="shared" si="33"/>
        <v>32.780361960132396</v>
      </c>
      <c r="Q49" s="20">
        <f t="shared" si="53"/>
        <v>274.36551974723051</v>
      </c>
      <c r="R49" s="59">
        <f t="shared" si="0"/>
        <v>526.71579314595613</v>
      </c>
      <c r="S49" s="59">
        <f ca="1">AVERAGE(OFFSET($R$3,0,0,'Données projet'!$E$9+1,1))-AVERAGE(OFFSET($H$3,0,0,'Données projet'!$E$9+1,1))</f>
        <v>328.99319251806747</v>
      </c>
      <c r="T49" s="59">
        <f t="shared" si="34"/>
        <v>270.36198290276695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0.36299088950811464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4.9792433579004924E-2</v>
      </c>
      <c r="AC49" s="22">
        <f t="shared" si="3"/>
        <v>0.41278332308711957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13.287500000000001</v>
      </c>
      <c r="AI49" s="13">
        <f>IF('Données projet'!$A$62&gt;35,AI48+AH49-AQ48,IF(A49&lt;'Données projet'!$A$62,$AF$205^A49,IF(A49='Données projet'!$A$62,'Données projet'!$B$62,AI48+AH49-AQ48)))</f>
        <v>252.07499999999996</v>
      </c>
      <c r="AJ49" s="13">
        <f>AI49*VLOOKUP('Données projet'!$B$10,Paramètres!$A$1:$I$89,3,0)*VLOOKUP('Données projet'!$B$10,Paramètres!$A$1:$I$89,5,0)</f>
        <v>150.74084999999999</v>
      </c>
      <c r="AK49" s="13">
        <f t="shared" si="35"/>
        <v>38.746898135225962</v>
      </c>
      <c r="AL49" s="20">
        <f t="shared" si="4"/>
        <v>330.02449466885184</v>
      </c>
      <c r="AM49" s="59">
        <f t="shared" si="5"/>
        <v>582.37476806757752</v>
      </c>
      <c r="AN49" s="59">
        <f ca="1">AVERAGE(OFFSET($AM$3,0,0,'Données projet'!$E$10+1,1))-AVERAGE(OFFSET($H$3,0,0,'Données projet'!$E$10+1,1))</f>
        <v>274.23303062063621</v>
      </c>
      <c r="AO49" s="59">
        <f t="shared" si="36"/>
        <v>289.08677371938779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#VALUE!</v>
      </c>
      <c r="AV49" s="21" t="e">
        <f>EXP(-LN(2)/25)*AV48+(1-EXP(-LN(2)/25))/(LN(2)/25)*Calculateur!AQ49*Calculateur!AS49*VLOOKUP('Données projet'!$B$10,Paramètres!$A$1:$I$89,3,0)*0.475*44/12</f>
        <v>#VALUE!</v>
      </c>
      <c r="AW49" s="21" t="e">
        <f>EXP(-LN(2)/2)*AW48+(1-EXP(-LN(2)/2))/(LN(2)/2)*AQ49*AT49*VLOOKUP('Données projet'!$B$10,Paramètres!$A$1:$I$89,3,0)*0.475*44/12</f>
        <v>#VALUE!</v>
      </c>
      <c r="AX49" s="21" t="e">
        <f t="shared" si="6"/>
        <v>#VALUE!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6.8</v>
      </c>
      <c r="N50" s="13">
        <f>IF('Données projet'!$A$36&gt;35,N49+M50-V49,IF(A50&lt;'Données projet'!$A$36,$K$205^A50,IF(A50='Données projet'!$A$36,'Données projet'!$B$36,N49+M50-V49)))</f>
        <v>149.59999999999997</v>
      </c>
      <c r="O50" s="13">
        <f>N50*VLOOKUP('Données projet'!$B$9,Paramètres!$A$1:$I$89,3,0)*VLOOKUP('Données projet'!$B$9,Paramètres!$A$1:$I$89,5,0)</f>
        <v>130.69055999999998</v>
      </c>
      <c r="P50" s="13">
        <f t="shared" si="33"/>
        <v>34.155878238422723</v>
      </c>
      <c r="Q50" s="20">
        <f t="shared" si="53"/>
        <v>287.10754659858617</v>
      </c>
      <c r="R50" s="59">
        <f t="shared" si="0"/>
        <v>540.16878446278156</v>
      </c>
      <c r="S50" s="59">
        <f ca="1">AVERAGE(OFFSET($R$3,0,0,'Données projet'!$E$9+1,1))-AVERAGE(OFFSET($H$3,0,0,'Données projet'!$E$9+1,1))</f>
        <v>328.99319251806747</v>
      </c>
      <c r="T50" s="59">
        <f t="shared" si="34"/>
        <v>270.36198290276695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0.35587285956744141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3.5208567435495136E-2</v>
      </c>
      <c r="AC50" s="22">
        <f t="shared" si="3"/>
        <v>0.39108142700293658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13.287500000000001</v>
      </c>
      <c r="AI50" s="13">
        <f>IF('Données projet'!$A$62&gt;35,AI49+AH50-AQ49,IF(A50&lt;'Données projet'!$A$62,$AF$205^A50,IF(A50='Données projet'!$A$62,'Données projet'!$B$62,AI49+AH50-AQ49)))</f>
        <v>265.36249999999995</v>
      </c>
      <c r="AJ50" s="13">
        <f>AI50*VLOOKUP('Données projet'!$B$10,Paramètres!$A$1:$I$89,3,0)*VLOOKUP('Données projet'!$B$10,Paramètres!$A$1:$I$89,5,0)</f>
        <v>158.68677499999998</v>
      </c>
      <c r="AK50" s="13">
        <f t="shared" si="35"/>
        <v>40.546171917027721</v>
      </c>
      <c r="AL50" s="20">
        <f t="shared" si="4"/>
        <v>346.99738254715658</v>
      </c>
      <c r="AM50" s="59">
        <f t="shared" si="5"/>
        <v>600.05862041135197</v>
      </c>
      <c r="AN50" s="59">
        <f ca="1">AVERAGE(OFFSET($AM$3,0,0,'Données projet'!$E$10+1,1))-AVERAGE(OFFSET($H$3,0,0,'Données projet'!$E$10+1,1))</f>
        <v>274.23303062063621</v>
      </c>
      <c r="AO50" s="59">
        <f t="shared" si="36"/>
        <v>289.08677371938779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#VALUE!</v>
      </c>
      <c r="AV50" s="21" t="e">
        <f>EXP(-LN(2)/25)*AV49+(1-EXP(-LN(2)/25))/(LN(2)/25)*Calculateur!AQ50*Calculateur!AS50*VLOOKUP('Données projet'!$B$10,Paramètres!$A$1:$I$89,3,0)*0.475*44/12</f>
        <v>#VALUE!</v>
      </c>
      <c r="AW50" s="21" t="e">
        <f>EXP(-LN(2)/2)*AW49+(1-EXP(-LN(2)/2))/(LN(2)/2)*AQ50*AT50*VLOOKUP('Données projet'!$B$10,Paramètres!$A$1:$I$89,3,0)*0.475*44/12</f>
        <v>#VALUE!</v>
      </c>
      <c r="AX50" s="21" t="e">
        <f t="shared" si="6"/>
        <v>#VALUE!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6.8</v>
      </c>
      <c r="N51" s="13">
        <f>IF('Données projet'!$A$36&gt;35,N50+M51-V50,IF(A51&lt;'Données projet'!$A$36,$K$205^A51,IF(A51='Données projet'!$A$36,'Données projet'!$B$36,N50+M51-V50)))</f>
        <v>156.39999999999998</v>
      </c>
      <c r="O51" s="13">
        <f>N51*VLOOKUP('Données projet'!$B$9,Paramètres!$A$1:$I$89,3,0)*VLOOKUP('Données projet'!$B$9,Paramètres!$A$1:$I$89,5,0)</f>
        <v>136.63103999999998</v>
      </c>
      <c r="P51" s="13">
        <f t="shared" si="33"/>
        <v>35.524133363879962</v>
      </c>
      <c r="Q51" s="20">
        <f t="shared" si="53"/>
        <v>299.83692694209088</v>
      </c>
      <c r="R51" s="59">
        <f t="shared" si="0"/>
        <v>553.59679562775864</v>
      </c>
      <c r="S51" s="59">
        <f ca="1">AVERAGE(OFFSET($R$3,0,0,'Données projet'!$E$9+1,1))-AVERAGE(OFFSET($H$3,0,0,'Données projet'!$E$9+1,1))</f>
        <v>328.99319251806747</v>
      </c>
      <c r="T51" s="59">
        <f t="shared" si="34"/>
        <v>270.36198290276695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0.34889440985233522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2.4896216789502462E-2</v>
      </c>
      <c r="AC51" s="22">
        <f t="shared" si="3"/>
        <v>0.37379062664183771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13.287500000000001</v>
      </c>
      <c r="AI51" s="13">
        <f>IF('Données projet'!$A$62&gt;35,AI50+AH51-AQ50,IF(A51&lt;'Données projet'!$A$62,$AF$205^A51,IF(A51='Données projet'!$A$62,'Données projet'!$B$62,AI50+AH51-AQ50)))</f>
        <v>278.64999999999998</v>
      </c>
      <c r="AJ51" s="13">
        <f>AI51*VLOOKUP('Données projet'!$B$10,Paramètres!$A$1:$I$89,3,0)*VLOOKUP('Données projet'!$B$10,Paramètres!$A$1:$I$89,5,0)</f>
        <v>166.6327</v>
      </c>
      <c r="AK51" s="13">
        <f t="shared" si="35"/>
        <v>42.334984521143895</v>
      </c>
      <c r="AL51" s="20">
        <f t="shared" si="4"/>
        <v>363.95205054099227</v>
      </c>
      <c r="AM51" s="59">
        <f t="shared" si="5"/>
        <v>617.71191922666003</v>
      </c>
      <c r="AN51" s="59">
        <f ca="1">AVERAGE(OFFSET($AM$3,0,0,'Données projet'!$E$10+1,1))-AVERAGE(OFFSET($H$3,0,0,'Données projet'!$E$10+1,1))</f>
        <v>274.23303062063621</v>
      </c>
      <c r="AO51" s="59">
        <f t="shared" si="36"/>
        <v>289.08677371938779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#VALUE!</v>
      </c>
      <c r="AV51" s="21" t="e">
        <f>EXP(-LN(2)/25)*AV50+(1-EXP(-LN(2)/25))/(LN(2)/25)*Calculateur!AQ51*Calculateur!AS51*VLOOKUP('Données projet'!$B$10,Paramètres!$A$1:$I$89,3,0)*0.475*44/12</f>
        <v>#VALUE!</v>
      </c>
      <c r="AW51" s="21" t="e">
        <f>EXP(-LN(2)/2)*AW50+(1-EXP(-LN(2)/2))/(LN(2)/2)*AQ51*AT51*VLOOKUP('Données projet'!$B$10,Paramètres!$A$1:$I$89,3,0)*0.475*44/12</f>
        <v>#VALUE!</v>
      </c>
      <c r="AX51" s="21" t="e">
        <f t="shared" si="6"/>
        <v>#VALUE!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6.8</v>
      </c>
      <c r="N52" s="13">
        <f>IF('Données projet'!$A$36&gt;35,N51+M52-V51,IF(A52&lt;'Données projet'!$A$36,$K$205^A52,IF(A52='Données projet'!$A$36,'Données projet'!$B$36,N51+M52-V51)))</f>
        <v>163.19999999999999</v>
      </c>
      <c r="O52" s="13">
        <f>N52*VLOOKUP('Données projet'!$B$9,Paramètres!$A$1:$I$89,3,0)*VLOOKUP('Données projet'!$B$9,Paramètres!$A$1:$I$89,5,0)</f>
        <v>142.57151999999999</v>
      </c>
      <c r="P52" s="13">
        <f t="shared" si="33"/>
        <v>36.885479122455578</v>
      </c>
      <c r="Q52" s="20">
        <f t="shared" si="53"/>
        <v>312.55427347161009</v>
      </c>
      <c r="R52" s="59">
        <f t="shared" si="0"/>
        <v>567.00065329590211</v>
      </c>
      <c r="S52" s="59">
        <f ca="1">AVERAGE(OFFSET($R$3,0,0,'Données projet'!$E$9+1,1))-AVERAGE(OFFSET($H$3,0,0,'Données projet'!$E$9+1,1))</f>
        <v>328.99319251806747</v>
      </c>
      <c r="T52" s="59">
        <f t="shared" si="34"/>
        <v>270.36198290276695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0.34205280327970822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1.7604283717747568E-2</v>
      </c>
      <c r="AC52" s="22">
        <f t="shared" si="3"/>
        <v>0.3596570869974558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13.287500000000001</v>
      </c>
      <c r="AI52" s="13">
        <f>IF('Données projet'!$A$62&gt;35,AI51+AH52-AQ51,IF(A52&lt;'Données projet'!$A$62,$AF$205^A52,IF(A52='Données projet'!$A$62,'Données projet'!$B$62,AI51+AH52-AQ51)))</f>
        <v>291.9375</v>
      </c>
      <c r="AJ52" s="13">
        <f>AI52*VLOOKUP('Données projet'!$B$10,Paramètres!$A$1:$I$89,3,0)*VLOOKUP('Données projet'!$B$10,Paramètres!$A$1:$I$89,5,0)</f>
        <v>174.57862500000005</v>
      </c>
      <c r="AK52" s="13">
        <f t="shared" si="35"/>
        <v>44.113891745274898</v>
      </c>
      <c r="AL52" s="20">
        <f t="shared" si="4"/>
        <v>380.88946666468718</v>
      </c>
      <c r="AM52" s="59">
        <f t="shared" si="5"/>
        <v>635.33584648897909</v>
      </c>
      <c r="AN52" s="59">
        <f ca="1">AVERAGE(OFFSET($AM$3,0,0,'Données projet'!$E$10+1,1))-AVERAGE(OFFSET($H$3,0,0,'Données projet'!$E$10+1,1))</f>
        <v>274.23303062063621</v>
      </c>
      <c r="AO52" s="59">
        <f t="shared" si="36"/>
        <v>289.08677371938779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#VALUE!</v>
      </c>
      <c r="AV52" s="21" t="e">
        <f>EXP(-LN(2)/25)*AV51+(1-EXP(-LN(2)/25))/(LN(2)/25)*Calculateur!AQ52*Calculateur!AS52*VLOOKUP('Données projet'!$B$10,Paramètres!$A$1:$I$89,3,0)*0.475*44/12</f>
        <v>#VALUE!</v>
      </c>
      <c r="AW52" s="21" t="e">
        <f>EXP(-LN(2)/2)*AW51+(1-EXP(-LN(2)/2))/(LN(2)/2)*AQ52*AT52*VLOOKUP('Données projet'!$B$10,Paramètres!$A$1:$I$89,3,0)*0.475*44/12</f>
        <v>#VALUE!</v>
      </c>
      <c r="AX52" s="21" t="e">
        <f t="shared" si="6"/>
        <v>#VALUE!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170</v>
      </c>
      <c r="L53" s="12">
        <f>VLOOKUP(A53,'Données projet'!$A$35:$I$55,9,0)</f>
        <v>6.8</v>
      </c>
      <c r="M53" s="12">
        <f t="array" ref="M53">INDEX(L:L,MIN(IF(ISNUMBER(L53:L249),ROW(L53:L249),"")))</f>
        <v>6.8</v>
      </c>
      <c r="N53" s="13">
        <f>IF('Données projet'!$A$36&gt;35,N52+M53-V52,IF(A53&lt;'Données projet'!$A$36,$K$205^A53,IF(A53='Données projet'!$A$36,'Données projet'!$B$36,N52+M53-V52)))</f>
        <v>170</v>
      </c>
      <c r="O53" s="13">
        <f>N53*VLOOKUP('Données projet'!$B$9,Paramètres!$A$1:$I$89,3,0)*VLOOKUP('Données projet'!$B$9,Paramètres!$A$1:$I$89,5,0)</f>
        <v>148.512</v>
      </c>
      <c r="P53" s="13">
        <f t="shared" si="33"/>
        <v>38.240236326053513</v>
      </c>
      <c r="Q53" s="20">
        <f t="shared" si="53"/>
        <v>325.26014493454323</v>
      </c>
      <c r="R53" s="59">
        <f t="shared" si="0"/>
        <v>580.38112646401328</v>
      </c>
      <c r="S53" s="59">
        <f ca="1">AVERAGE(OFFSET($R$3,0,0,'Données projet'!$E$9+1,1))-AVERAGE(OFFSET($H$3,0,0,'Données projet'!$E$9+1,1))</f>
        <v>328.99319251806747</v>
      </c>
      <c r="T53" s="59">
        <f t="shared" si="34"/>
        <v>270.36198290276695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0.33534535643900248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1.2448108394751231E-2</v>
      </c>
      <c r="AC53" s="22">
        <f t="shared" si="3"/>
        <v>0.34779346483375373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13.287500000000001</v>
      </c>
      <c r="AI53" s="13">
        <f>IF('Données projet'!$A$62&gt;35,AI52+AH53-AQ52,IF(A53&lt;'Données projet'!$A$62,$AF$205^A53,IF(A53='Données projet'!$A$62,'Données projet'!$B$62,AI52+AH53-AQ52)))</f>
        <v>305.22500000000002</v>
      </c>
      <c r="AJ53" s="13">
        <f>AI53*VLOOKUP('Données projet'!$B$10,Paramètres!$A$1:$I$89,3,0)*VLOOKUP('Données projet'!$B$10,Paramètres!$A$1:$I$89,5,0)</f>
        <v>182.52455</v>
      </c>
      <c r="AK53" s="13">
        <f t="shared" si="35"/>
        <v>45.883395933126401</v>
      </c>
      <c r="AL53" s="20">
        <f t="shared" si="4"/>
        <v>397.81050583352845</v>
      </c>
      <c r="AM53" s="59">
        <f t="shared" si="5"/>
        <v>652.9314873629985</v>
      </c>
      <c r="AN53" s="59">
        <f ca="1">AVERAGE(OFFSET($AM$3,0,0,'Données projet'!$E$10+1,1))-AVERAGE(OFFSET($H$3,0,0,'Données projet'!$E$10+1,1))</f>
        <v>274.23303062063621</v>
      </c>
      <c r="AO53" s="59">
        <f t="shared" si="36"/>
        <v>289.08677371938779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#VALUE!</v>
      </c>
      <c r="AV53" s="21" t="e">
        <f>EXP(-LN(2)/25)*AV52+(1-EXP(-LN(2)/25))/(LN(2)/25)*Calculateur!AQ53*Calculateur!AS53*VLOOKUP('Données projet'!$B$10,Paramètres!$A$1:$I$89,3,0)*0.475*44/12</f>
        <v>#VALUE!</v>
      </c>
      <c r="AW53" s="21" t="e">
        <f>EXP(-LN(2)/2)*AW52+(1-EXP(-LN(2)/2))/(LN(2)/2)*AQ53*AT53*VLOOKUP('Données projet'!$B$10,Paramètres!$A$1:$I$89,3,0)*0.475*44/12</f>
        <v>#VALUE!</v>
      </c>
      <c r="AX53" s="21" t="e">
        <f t="shared" si="6"/>
        <v>#VALUE!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6.4</v>
      </c>
      <c r="N54" s="13">
        <f>IF('Données projet'!$A$36&gt;35,N53+M54-V53,IF(A54&lt;'Données projet'!$A$36,$K$205^A54,IF(A54='Données projet'!$A$36,'Données projet'!$B$36,N53+M54-V53)))</f>
        <v>155.4</v>
      </c>
      <c r="O54" s="13">
        <f>N54*VLOOKUP('Données projet'!$B$9,Paramètres!$A$1:$I$89,3,0)*VLOOKUP('Données projet'!$B$9,Paramètres!$A$1:$I$89,5,0)</f>
        <v>135.75744000000003</v>
      </c>
      <c r="P54" s="13">
        <f t="shared" si="33"/>
        <v>35.323360776061499</v>
      </c>
      <c r="Q54" s="20">
        <f t="shared" si="53"/>
        <v>297.96572801830712</v>
      </c>
      <c r="R54" s="59">
        <f t="shared" si="0"/>
        <v>553.74960842155394</v>
      </c>
      <c r="S54" s="59">
        <f ca="1">AVERAGE(OFFSET($R$3,0,0,'Données projet'!$E$9+1,1))-AVERAGE(OFFSET($H$3,0,0,'Données projet'!$E$9+1,1))</f>
        <v>328.99319251806747</v>
      </c>
      <c r="T54" s="59">
        <f t="shared" si="34"/>
        <v>270.36198290276695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0.32876943853970436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8.802141858873784E-3</v>
      </c>
      <c r="AC54" s="22">
        <f t="shared" si="3"/>
        <v>0.33757158039857815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13.287500000000001</v>
      </c>
      <c r="AI54" s="13">
        <f>IF('Données projet'!$A$62&gt;35,AI53+AH54-AQ53,IF(A54&lt;'Données projet'!$A$62,$AF$205^A54,IF(A54='Données projet'!$A$62,'Données projet'!$B$62,AI53+AH54-AQ53)))</f>
        <v>318.51250000000005</v>
      </c>
      <c r="AJ54" s="13">
        <f>AI54*VLOOKUP('Données projet'!$B$10,Paramètres!$A$1:$I$89,3,0)*VLOOKUP('Données projet'!$B$10,Paramètres!$A$1:$I$89,5,0)</f>
        <v>190.47047500000005</v>
      </c>
      <c r="AK54" s="13">
        <f t="shared" si="35"/>
        <v>47.6439532175593</v>
      </c>
      <c r="AL54" s="20">
        <f t="shared" si="4"/>
        <v>414.7159624789158</v>
      </c>
      <c r="AM54" s="59">
        <f t="shared" si="5"/>
        <v>670.49984288216262</v>
      </c>
      <c r="AN54" s="59">
        <f ca="1">AVERAGE(OFFSET($AM$3,0,0,'Données projet'!$E$10+1,1))-AVERAGE(OFFSET($H$3,0,0,'Données projet'!$E$10+1,1))</f>
        <v>274.23303062063621</v>
      </c>
      <c r="AO54" s="59">
        <f t="shared" si="36"/>
        <v>289.08677371938779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#VALUE!</v>
      </c>
      <c r="AV54" s="21" t="e">
        <f>EXP(-LN(2)/25)*AV53+(1-EXP(-LN(2)/25))/(LN(2)/25)*Calculateur!AQ54*Calculateur!AS54*VLOOKUP('Données projet'!$B$10,Paramètres!$A$1:$I$89,3,0)*0.475*44/12</f>
        <v>#VALUE!</v>
      </c>
      <c r="AW54" s="21" t="e">
        <f>EXP(-LN(2)/2)*AW53+(1-EXP(-LN(2)/2))/(LN(2)/2)*AQ54*AT54*VLOOKUP('Données projet'!$B$10,Paramètres!$A$1:$I$89,3,0)*0.475*44/12</f>
        <v>#VALUE!</v>
      </c>
      <c r="AX54" s="21" t="e">
        <f t="shared" si="6"/>
        <v>#VALUE!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6.4</v>
      </c>
      <c r="N55" s="13">
        <f>IF('Données projet'!$A$36&gt;35,N54+M55-V54,IF(A55&lt;'Données projet'!$A$36,$K$205^A55,IF(A55='Données projet'!$A$36,'Données projet'!$B$36,N54+M55-V54)))</f>
        <v>161.80000000000001</v>
      </c>
      <c r="O55" s="13">
        <f>N55*VLOOKUP('Données projet'!$B$9,Paramètres!$A$1:$I$89,3,0)*VLOOKUP('Données projet'!$B$9,Paramètres!$A$1:$I$89,5,0)</f>
        <v>141.34848000000002</v>
      </c>
      <c r="P55" s="13">
        <f t="shared" si="33"/>
        <v>36.605750770707807</v>
      </c>
      <c r="Q55" s="20">
        <f t="shared" si="53"/>
        <v>309.93695192564945</v>
      </c>
      <c r="R55" s="59">
        <f t="shared" si="0"/>
        <v>566.37223138923287</v>
      </c>
      <c r="S55" s="59">
        <f ca="1">AVERAGE(OFFSET($R$3,0,0,'Données projet'!$E$9+1,1))-AVERAGE(OFFSET($H$3,0,0,'Données projet'!$E$9+1,1))</f>
        <v>328.99319251806747</v>
      </c>
      <c r="T55" s="59">
        <f t="shared" si="34"/>
        <v>270.36198290276695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0.32232247037949763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6.2240541973756155E-3</v>
      </c>
      <c r="AC55" s="22">
        <f t="shared" si="3"/>
        <v>0.32854652457687322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331.8</v>
      </c>
      <c r="AG55" s="12">
        <f>VLOOKUP(A55,'Données projet'!$A$61:$I$81,9,0)</f>
        <v>13.287500000000001</v>
      </c>
      <c r="AH55" s="12">
        <f t="array" ref="AH55">INDEX(AG:AG,MIN(IF(ISNUMBER(AG55:AG251),ROW(AG55:AG251),"")))</f>
        <v>13.287500000000001</v>
      </c>
      <c r="AI55" s="13">
        <f>IF('Données projet'!$A$62&gt;35,AI54+AH55-AQ54,IF(A55&lt;'Données projet'!$A$62,$AF$205^A55,IF(A55='Données projet'!$A$62,'Données projet'!$B$62,AI54+AH55-AQ54)))</f>
        <v>331.80000000000007</v>
      </c>
      <c r="AJ55" s="13">
        <f>AI55*VLOOKUP('Données projet'!$B$10,Paramètres!$A$1:$I$89,3,0)*VLOOKUP('Données projet'!$B$10,Paramètres!$A$1:$I$89,5,0)</f>
        <v>198.41640000000007</v>
      </c>
      <c r="AK55" s="13">
        <f t="shared" si="35"/>
        <v>49.395979521019925</v>
      </c>
      <c r="AL55" s="20">
        <f t="shared" si="4"/>
        <v>431.60656099910983</v>
      </c>
      <c r="AM55" s="59">
        <f t="shared" si="5"/>
        <v>688.04184046269324</v>
      </c>
      <c r="AN55" s="59">
        <f ca="1">AVERAGE(OFFSET($AM$3,0,0,'Données projet'!$E$10+1,1))-AVERAGE(OFFSET($H$3,0,0,'Données projet'!$E$10+1,1))</f>
        <v>274.23303062063621</v>
      </c>
      <c r="AO55" s="59">
        <f t="shared" si="36"/>
        <v>289.08677371938779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61.8</v>
      </c>
      <c r="AR55" s="16" t="e">
        <f>IF(ISNA(VLOOKUP(A55,'Données projet'!$A$61:$I$81,5,0)),0%,VLOOKUP(A55,'Données projet'!$A$61:$I$81,5,0)*VLOOKUP('Données projet'!$B$10,Paramètres!$A$1:$I$89,7,0))</f>
        <v>#VALUE!</v>
      </c>
      <c r="AS55" s="16" t="e">
        <f>IF(ISNA(VLOOKUP(A55,'Données projet'!$A$61:$I$81,6,0)),0%,VLOOKUP(A55,'Données projet'!$A$61:$I$81,6,0)*VLOOKUP('Données projet'!$B$10,Paramètres!$A$1:$I$89,7,0))</f>
        <v>#VALUE!</v>
      </c>
      <c r="AT55" s="16" t="str">
        <f>IF(ISNA(VLOOKUP(A55,'Données projet'!$A$61:$I$81,7,0)),0%,VLOOKUP(A55,'Données projet'!$A$61:$I$81,7,0))</f>
        <v/>
      </c>
      <c r="AU55" s="21" t="e">
        <f>EXP(-LN(2)/35)*AU54+(1-EXP(-LN(2)/35))/(LN(2)/35)*AQ55*AR55*VLOOKUP('Données projet'!$B$10,Paramètres!$A$1:$I$89,3,0)*0.475*44/12</f>
        <v>#VALUE!</v>
      </c>
      <c r="AV55" s="21" t="e">
        <f>EXP(-LN(2)/25)*AV54+(1-EXP(-LN(2)/25))/(LN(2)/25)*Calculateur!AQ55*Calculateur!AS55*VLOOKUP('Données projet'!$B$10,Paramètres!$A$1:$I$89,3,0)*0.475*44/12</f>
        <v>#VALUE!</v>
      </c>
      <c r="AW55" s="21" t="e">
        <f>EXP(-LN(2)/2)*AW54+(1-EXP(-LN(2)/2))/(LN(2)/2)*AQ55*AT55*VLOOKUP('Données projet'!$B$10,Paramètres!$A$1:$I$89,3,0)*0.475*44/12</f>
        <v>#VALUE!</v>
      </c>
      <c r="AX55" s="21" t="e">
        <f t="shared" si="6"/>
        <v>#VALUE!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6.4</v>
      </c>
      <c r="N56" s="13">
        <f>IF('Données projet'!$A$36&gt;35,N55+M56-V55,IF(A56&lt;'Données projet'!$A$36,$K$205^A56,IF(A56='Données projet'!$A$36,'Données projet'!$B$36,N55+M56-V55)))</f>
        <v>168.20000000000002</v>
      </c>
      <c r="O56" s="13">
        <f>N56*VLOOKUP('Données projet'!$B$9,Paramètres!$A$1:$I$89,3,0)*VLOOKUP('Données projet'!$B$9,Paramètres!$A$1:$I$89,5,0)</f>
        <v>146.93952000000004</v>
      </c>
      <c r="P56" s="13">
        <f t="shared" si="33"/>
        <v>37.882248330654257</v>
      </c>
      <c r="Q56" s="20">
        <f t="shared" si="53"/>
        <v>321.89791317588953</v>
      </c>
      <c r="R56" s="59">
        <f t="shared" si="0"/>
        <v>578.97329138242276</v>
      </c>
      <c r="S56" s="59">
        <f ca="1">AVERAGE(OFFSET($R$3,0,0,'Données projet'!$E$9+1,1))-AVERAGE(OFFSET($H$3,0,0,'Données projet'!$E$9+1,1))</f>
        <v>328.99319251806747</v>
      </c>
      <c r="T56" s="59">
        <f t="shared" si="34"/>
        <v>270.36198290276695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0.31600192333265026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4.401070929436892E-3</v>
      </c>
      <c r="AC56" s="22">
        <f t="shared" si="3"/>
        <v>0.32040299426208713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10.4375</v>
      </c>
      <c r="AI56" s="13">
        <f>IF('Données projet'!$A$62&gt;35,AI55+AH56-AQ55,IF(A56&lt;'Données projet'!$A$62,$AF$205^A56,IF(A56='Données projet'!$A$62,'Données projet'!$B$62,AI55+AH56-AQ55)))</f>
        <v>280.43750000000006</v>
      </c>
      <c r="AJ56" s="13">
        <f>AI56*VLOOKUP('Données projet'!$B$10,Paramètres!$A$1:$I$89,3,0)*VLOOKUP('Données projet'!$B$10,Paramètres!$A$1:$I$89,5,0)</f>
        <v>167.70162500000004</v>
      </c>
      <c r="AK56" s="13">
        <f t="shared" si="35"/>
        <v>42.574856948356064</v>
      </c>
      <c r="AL56" s="20">
        <f t="shared" si="4"/>
        <v>366.23153939338681</v>
      </c>
      <c r="AM56" s="59">
        <f t="shared" si="5"/>
        <v>623.3069175999201</v>
      </c>
      <c r="AN56" s="59">
        <f ca="1">AVERAGE(OFFSET($AM$3,0,0,'Données projet'!$E$10+1,1))-AVERAGE(OFFSET($H$3,0,0,'Données projet'!$E$10+1,1))</f>
        <v>274.23303062063621</v>
      </c>
      <c r="AO56" s="59">
        <f t="shared" si="36"/>
        <v>289.08677371938779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#VALUE!</v>
      </c>
      <c r="AV56" s="21" t="e">
        <f>EXP(-LN(2)/25)*AV55+(1-EXP(-LN(2)/25))/(LN(2)/25)*Calculateur!AQ56*Calculateur!AS56*VLOOKUP('Données projet'!$B$10,Paramètres!$A$1:$I$89,3,0)*0.475*44/12</f>
        <v>#VALUE!</v>
      </c>
      <c r="AW56" s="21" t="e">
        <f>EXP(-LN(2)/2)*AW55+(1-EXP(-LN(2)/2))/(LN(2)/2)*AQ56*AT56*VLOOKUP('Données projet'!$B$10,Paramètres!$A$1:$I$89,3,0)*0.475*44/12</f>
        <v>#VALUE!</v>
      </c>
      <c r="AX56" s="21" t="e">
        <f t="shared" si="6"/>
        <v>#VALUE!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6.4</v>
      </c>
      <c r="N57" s="13">
        <f>IF('Données projet'!$A$36&gt;35,N56+M57-V56,IF(A57&lt;'Données projet'!$A$36,$K$205^A57,IF(A57='Données projet'!$A$36,'Données projet'!$B$36,N56+M57-V56)))</f>
        <v>174.60000000000002</v>
      </c>
      <c r="O57" s="13">
        <f>N57*VLOOKUP('Données projet'!$B$9,Paramètres!$A$1:$I$89,3,0)*VLOOKUP('Données projet'!$B$9,Paramètres!$A$1:$I$89,5,0)</f>
        <v>152.53056000000004</v>
      </c>
      <c r="P57" s="13">
        <f t="shared" si="33"/>
        <v>39.153103329629708</v>
      </c>
      <c r="Q57" s="20">
        <f t="shared" si="53"/>
        <v>333.84904696577183</v>
      </c>
      <c r="R57" s="59">
        <f t="shared" si="0"/>
        <v>591.55341963311116</v>
      </c>
      <c r="S57" s="59">
        <f ca="1">AVERAGE(OFFSET($R$3,0,0,'Données projet'!$E$9+1,1))-AVERAGE(OFFSET($H$3,0,0,'Données projet'!$E$9+1,1))</f>
        <v>328.99319251806747</v>
      </c>
      <c r="T57" s="59">
        <f t="shared" si="34"/>
        <v>270.36198290276695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0.30980531835823849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3.1120270986878078E-3</v>
      </c>
      <c r="AC57" s="22">
        <f t="shared" si="3"/>
        <v>0.31291734545692629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10.4375</v>
      </c>
      <c r="AI57" s="13">
        <f>IF('Données projet'!$A$62&gt;35,AI56+AH57-AQ56,IF(A57&lt;'Données projet'!$A$62,$AF$205^A57,IF(A57='Données projet'!$A$62,'Données projet'!$B$62,AI56+AH57-AQ56)))</f>
        <v>290.87500000000006</v>
      </c>
      <c r="AJ57" s="13">
        <f>AI57*VLOOKUP('Données projet'!$B$10,Paramètres!$A$1:$I$89,3,0)*VLOOKUP('Données projet'!$B$10,Paramètres!$A$1:$I$89,5,0)</f>
        <v>173.94325000000006</v>
      </c>
      <c r="AK57" s="13">
        <f t="shared" si="35"/>
        <v>43.9719983304336</v>
      </c>
      <c r="AL57" s="20">
        <f t="shared" si="4"/>
        <v>379.53572417550527</v>
      </c>
      <c r="AM57" s="59">
        <f t="shared" si="5"/>
        <v>637.24009684284465</v>
      </c>
      <c r="AN57" s="59">
        <f ca="1">AVERAGE(OFFSET($AM$3,0,0,'Données projet'!$E$10+1,1))-AVERAGE(OFFSET($H$3,0,0,'Données projet'!$E$10+1,1))</f>
        <v>274.23303062063621</v>
      </c>
      <c r="AO57" s="59">
        <f t="shared" si="36"/>
        <v>289.08677371938779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#VALUE!</v>
      </c>
      <c r="AV57" s="21" t="e">
        <f>EXP(-LN(2)/25)*AV56+(1-EXP(-LN(2)/25))/(LN(2)/25)*Calculateur!AQ57*Calculateur!AS57*VLOOKUP('Données projet'!$B$10,Paramètres!$A$1:$I$89,3,0)*0.475*44/12</f>
        <v>#VALUE!</v>
      </c>
      <c r="AW57" s="21" t="e">
        <f>EXP(-LN(2)/2)*AW56+(1-EXP(-LN(2)/2))/(LN(2)/2)*AQ57*AT57*VLOOKUP('Données projet'!$B$10,Paramètres!$A$1:$I$89,3,0)*0.475*44/12</f>
        <v>#VALUE!</v>
      </c>
      <c r="AX57" s="21" t="e">
        <f t="shared" si="6"/>
        <v>#VALUE!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181</v>
      </c>
      <c r="L58" s="12">
        <f>VLOOKUP(A58,'Données projet'!$A$35:$I$55,9,0)</f>
        <v>6.4</v>
      </c>
      <c r="M58" s="12">
        <f t="array" ref="M58">INDEX(L:L,MIN(IF(ISNUMBER(L58:L254),ROW(L58:L254),"")))</f>
        <v>6.4</v>
      </c>
      <c r="N58" s="13">
        <f>IF('Données projet'!$A$36&gt;35,N57+M58-V57,IF(A58&lt;'Données projet'!$A$36,$K$205^A58,IF(A58='Données projet'!$A$36,'Données projet'!$B$36,N57+M58-V57)))</f>
        <v>181.00000000000003</v>
      </c>
      <c r="O58" s="13">
        <f>N58*VLOOKUP('Données projet'!$B$9,Paramètres!$A$1:$I$89,3,0)*VLOOKUP('Données projet'!$B$9,Paramètres!$A$1:$I$89,5,0)</f>
        <v>158.12160000000006</v>
      </c>
      <c r="P58" s="13">
        <f t="shared" si="33"/>
        <v>40.418546284954246</v>
      </c>
      <c r="Q58" s="20">
        <f t="shared" si="53"/>
        <v>345.79075477962868</v>
      </c>
      <c r="R58" s="59">
        <f t="shared" si="0"/>
        <v>604.1132102601</v>
      </c>
      <c r="S58" s="59">
        <f ca="1">AVERAGE(OFFSET($R$3,0,0,'Données projet'!$E$9+1,1))-AVERAGE(OFFSET($H$3,0,0,'Données projet'!$E$9+1,1))</f>
        <v>328.99319251806747</v>
      </c>
      <c r="T58" s="59">
        <f t="shared" si="34"/>
        <v>270.36198290276695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0.3037302250278191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2.200535464718446E-3</v>
      </c>
      <c r="AC58" s="22">
        <f t="shared" si="3"/>
        <v>0.30593076049253753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10.4375</v>
      </c>
      <c r="AI58" s="13">
        <f>IF('Données projet'!$A$62&gt;35,AI57+AH58-AQ57,IF(A58&lt;'Données projet'!$A$62,$AF$205^A58,IF(A58='Données projet'!$A$62,'Données projet'!$B$62,AI57+AH58-AQ57)))</f>
        <v>301.31250000000006</v>
      </c>
      <c r="AJ58" s="13">
        <f>AI58*VLOOKUP('Données projet'!$B$10,Paramètres!$A$1:$I$89,3,0)*VLOOKUP('Données projet'!$B$10,Paramètres!$A$1:$I$89,5,0)</f>
        <v>180.18487500000003</v>
      </c>
      <c r="AK58" s="13">
        <f t="shared" si="35"/>
        <v>45.36331499020973</v>
      </c>
      <c r="AL58" s="20">
        <f t="shared" si="4"/>
        <v>392.82976423294866</v>
      </c>
      <c r="AM58" s="59">
        <f t="shared" si="5"/>
        <v>651.15221971341998</v>
      </c>
      <c r="AN58" s="59">
        <f ca="1">AVERAGE(OFFSET($AM$3,0,0,'Données projet'!$E$10+1,1))-AVERAGE(OFFSET($H$3,0,0,'Données projet'!$E$10+1,1))</f>
        <v>274.23303062063621</v>
      </c>
      <c r="AO58" s="59">
        <f t="shared" si="36"/>
        <v>289.08677371938779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#VALUE!</v>
      </c>
      <c r="AV58" s="21" t="e">
        <f>EXP(-LN(2)/25)*AV57+(1-EXP(-LN(2)/25))/(LN(2)/25)*Calculateur!AQ58*Calculateur!AS58*VLOOKUP('Données projet'!$B$10,Paramètres!$A$1:$I$89,3,0)*0.475*44/12</f>
        <v>#VALUE!</v>
      </c>
      <c r="AW58" s="21" t="e">
        <f>EXP(-LN(2)/2)*AW57+(1-EXP(-LN(2)/2))/(LN(2)/2)*AQ58*AT58*VLOOKUP('Données projet'!$B$10,Paramètres!$A$1:$I$89,3,0)*0.475*44/12</f>
        <v>#VALUE!</v>
      </c>
      <c r="AX58" s="21" t="e">
        <f t="shared" si="6"/>
        <v>#VALUE!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5.6</v>
      </c>
      <c r="N59" s="13">
        <f>IF('Données projet'!$A$36&gt;35,N58+M59-V58,IF(A59&lt;'Données projet'!$A$36,$K$205^A59,IF(A59='Données projet'!$A$36,'Données projet'!$B$36,N58+M59-V58)))</f>
        <v>166.60000000000002</v>
      </c>
      <c r="O59" s="13">
        <f>N59*VLOOKUP('Données projet'!$B$9,Paramètres!$A$1:$I$89,3,0)*VLOOKUP('Données projet'!$B$9,Paramètres!$A$1:$I$89,5,0)</f>
        <v>145.54176000000004</v>
      </c>
      <c r="P59" s="13">
        <f t="shared" si="33"/>
        <v>37.563662342876064</v>
      </c>
      <c r="Q59" s="20">
        <f t="shared" si="53"/>
        <v>318.90861058050916</v>
      </c>
      <c r="R59" s="59">
        <f t="shared" si="0"/>
        <v>577.83842651913096</v>
      </c>
      <c r="S59" s="59">
        <f ca="1">AVERAGE(OFFSET($R$3,0,0,'Données projet'!$E$9+1,1))-AVERAGE(OFFSET($H$3,0,0,'Données projet'!$E$9+1,1))</f>
        <v>328.99319251806747</v>
      </c>
      <c r="T59" s="59">
        <f t="shared" si="34"/>
        <v>270.36198290276695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0.29777426057216821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1.5560135493439039E-3</v>
      </c>
      <c r="AC59" s="22">
        <f t="shared" si="3"/>
        <v>0.29933027412151214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10.4375</v>
      </c>
      <c r="AI59" s="13">
        <f>IF('Données projet'!$A$62&gt;35,AI58+AH59-AQ58,IF(A59&lt;'Données projet'!$A$62,$AF$205^A59,IF(A59='Données projet'!$A$62,'Données projet'!$B$62,AI58+AH59-AQ58)))</f>
        <v>311.75000000000006</v>
      </c>
      <c r="AJ59" s="13">
        <f>AI59*VLOOKUP('Données projet'!$B$10,Paramètres!$A$1:$I$89,3,0)*VLOOKUP('Données projet'!$B$10,Paramètres!$A$1:$I$89,5,0)</f>
        <v>186.42650000000003</v>
      </c>
      <c r="AK59" s="13">
        <f t="shared" si="35"/>
        <v>46.749031820555416</v>
      </c>
      <c r="AL59" s="20">
        <f t="shared" si="4"/>
        <v>406.11405125413404</v>
      </c>
      <c r="AM59" s="59">
        <f t="shared" si="5"/>
        <v>665.04386719275578</v>
      </c>
      <c r="AN59" s="59">
        <f ca="1">AVERAGE(OFFSET($AM$3,0,0,'Données projet'!$E$10+1,1))-AVERAGE(OFFSET($H$3,0,0,'Données projet'!$E$10+1,1))</f>
        <v>274.23303062063621</v>
      </c>
      <c r="AO59" s="59">
        <f t="shared" si="36"/>
        <v>289.08677371938779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#VALUE!</v>
      </c>
      <c r="AV59" s="21" t="e">
        <f>EXP(-LN(2)/25)*AV58+(1-EXP(-LN(2)/25))/(LN(2)/25)*Calculateur!AQ59*Calculateur!AS59*VLOOKUP('Données projet'!$B$10,Paramètres!$A$1:$I$89,3,0)*0.475*44/12</f>
        <v>#VALUE!</v>
      </c>
      <c r="AW59" s="21" t="e">
        <f>EXP(-LN(2)/2)*AW58+(1-EXP(-LN(2)/2))/(LN(2)/2)*AQ59*AT59*VLOOKUP('Données projet'!$B$10,Paramètres!$A$1:$I$89,3,0)*0.475*44/12</f>
        <v>#VALUE!</v>
      </c>
      <c r="AX59" s="21" t="e">
        <f t="shared" si="6"/>
        <v>#VALUE!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5.6</v>
      </c>
      <c r="N60" s="13">
        <f>IF('Données projet'!$A$36&gt;35,N59+M60-V59,IF(A60&lt;'Données projet'!$A$36,$K$205^A60,IF(A60='Données projet'!$A$36,'Données projet'!$B$36,N59+M60-V59)))</f>
        <v>172.20000000000002</v>
      </c>
      <c r="O60" s="13">
        <f>N60*VLOOKUP('Données projet'!$B$9,Paramètres!$A$1:$I$89,3,0)*VLOOKUP('Données projet'!$B$9,Paramètres!$A$1:$I$89,5,0)</f>
        <v>150.43392000000003</v>
      </c>
      <c r="P60" s="13">
        <f t="shared" si="33"/>
        <v>38.677178913707927</v>
      </c>
      <c r="Q60" s="20">
        <f t="shared" si="53"/>
        <v>329.36849727470803</v>
      </c>
      <c r="R60" s="59">
        <f t="shared" si="0"/>
        <v>588.8951373253858</v>
      </c>
      <c r="S60" s="59">
        <f ca="1">AVERAGE(OFFSET($R$3,0,0,'Données projet'!$E$9+1,1))-AVERAGE(OFFSET($H$3,0,0,'Données projet'!$E$9+1,1))</f>
        <v>328.99319251806747</v>
      </c>
      <c r="T60" s="59">
        <f t="shared" si="34"/>
        <v>270.36198290276695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0.29193508894671305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1.100267732359223E-3</v>
      </c>
      <c r="AC60" s="22">
        <f t="shared" si="3"/>
        <v>0.29303535667907227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10.4375</v>
      </c>
      <c r="AI60" s="13">
        <f>IF('Données projet'!$A$62&gt;35,AI59+AH60-AQ59,IF(A60&lt;'Données projet'!$A$62,$AF$205^A60,IF(A60='Données projet'!$A$62,'Données projet'!$B$62,AI59+AH60-AQ59)))</f>
        <v>322.18750000000006</v>
      </c>
      <c r="AJ60" s="13">
        <f>AI60*VLOOKUP('Données projet'!$B$10,Paramètres!$A$1:$I$89,3,0)*VLOOKUP('Données projet'!$B$10,Paramètres!$A$1:$I$89,5,0)</f>
        <v>192.66812500000006</v>
      </c>
      <c r="AK60" s="13">
        <f t="shared" si="35"/>
        <v>48.129357800892571</v>
      </c>
      <c r="AL60" s="20">
        <f t="shared" si="4"/>
        <v>419.38894921155457</v>
      </c>
      <c r="AM60" s="59">
        <f t="shared" si="5"/>
        <v>678.91558926223229</v>
      </c>
      <c r="AN60" s="59">
        <f ca="1">AVERAGE(OFFSET($AM$3,0,0,'Données projet'!$E$10+1,1))-AVERAGE(OFFSET($H$3,0,0,'Données projet'!$E$10+1,1))</f>
        <v>274.23303062063621</v>
      </c>
      <c r="AO60" s="59">
        <f t="shared" si="36"/>
        <v>289.08677371938779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#VALUE!</v>
      </c>
      <c r="AV60" s="21" t="e">
        <f>EXP(-LN(2)/25)*AV59+(1-EXP(-LN(2)/25))/(LN(2)/25)*Calculateur!AQ60*Calculateur!AS60*VLOOKUP('Données projet'!$B$10,Paramètres!$A$1:$I$89,3,0)*0.475*44/12</f>
        <v>#VALUE!</v>
      </c>
      <c r="AW60" s="21" t="e">
        <f>EXP(-LN(2)/2)*AW59+(1-EXP(-LN(2)/2))/(LN(2)/2)*AQ60*AT60*VLOOKUP('Données projet'!$B$10,Paramètres!$A$1:$I$89,3,0)*0.475*44/12</f>
        <v>#VALUE!</v>
      </c>
      <c r="AX60" s="21" t="e">
        <f t="shared" si="6"/>
        <v>#VALUE!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5.6</v>
      </c>
      <c r="N61" s="13">
        <f>IF('Données projet'!$A$36&gt;35,N60+M61-V60,IF(A61&lt;'Données projet'!$A$36,$K$205^A61,IF(A61='Données projet'!$A$36,'Données projet'!$B$36,N60+M61-V60)))</f>
        <v>177.8</v>
      </c>
      <c r="O61" s="13">
        <f>N61*VLOOKUP('Données projet'!$B$9,Paramètres!$A$1:$I$89,3,0)*VLOOKUP('Données projet'!$B$9,Paramètres!$A$1:$I$89,5,0)</f>
        <v>155.32608000000002</v>
      </c>
      <c r="P61" s="13">
        <f t="shared" si="33"/>
        <v>39.786487601092446</v>
      </c>
      <c r="Q61" s="20">
        <f t="shared" si="53"/>
        <v>339.82105523856927</v>
      </c>
      <c r="R61" s="59">
        <f t="shared" si="0"/>
        <v>599.93416583725775</v>
      </c>
      <c r="S61" s="59">
        <f ca="1">AVERAGE(OFFSET($R$3,0,0,'Données projet'!$E$9+1,1))-AVERAGE(OFFSET($H$3,0,0,'Données projet'!$E$9+1,1))</f>
        <v>328.99319251806747</v>
      </c>
      <c r="T61" s="59">
        <f t="shared" si="34"/>
        <v>270.36198290276695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0.28621041991529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7.7800677467195194E-4</v>
      </c>
      <c r="AC61" s="22">
        <f t="shared" si="3"/>
        <v>0.28698842668996194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10.4375</v>
      </c>
      <c r="AI61" s="13">
        <f>IF('Données projet'!$A$62&gt;35,AI60+AH61-AQ60,IF(A61&lt;'Données projet'!$A$62,$AF$205^A61,IF(A61='Données projet'!$A$62,'Données projet'!$B$62,AI60+AH61-AQ60)))</f>
        <v>332.62500000000006</v>
      </c>
      <c r="AJ61" s="13">
        <f>AI61*VLOOKUP('Données projet'!$B$10,Paramètres!$A$1:$I$89,3,0)*VLOOKUP('Données projet'!$B$10,Paramètres!$A$1:$I$89,5,0)</f>
        <v>198.90975000000003</v>
      </c>
      <c r="AK61" s="13">
        <f t="shared" si="35"/>
        <v>49.504487601905097</v>
      </c>
      <c r="AL61" s="20">
        <f t="shared" si="4"/>
        <v>432.65479715665145</v>
      </c>
      <c r="AM61" s="59">
        <f t="shared" si="5"/>
        <v>692.76790775533982</v>
      </c>
      <c r="AN61" s="59">
        <f ca="1">AVERAGE(OFFSET($AM$3,0,0,'Données projet'!$E$10+1,1))-AVERAGE(OFFSET($H$3,0,0,'Données projet'!$E$10+1,1))</f>
        <v>274.23303062063621</v>
      </c>
      <c r="AO61" s="59">
        <f t="shared" si="36"/>
        <v>289.08677371938779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#VALUE!</v>
      </c>
      <c r="AV61" s="21" t="e">
        <f>EXP(-LN(2)/25)*AV60+(1-EXP(-LN(2)/25))/(LN(2)/25)*Calculateur!AQ61*Calculateur!AS61*VLOOKUP('Données projet'!$B$10,Paramètres!$A$1:$I$89,3,0)*0.475*44/12</f>
        <v>#VALUE!</v>
      </c>
      <c r="AW61" s="21" t="e">
        <f>EXP(-LN(2)/2)*AW60+(1-EXP(-LN(2)/2))/(LN(2)/2)*AQ61*AT61*VLOOKUP('Données projet'!$B$10,Paramètres!$A$1:$I$89,3,0)*0.475*44/12</f>
        <v>#VALUE!</v>
      </c>
      <c r="AX61" s="21" t="e">
        <f t="shared" si="6"/>
        <v>#VALUE!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5.6</v>
      </c>
      <c r="N62" s="13">
        <f>IF('Données projet'!$A$36&gt;35,N61+M62-V61,IF(A62&lt;'Données projet'!$A$36,$K$205^A62,IF(A62='Données projet'!$A$36,'Données projet'!$B$36,N61+M62-V61)))</f>
        <v>183.4</v>
      </c>
      <c r="O62" s="13">
        <f>N62*VLOOKUP('Données projet'!$B$9,Paramètres!$A$1:$I$89,3,0)*VLOOKUP('Données projet'!$B$9,Paramètres!$A$1:$I$89,5,0)</f>
        <v>160.21824000000001</v>
      </c>
      <c r="P62" s="13">
        <f t="shared" si="33"/>
        <v>40.891736142170217</v>
      </c>
      <c r="Q62" s="20">
        <f t="shared" si="53"/>
        <v>350.26654178094645</v>
      </c>
      <c r="R62" s="59">
        <f t="shared" si="0"/>
        <v>610.95594897478918</v>
      </c>
      <c r="S62" s="59">
        <f ca="1">AVERAGE(OFFSET($R$3,0,0,'Données projet'!$E$9+1,1))-AVERAGE(OFFSET($H$3,0,0,'Données projet'!$E$9+1,1))</f>
        <v>328.99319251806747</v>
      </c>
      <c r="T62" s="59">
        <f t="shared" si="34"/>
        <v>270.36198290276695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0.28059800815186986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5.501338661796115E-4</v>
      </c>
      <c r="AC62" s="22">
        <f t="shared" si="3"/>
        <v>0.2811481420180495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10.4375</v>
      </c>
      <c r="AI62" s="13">
        <f>IF('Données projet'!$A$62&gt;35,AI61+AH62-AQ61,IF(A62&lt;'Données projet'!$A$62,$AF$205^A62,IF(A62='Données projet'!$A$62,'Données projet'!$B$62,AI61+AH62-AQ61)))</f>
        <v>343.06250000000006</v>
      </c>
      <c r="AJ62" s="13">
        <f>AI62*VLOOKUP('Données projet'!$B$10,Paramètres!$A$1:$I$89,3,0)*VLOOKUP('Données projet'!$B$10,Paramètres!$A$1:$I$89,5,0)</f>
        <v>205.15137500000006</v>
      </c>
      <c r="AK62" s="13">
        <f t="shared" si="35"/>
        <v>50.874602983174022</v>
      </c>
      <c r="AL62" s="20">
        <f t="shared" si="4"/>
        <v>445.91191165402819</v>
      </c>
      <c r="AM62" s="59">
        <f t="shared" si="5"/>
        <v>706.60131884787097</v>
      </c>
      <c r="AN62" s="59">
        <f ca="1">AVERAGE(OFFSET($AM$3,0,0,'Données projet'!$E$10+1,1))-AVERAGE(OFFSET($H$3,0,0,'Données projet'!$E$10+1,1))</f>
        <v>274.23303062063621</v>
      </c>
      <c r="AO62" s="59">
        <f t="shared" si="36"/>
        <v>289.08677371938779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#VALUE!</v>
      </c>
      <c r="AV62" s="21" t="e">
        <f>EXP(-LN(2)/25)*AV61+(1-EXP(-LN(2)/25))/(LN(2)/25)*Calculateur!AQ62*Calculateur!AS62*VLOOKUP('Données projet'!$B$10,Paramètres!$A$1:$I$89,3,0)*0.475*44/12</f>
        <v>#VALUE!</v>
      </c>
      <c r="AW62" s="21" t="e">
        <f>EXP(-LN(2)/2)*AW61+(1-EXP(-LN(2)/2))/(LN(2)/2)*AQ62*AT62*VLOOKUP('Données projet'!$B$10,Paramètres!$A$1:$I$89,3,0)*0.475*44/12</f>
        <v>#VALUE!</v>
      </c>
      <c r="AX62" s="21" t="e">
        <f t="shared" si="6"/>
        <v>#VALUE!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189</v>
      </c>
      <c r="L63" s="12">
        <f>VLOOKUP(A63,'Données projet'!$A$35:$I$55,9,0)</f>
        <v>5.6</v>
      </c>
      <c r="M63" s="12">
        <f t="array" ref="M63">INDEX(L:L,MIN(IF(ISNUMBER(L63:L259),ROW(L63:L259),"")))</f>
        <v>5.6</v>
      </c>
      <c r="N63" s="13">
        <f>IF('Données projet'!$A$36&gt;35,N62+M63-V62,IF(A63&lt;'Données projet'!$A$36,$K$205^A63,IF(A63='Données projet'!$A$36,'Données projet'!$B$36,N62+M63-V62)))</f>
        <v>189</v>
      </c>
      <c r="O63" s="13">
        <f>N63*VLOOKUP('Données projet'!$B$9,Paramètres!$A$1:$I$89,3,0)*VLOOKUP('Données projet'!$B$9,Paramètres!$A$1:$I$89,5,0)</f>
        <v>165.1104</v>
      </c>
      <c r="P63" s="13">
        <f t="shared" si="33"/>
        <v>41.993062739333446</v>
      </c>
      <c r="Q63" s="20">
        <f t="shared" si="53"/>
        <v>360.70519760433905</v>
      </c>
      <c r="R63" s="59">
        <f t="shared" si="0"/>
        <v>621.96090393581653</v>
      </c>
      <c r="S63" s="59">
        <f ca="1">AVERAGE(OFFSET($R$3,0,0,'Données projet'!$E$9+1,1))-AVERAGE(OFFSET($H$3,0,0,'Données projet'!$E$9+1,1))</f>
        <v>328.99319251806747</v>
      </c>
      <c r="T63" s="59">
        <f t="shared" si="34"/>
        <v>270.36198290276695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18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0.27509565235989719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3.8900338733597597E-4</v>
      </c>
      <c r="AC63" s="22">
        <f t="shared" si="3"/>
        <v>0.27548465574723319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353.5</v>
      </c>
      <c r="AG63" s="12">
        <f>VLOOKUP(A63,'Données projet'!$A$61:$I$81,9,0)</f>
        <v>10.4375</v>
      </c>
      <c r="AH63" s="12">
        <f t="array" ref="AH63">INDEX(AG:AG,MIN(IF(ISNUMBER(AG63:AG259),ROW(AG63:AG259),"")))</f>
        <v>10.4375</v>
      </c>
      <c r="AI63" s="13">
        <f>IF('Données projet'!$A$62&gt;35,AI62+AH63-AQ62,IF(A63&lt;'Données projet'!$A$62,$AF$205^A63,IF(A63='Données projet'!$A$62,'Données projet'!$B$62,AI62+AH63-AQ62)))</f>
        <v>353.50000000000006</v>
      </c>
      <c r="AJ63" s="13">
        <f>AI63*VLOOKUP('Données projet'!$B$10,Paramètres!$A$1:$I$89,3,0)*VLOOKUP('Données projet'!$B$10,Paramètres!$A$1:$I$89,5,0)</f>
        <v>211.39300000000006</v>
      </c>
      <c r="AK63" s="13">
        <f t="shared" si="35"/>
        <v>52.239874015944089</v>
      </c>
      <c r="AL63" s="20">
        <f t="shared" si="4"/>
        <v>459.16058891110265</v>
      </c>
      <c r="AM63" s="59">
        <f t="shared" si="5"/>
        <v>720.41629524258019</v>
      </c>
      <c r="AN63" s="59">
        <f ca="1">AVERAGE(OFFSET($AM$3,0,0,'Données projet'!$E$10+1,1))-AVERAGE(OFFSET($H$3,0,0,'Données projet'!$E$10+1,1))</f>
        <v>274.23303062063621</v>
      </c>
      <c r="AO63" s="59">
        <f t="shared" si="36"/>
        <v>289.08677371938779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353.5</v>
      </c>
      <c r="AR63" s="16" t="e">
        <f>IF(ISNA(VLOOKUP(A63,'Données projet'!$A$61:$I$81,5,0)),0%,VLOOKUP(A63,'Données projet'!$A$61:$I$81,5,0)*VLOOKUP('Données projet'!$B$10,Paramètres!$A$1:$I$89,7,0))</f>
        <v>#VALUE!</v>
      </c>
      <c r="AS63" s="16" t="e">
        <f>IF(ISNA(VLOOKUP(A63,'Données projet'!$A$61:$I$81,6,0)),0%,VLOOKUP(A63,'Données projet'!$A$61:$I$81,6,0)*VLOOKUP('Données projet'!$B$10,Paramètres!$A$1:$I$89,7,0))</f>
        <v>#VALUE!</v>
      </c>
      <c r="AT63" s="16" t="str">
        <f>IF(ISNA(VLOOKUP(A63,'Données projet'!$A$61:$I$81,7,0)),0%,VLOOKUP(A63,'Données projet'!$A$61:$I$81,7,0))</f>
        <v/>
      </c>
      <c r="AU63" s="21" t="e">
        <f>EXP(-LN(2)/35)*AU62+(1-EXP(-LN(2)/35))/(LN(2)/35)*AQ63*AR63*VLOOKUP('Données projet'!$B$10,Paramètres!$A$1:$I$89,3,0)*0.475*44/12</f>
        <v>#VALUE!</v>
      </c>
      <c r="AV63" s="21" t="e">
        <f>EXP(-LN(2)/25)*AV62+(1-EXP(-LN(2)/25))/(LN(2)/25)*Calculateur!AQ63*Calculateur!AS63*VLOOKUP('Données projet'!$B$10,Paramètres!$A$1:$I$89,3,0)*0.475*44/12</f>
        <v>#VALUE!</v>
      </c>
      <c r="AW63" s="21" t="e">
        <f>EXP(-LN(2)/2)*AW62+(1-EXP(-LN(2)/2))/(LN(2)/2)*AQ63*AT63*VLOOKUP('Données projet'!$B$10,Paramètres!$A$1:$I$89,3,0)*0.475*44/12</f>
        <v>#VALUE!</v>
      </c>
      <c r="AX63" s="21" t="e">
        <f t="shared" si="6"/>
        <v>#VALUE!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5.2</v>
      </c>
      <c r="N64" s="13">
        <f>IF('Données projet'!$A$36&gt;35,N63+M64-V63,IF(A64&lt;'Données projet'!$A$36,$K$205^A64,IF(A64='Données projet'!$A$36,'Données projet'!$B$36,N63+M64-V63)))</f>
        <v>176.2</v>
      </c>
      <c r="O64" s="13">
        <f>N64*VLOOKUP('Données projet'!$B$9,Paramètres!$A$1:$I$89,3,0)*VLOOKUP('Données projet'!$B$9,Paramètres!$A$1:$I$89,5,0)</f>
        <v>153.92832000000001</v>
      </c>
      <c r="P64" s="13">
        <f t="shared" si="33"/>
        <v>39.469962836517794</v>
      </c>
      <c r="Q64" s="20">
        <f t="shared" si="53"/>
        <v>336.83534260693517</v>
      </c>
      <c r="R64" s="59">
        <f t="shared" si="0"/>
        <v>598.64752405206445</v>
      </c>
      <c r="S64" s="59">
        <f ca="1">AVERAGE(OFFSET($R$3,0,0,'Données projet'!$E$9+1,1))-AVERAGE(OFFSET($H$3,0,0,'Données projet'!$E$9+1,1))</f>
        <v>328.99319251806747</v>
      </c>
      <c r="T64" s="59">
        <f t="shared" si="34"/>
        <v>270.36198290276695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0.2697011944088995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2.7506693308980575E-4</v>
      </c>
      <c r="AC64" s="22">
        <f t="shared" si="3"/>
        <v>0.26997626134198932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5.6843418860808015E-14</v>
      </c>
      <c r="AJ64" s="13">
        <f>AI64*VLOOKUP('Données projet'!$B$10,Paramètres!$A$1:$I$89,3,0)*VLOOKUP('Données projet'!$B$10,Paramètres!$A$1:$I$89,5,0)</f>
        <v>3.3992364478763198E-14</v>
      </c>
      <c r="AK64" s="13">
        <f t="shared" si="35"/>
        <v>5.790027782444094E-13</v>
      </c>
      <c r="AL64" s="20">
        <f t="shared" si="4"/>
        <v>1.0676332069095257E-12</v>
      </c>
      <c r="AM64" s="59">
        <f t="shared" si="5"/>
        <v>261.81218144513042</v>
      </c>
      <c r="AN64" s="59">
        <f ca="1">AVERAGE(OFFSET($AM$3,0,0,'Données projet'!$E$10+1,1))-AVERAGE(OFFSET($H$3,0,0,'Données projet'!$E$10+1,1))</f>
        <v>274.23303062063621</v>
      </c>
      <c r="AO64" s="59">
        <f t="shared" si="36"/>
        <v>289.08677371938779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#VALUE!</v>
      </c>
      <c r="AV64" s="21" t="e">
        <f>EXP(-LN(2)/25)*AV63+(1-EXP(-LN(2)/25))/(LN(2)/25)*Calculateur!AQ64*Calculateur!AS64*VLOOKUP('Données projet'!$B$10,Paramètres!$A$1:$I$89,3,0)*0.475*44/12</f>
        <v>#VALUE!</v>
      </c>
      <c r="AW64" s="21" t="e">
        <f>EXP(-LN(2)/2)*AW63+(1-EXP(-LN(2)/2))/(LN(2)/2)*AQ64*AT64*VLOOKUP('Données projet'!$B$10,Paramètres!$A$1:$I$89,3,0)*0.475*44/12</f>
        <v>#VALUE!</v>
      </c>
      <c r="AX64" s="21" t="e">
        <f t="shared" si="6"/>
        <v>#VALUE!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5.2</v>
      </c>
      <c r="N65" s="13">
        <f>IF('Données projet'!$A$36&gt;35,N64+M65-V64,IF(A65&lt;'Données projet'!$A$36,$K$205^A65,IF(A65='Données projet'!$A$36,'Données projet'!$B$36,N64+M65-V64)))</f>
        <v>181.39999999999998</v>
      </c>
      <c r="O65" s="13">
        <f>N65*VLOOKUP('Données projet'!$B$9,Paramètres!$A$1:$I$89,3,0)*VLOOKUP('Données projet'!$B$9,Paramètres!$A$1:$I$89,5,0)</f>
        <v>158.47104000000002</v>
      </c>
      <c r="P65" s="13">
        <f t="shared" si="33"/>
        <v>40.497461727609561</v>
      </c>
      <c r="Q65" s="20">
        <f t="shared" si="53"/>
        <v>346.5368071755866</v>
      </c>
      <c r="R65" s="59">
        <f t="shared" si="0"/>
        <v>608.89581013523798</v>
      </c>
      <c r="S65" s="59">
        <f ca="1">AVERAGE(OFFSET($R$3,0,0,'Données projet'!$E$9+1,1))-AVERAGE(OFFSET($H$3,0,0,'Données projet'!$E$9+1,1))</f>
        <v>328.99319251806747</v>
      </c>
      <c r="T65" s="59">
        <f t="shared" si="34"/>
        <v>270.36198290276695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0.26441251848802638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1.9450169366798799E-4</v>
      </c>
      <c r="AC65" s="22">
        <f t="shared" si="3"/>
        <v>0.26460702018169435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5.6843418860808015E-14</v>
      </c>
      <c r="AJ65" s="13">
        <f>AI65*VLOOKUP('Données projet'!$B$10,Paramètres!$A$1:$I$89,3,0)*VLOOKUP('Données projet'!$B$10,Paramètres!$A$1:$I$89,5,0)</f>
        <v>3.3992364478763198E-14</v>
      </c>
      <c r="AK65" s="13">
        <f t="shared" si="35"/>
        <v>5.790027782444094E-13</v>
      </c>
      <c r="AL65" s="20">
        <f t="shared" si="4"/>
        <v>1.0676332069095257E-12</v>
      </c>
      <c r="AM65" s="59">
        <f t="shared" si="5"/>
        <v>262.3590029596524</v>
      </c>
      <c r="AN65" s="59">
        <f ca="1">AVERAGE(OFFSET($AM$3,0,0,'Données projet'!$E$10+1,1))-AVERAGE(OFFSET($H$3,0,0,'Données projet'!$E$10+1,1))</f>
        <v>274.23303062063621</v>
      </c>
      <c r="AO65" s="59">
        <f t="shared" si="36"/>
        <v>289.08677371938779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#VALUE!</v>
      </c>
      <c r="AV65" s="21" t="e">
        <f>EXP(-LN(2)/25)*AV64+(1-EXP(-LN(2)/25))/(LN(2)/25)*Calculateur!AQ65*Calculateur!AS65*VLOOKUP('Données projet'!$B$10,Paramètres!$A$1:$I$89,3,0)*0.475*44/12</f>
        <v>#VALUE!</v>
      </c>
      <c r="AW65" s="21" t="e">
        <f>EXP(-LN(2)/2)*AW64+(1-EXP(-LN(2)/2))/(LN(2)/2)*AQ65*AT65*VLOOKUP('Données projet'!$B$10,Paramètres!$A$1:$I$89,3,0)*0.475*44/12</f>
        <v>#VALUE!</v>
      </c>
      <c r="AX65" s="21" t="e">
        <f t="shared" si="6"/>
        <v>#VALUE!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5.2</v>
      </c>
      <c r="N66" s="13">
        <f>IF('Données projet'!$A$36&gt;35,N65+M66-V65,IF(A66&lt;'Données projet'!$A$36,$K$205^A66,IF(A66='Données projet'!$A$36,'Données projet'!$B$36,N65+M66-V65)))</f>
        <v>186.59999999999997</v>
      </c>
      <c r="O66" s="13">
        <f>N66*VLOOKUP('Données projet'!$B$9,Paramètres!$A$1:$I$89,3,0)*VLOOKUP('Données projet'!$B$9,Paramètres!$A$1:$I$89,5,0)</f>
        <v>163.01375999999999</v>
      </c>
      <c r="P66" s="13">
        <f t="shared" si="33"/>
        <v>41.521537366475364</v>
      </c>
      <c r="Q66" s="20">
        <f t="shared" si="53"/>
        <v>356.23230957994457</v>
      </c>
      <c r="R66" s="59">
        <f t="shared" si="0"/>
        <v>619.12864792335063</v>
      </c>
      <c r="S66" s="59">
        <f ca="1">AVERAGE(OFFSET($R$3,0,0,'Données projet'!$E$9+1,1))-AVERAGE(OFFSET($H$3,0,0,'Données projet'!$E$9+1,1))</f>
        <v>328.99319251806747</v>
      </c>
      <c r="T66" s="59">
        <f t="shared" si="34"/>
        <v>270.36198290276695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0.25922755027618782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1.3753346654490288E-4</v>
      </c>
      <c r="AC66" s="22">
        <f t="shared" si="3"/>
        <v>0.2593650837427327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5.6843418860808015E-14</v>
      </c>
      <c r="AJ66" s="13">
        <f>AI66*VLOOKUP('Données projet'!$B$10,Paramètres!$A$1:$I$89,3,0)*VLOOKUP('Données projet'!$B$10,Paramètres!$A$1:$I$89,5,0)</f>
        <v>3.3992364478763198E-14</v>
      </c>
      <c r="AK66" s="13">
        <f t="shared" si="35"/>
        <v>5.790027782444094E-13</v>
      </c>
      <c r="AL66" s="20">
        <f t="shared" si="4"/>
        <v>1.0676332069095257E-12</v>
      </c>
      <c r="AM66" s="59">
        <f t="shared" si="5"/>
        <v>262.89633834340719</v>
      </c>
      <c r="AN66" s="59">
        <f ca="1">AVERAGE(OFFSET($AM$3,0,0,'Données projet'!$E$10+1,1))-AVERAGE(OFFSET($H$3,0,0,'Données projet'!$E$10+1,1))</f>
        <v>274.23303062063621</v>
      </c>
      <c r="AO66" s="59">
        <f t="shared" si="36"/>
        <v>289.08677371938779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#VALUE!</v>
      </c>
      <c r="AV66" s="21" t="e">
        <f>EXP(-LN(2)/25)*AV65+(1-EXP(-LN(2)/25))/(LN(2)/25)*Calculateur!AQ66*Calculateur!AS66*VLOOKUP('Données projet'!$B$10,Paramètres!$A$1:$I$89,3,0)*0.475*44/12</f>
        <v>#VALUE!</v>
      </c>
      <c r="AW66" s="21" t="e">
        <f>EXP(-LN(2)/2)*AW65+(1-EXP(-LN(2)/2))/(LN(2)/2)*AQ66*AT66*VLOOKUP('Données projet'!$B$10,Paramètres!$A$1:$I$89,3,0)*0.475*44/12</f>
        <v>#VALUE!</v>
      </c>
      <c r="AX66" s="21" t="e">
        <f t="shared" si="6"/>
        <v>#VALUE!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5.2</v>
      </c>
      <c r="N67" s="13">
        <f>IF('Données projet'!$A$36&gt;35,N66+M67-V66,IF(A67&lt;'Données projet'!$A$36,$K$205^A67,IF(A67='Données projet'!$A$36,'Données projet'!$B$36,N66+M67-V66)))</f>
        <v>191.79999999999995</v>
      </c>
      <c r="O67" s="13">
        <f>N67*VLOOKUP('Données projet'!$B$9,Paramètres!$A$1:$I$89,3,0)*VLOOKUP('Données projet'!$B$9,Paramètres!$A$1:$I$89,5,0)</f>
        <v>167.55647999999999</v>
      </c>
      <c r="P67" s="13">
        <f t="shared" si="33"/>
        <v>42.542296108660942</v>
      </c>
      <c r="Q67" s="20">
        <f t="shared" ref="Q67:Q98" si="54">(O67+P67)*0.475*44/12</f>
        <v>365.92203505591777</v>
      </c>
      <c r="R67" s="59">
        <f t="shared" ref="R67:R130" si="55">Q67+(I67+J67)*44/12</f>
        <v>629.34638721547253</v>
      </c>
      <c r="S67" s="59">
        <f ca="1">AVERAGE(OFFSET($R$3,0,0,'Données projet'!$E$9+1,1))-AVERAGE(OFFSET($H$3,0,0,'Données projet'!$E$9+1,1))</f>
        <v>328.99319251806747</v>
      </c>
      <c r="T67" s="59">
        <f t="shared" si="34"/>
        <v>270.36198290276695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0.25414425612846508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9.7250846833993993E-5</v>
      </c>
      <c r="AC67" s="22">
        <f t="shared" si="3"/>
        <v>0.25424150697529907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5.6843418860808015E-14</v>
      </c>
      <c r="AJ67" s="13">
        <f>AI67*VLOOKUP('Données projet'!$B$10,Paramètres!$A$1:$I$89,3,0)*VLOOKUP('Données projet'!$B$10,Paramètres!$A$1:$I$89,5,0)</f>
        <v>3.3992364478763198E-14</v>
      </c>
      <c r="AK67" s="13">
        <f t="shared" si="35"/>
        <v>5.790027782444094E-13</v>
      </c>
      <c r="AL67" s="20">
        <f t="shared" si="4"/>
        <v>1.0676332069095257E-12</v>
      </c>
      <c r="AM67" s="59">
        <f t="shared" si="5"/>
        <v>263.42435215955584</v>
      </c>
      <c r="AN67" s="59">
        <f ca="1">AVERAGE(OFFSET($AM$3,0,0,'Données projet'!$E$10+1,1))-AVERAGE(OFFSET($H$3,0,0,'Données projet'!$E$10+1,1))</f>
        <v>274.23303062063621</v>
      </c>
      <c r="AO67" s="59">
        <f t="shared" si="36"/>
        <v>289.08677371938779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#VALUE!</v>
      </c>
      <c r="AV67" s="21" t="e">
        <f>EXP(-LN(2)/25)*AV66+(1-EXP(-LN(2)/25))/(LN(2)/25)*Calculateur!AQ67*Calculateur!AS67*VLOOKUP('Données projet'!$B$10,Paramètres!$A$1:$I$89,3,0)*0.475*44/12</f>
        <v>#VALUE!</v>
      </c>
      <c r="AW67" s="21" t="e">
        <f>EXP(-LN(2)/2)*AW66+(1-EXP(-LN(2)/2))/(LN(2)/2)*AQ67*AT67*VLOOKUP('Données projet'!$B$10,Paramètres!$A$1:$I$89,3,0)*0.475*44/12</f>
        <v>#VALUE!</v>
      </c>
      <c r="AX67" s="21" t="e">
        <f t="shared" si="6"/>
        <v>#VALUE!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197</v>
      </c>
      <c r="L68" s="12">
        <f>VLOOKUP(A68,'Données projet'!$A$35:$I$55,9,0)</f>
        <v>5.2</v>
      </c>
      <c r="M68" s="12">
        <f t="array" ref="M68">INDEX(L:L,MIN(IF(ISNUMBER(L68:L264),ROW(L68:L264),"")))</f>
        <v>5.2</v>
      </c>
      <c r="N68" s="13">
        <f>IF('Données projet'!$A$36&gt;35,N67+M68-V67,IF(A68&lt;'Données projet'!$A$36,$K$205^A68,IF(A68='Données projet'!$A$36,'Données projet'!$B$36,N67+M68-V67)))</f>
        <v>196.99999999999994</v>
      </c>
      <c r="O68" s="13">
        <f>N68*VLOOKUP('Données projet'!$B$9,Paramètres!$A$1:$I$89,3,0)*VLOOKUP('Données projet'!$B$9,Paramètres!$A$1:$I$89,5,0)</f>
        <v>172.09919999999997</v>
      </c>
      <c r="P68" s="13">
        <f t="shared" si="33"/>
        <v>43.559838214506954</v>
      </c>
      <c r="Q68" s="20">
        <f t="shared" si="54"/>
        <v>375.60615822359955</v>
      </c>
      <c r="R68" s="59">
        <f t="shared" si="55"/>
        <v>639.54936434005481</v>
      </c>
      <c r="S68" s="59">
        <f ca="1">AVERAGE(OFFSET($R$3,0,0,'Données projet'!$E$9+1,1))-AVERAGE(OFFSET($H$3,0,0,'Données projet'!$E$9+1,1))</f>
        <v>328.99319251806747</v>
      </c>
      <c r="T68" s="59">
        <f t="shared" si="34"/>
        <v>270.36198290276695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17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0.2491606422784759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6.8766733272451438E-5</v>
      </c>
      <c r="AC68" s="22">
        <f t="shared" ref="AC68:AC131" si="57">SUM(Z68:AB68)</f>
        <v>0.24922940901174834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5.6843418860808015E-14</v>
      </c>
      <c r="AJ68" s="13">
        <f>AI68*VLOOKUP('Données projet'!$B$10,Paramètres!$A$1:$I$89,3,0)*VLOOKUP('Données projet'!$B$10,Paramètres!$A$1:$I$89,5,0)</f>
        <v>3.3992364478763198E-14</v>
      </c>
      <c r="AK68" s="13">
        <f t="shared" si="35"/>
        <v>5.790027782444094E-13</v>
      </c>
      <c r="AL68" s="20">
        <f t="shared" ref="AL68:AL131" si="58">(AJ68+AK68)*0.475*44/12</f>
        <v>1.0676332069095257E-12</v>
      </c>
      <c r="AM68" s="59">
        <f t="shared" ref="AM68:AM131" si="59">AL68+(AD68+AE68)*44/12</f>
        <v>263.94320611645628</v>
      </c>
      <c r="AN68" s="59">
        <f ca="1">AVERAGE(OFFSET($AM$3,0,0,'Données projet'!$E$10+1,1))-AVERAGE(OFFSET($H$3,0,0,'Données projet'!$E$10+1,1))</f>
        <v>274.23303062063621</v>
      </c>
      <c r="AO68" s="59">
        <f t="shared" si="36"/>
        <v>289.08677371938779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#VALUE!</v>
      </c>
      <c r="AV68" s="21" t="e">
        <f>EXP(-LN(2)/25)*AV67+(1-EXP(-LN(2)/25))/(LN(2)/25)*Calculateur!AQ68*Calculateur!AS68*VLOOKUP('Données projet'!$B$10,Paramètres!$A$1:$I$89,3,0)*0.475*44/12</f>
        <v>#VALUE!</v>
      </c>
      <c r="AW68" s="21" t="e">
        <f>EXP(-LN(2)/2)*AW67+(1-EXP(-LN(2)/2))/(LN(2)/2)*AQ68*AT68*VLOOKUP('Données projet'!$B$10,Paramètres!$A$1:$I$89,3,0)*0.475*44/12</f>
        <v>#VALUE!</v>
      </c>
      <c r="AX68" s="21" t="e">
        <f t="shared" ref="AX68:AX131" si="60">SUM(AU68:AW68)</f>
        <v>#VALUE!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4.8</v>
      </c>
      <c r="N69" s="13">
        <f>IF('Données projet'!$A$36&gt;35,N68+M69-V68,IF(A69&lt;'Données projet'!$A$36,$K$205^A69,IF(A69='Données projet'!$A$36,'Données projet'!$B$36,N68+M69-V68)))</f>
        <v>184.79999999999995</v>
      </c>
      <c r="O69" s="13">
        <f>N69*VLOOKUP('Données projet'!$B$9,Paramètres!$A$1:$I$89,3,0)*VLOOKUP('Données projet'!$B$9,Paramètres!$A$1:$I$89,5,0)</f>
        <v>161.44127999999998</v>
      </c>
      <c r="P69" s="13">
        <f t="shared" ref="P69:P132" si="87">EXP(-1.0587+0.8836*LN(O69)+0.284)</f>
        <v>41.167430271655704</v>
      </c>
      <c r="Q69" s="20">
        <f t="shared" si="54"/>
        <v>352.87683705646697</v>
      </c>
      <c r="R69" s="59">
        <f t="shared" si="55"/>
        <v>617.32989617365411</v>
      </c>
      <c r="S69" s="59">
        <f ca="1">AVERAGE(OFFSET($R$3,0,0,'Données projet'!$E$9+1,1))-AVERAGE(OFFSET($H$3,0,0,'Données projet'!$E$9+1,1))</f>
        <v>328.99319251806747</v>
      </c>
      <c r="T69" s="59">
        <f t="shared" ref="T69:T132" si="88">$T$3</f>
        <v>270.36198290276695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0.24427475405638069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4.8625423416996996E-5</v>
      </c>
      <c r="AC69" s="22">
        <f t="shared" si="57"/>
        <v>0.24432337947979768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5.6843418860808015E-14</v>
      </c>
      <c r="AJ69" s="13">
        <f>AI69*VLOOKUP('Données projet'!$B$10,Paramètres!$A$1:$I$89,3,0)*VLOOKUP('Données projet'!$B$10,Paramètres!$A$1:$I$89,5,0)</f>
        <v>3.3992364478763198E-14</v>
      </c>
      <c r="AK69" s="13">
        <f t="shared" ref="AK69:AK132" si="89">EXP(-1.0587+0.8836*LN(AJ69)+0.284)</f>
        <v>5.790027782444094E-13</v>
      </c>
      <c r="AL69" s="20">
        <f t="shared" si="58"/>
        <v>1.0676332069095257E-12</v>
      </c>
      <c r="AM69" s="59">
        <f t="shared" si="59"/>
        <v>264.45305911718816</v>
      </c>
      <c r="AN69" s="59">
        <f ca="1">AVERAGE(OFFSET($AM$3,0,0,'Données projet'!$E$10+1,1))-AVERAGE(OFFSET($H$3,0,0,'Données projet'!$E$10+1,1))</f>
        <v>274.23303062063621</v>
      </c>
      <c r="AO69" s="59">
        <f t="shared" ref="AO69:AO132" si="90">$AO$3</f>
        <v>289.08677371938779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#VALUE!</v>
      </c>
      <c r="AV69" s="21" t="e">
        <f>EXP(-LN(2)/25)*AV68+(1-EXP(-LN(2)/25))/(LN(2)/25)*Calculateur!AQ69*Calculateur!AS69*VLOOKUP('Données projet'!$B$10,Paramètres!$A$1:$I$89,3,0)*0.475*44/12</f>
        <v>#VALUE!</v>
      </c>
      <c r="AW69" s="21" t="e">
        <f>EXP(-LN(2)/2)*AW68+(1-EXP(-LN(2)/2))/(LN(2)/2)*AQ69*AT69*VLOOKUP('Données projet'!$B$10,Paramètres!$A$1:$I$89,3,0)*0.475*44/12</f>
        <v>#VALUE!</v>
      </c>
      <c r="AX69" s="21" t="e">
        <f t="shared" si="60"/>
        <v>#VALUE!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4.8</v>
      </c>
      <c r="N70" s="13">
        <f>IF('Données projet'!$A$36&gt;35,N69+M70-V69,IF(A70&lt;'Données projet'!$A$36,$K$205^A70,IF(A70='Données projet'!$A$36,'Données projet'!$B$36,N69+M70-V69)))</f>
        <v>189.59999999999997</v>
      </c>
      <c r="O70" s="13">
        <f>N70*VLOOKUP('Données projet'!$B$9,Paramètres!$A$1:$I$89,3,0)*VLOOKUP('Données projet'!$B$9,Paramètres!$A$1:$I$89,5,0)</f>
        <v>165.63455999999999</v>
      </c>
      <c r="P70" s="13">
        <f t="shared" si="87"/>
        <v>42.110834874947706</v>
      </c>
      <c r="Q70" s="20">
        <f t="shared" si="54"/>
        <v>361.82322940720059</v>
      </c>
      <c r="R70" s="59">
        <f t="shared" si="55"/>
        <v>626.77729671541749</v>
      </c>
      <c r="S70" s="59">
        <f ca="1">AVERAGE(OFFSET($R$3,0,0,'Données projet'!$E$9+1,1))-AVERAGE(OFFSET($H$3,0,0,'Données projet'!$E$9+1,1))</f>
        <v>328.99319251806747</v>
      </c>
      <c r="T70" s="59">
        <f t="shared" si="88"/>
        <v>270.36198290276695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0.23948467512222321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3.4383366636225719E-5</v>
      </c>
      <c r="AC70" s="22">
        <f t="shared" si="57"/>
        <v>0.23951905848885943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5.6843418860808015E-14</v>
      </c>
      <c r="AJ70" s="13">
        <f>AI70*VLOOKUP('Données projet'!$B$10,Paramètres!$A$1:$I$89,3,0)*VLOOKUP('Données projet'!$B$10,Paramètres!$A$1:$I$89,5,0)</f>
        <v>3.3992364478763198E-14</v>
      </c>
      <c r="AK70" s="13">
        <f t="shared" si="89"/>
        <v>5.790027782444094E-13</v>
      </c>
      <c r="AL70" s="20">
        <f t="shared" si="58"/>
        <v>1.0676332069095257E-12</v>
      </c>
      <c r="AM70" s="59">
        <f t="shared" si="59"/>
        <v>264.95406730821799</v>
      </c>
      <c r="AN70" s="59">
        <f ca="1">AVERAGE(OFFSET($AM$3,0,0,'Données projet'!$E$10+1,1))-AVERAGE(OFFSET($H$3,0,0,'Données projet'!$E$10+1,1))</f>
        <v>274.23303062063621</v>
      </c>
      <c r="AO70" s="59">
        <f t="shared" si="90"/>
        <v>289.08677371938779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#VALUE!</v>
      </c>
      <c r="AV70" s="21" t="e">
        <f>EXP(-LN(2)/25)*AV69+(1-EXP(-LN(2)/25))/(LN(2)/25)*Calculateur!AQ70*Calculateur!AS70*VLOOKUP('Données projet'!$B$10,Paramètres!$A$1:$I$89,3,0)*0.475*44/12</f>
        <v>#VALUE!</v>
      </c>
      <c r="AW70" s="21" t="e">
        <f>EXP(-LN(2)/2)*AW69+(1-EXP(-LN(2)/2))/(LN(2)/2)*AQ70*AT70*VLOOKUP('Données projet'!$B$10,Paramètres!$A$1:$I$89,3,0)*0.475*44/12</f>
        <v>#VALUE!</v>
      </c>
      <c r="AX70" s="21" t="e">
        <f t="shared" si="60"/>
        <v>#VALUE!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4.8</v>
      </c>
      <c r="N71" s="13">
        <f>IF('Données projet'!$A$36&gt;35,N70+M71-V70,IF(A71&lt;'Données projet'!$A$36,$K$205^A71,IF(A71='Données projet'!$A$36,'Données projet'!$B$36,N70+M71-V70)))</f>
        <v>194.39999999999998</v>
      </c>
      <c r="O71" s="13">
        <f>N71*VLOOKUP('Données projet'!$B$9,Paramètres!$A$1:$I$89,3,0)*VLOOKUP('Données projet'!$B$9,Paramètres!$A$1:$I$89,5,0)</f>
        <v>169.82784000000001</v>
      </c>
      <c r="P71" s="13">
        <f t="shared" si="87"/>
        <v>43.051463198873812</v>
      </c>
      <c r="Q71" s="20">
        <f t="shared" si="54"/>
        <v>370.76478640470526</v>
      </c>
      <c r="R71" s="59">
        <f t="shared" si="55"/>
        <v>636.21117053192415</v>
      </c>
      <c r="S71" s="59">
        <f ca="1">AVERAGE(OFFSET($R$3,0,0,'Données projet'!$E$9+1,1))-AVERAGE(OFFSET($H$3,0,0,'Données projet'!$E$9+1,1))</f>
        <v>328.99319251806747</v>
      </c>
      <c r="T71" s="59">
        <f t="shared" si="88"/>
        <v>270.36198290276695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0.23478852671430489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2.4312711708498498E-5</v>
      </c>
      <c r="AC71" s="22">
        <f t="shared" si="57"/>
        <v>0.23481283942601339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5.6843418860808015E-14</v>
      </c>
      <c r="AJ71" s="13">
        <f>AI71*VLOOKUP('Données projet'!$B$10,Paramètres!$A$1:$I$89,3,0)*VLOOKUP('Données projet'!$B$10,Paramètres!$A$1:$I$89,5,0)</f>
        <v>3.3992364478763198E-14</v>
      </c>
      <c r="AK71" s="13">
        <f t="shared" si="89"/>
        <v>5.790027782444094E-13</v>
      </c>
      <c r="AL71" s="20">
        <f t="shared" si="58"/>
        <v>1.0676332069095257E-12</v>
      </c>
      <c r="AM71" s="59">
        <f t="shared" si="59"/>
        <v>265.44638412721991</v>
      </c>
      <c r="AN71" s="59">
        <f ca="1">AVERAGE(OFFSET($AM$3,0,0,'Données projet'!$E$10+1,1))-AVERAGE(OFFSET($H$3,0,0,'Données projet'!$E$10+1,1))</f>
        <v>274.23303062063621</v>
      </c>
      <c r="AO71" s="59">
        <f t="shared" si="90"/>
        <v>289.08677371938779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#VALUE!</v>
      </c>
      <c r="AV71" s="21" t="e">
        <f>EXP(-LN(2)/25)*AV70+(1-EXP(-LN(2)/25))/(LN(2)/25)*Calculateur!AQ71*Calculateur!AS71*VLOOKUP('Données projet'!$B$10,Paramètres!$A$1:$I$89,3,0)*0.475*44/12</f>
        <v>#VALUE!</v>
      </c>
      <c r="AW71" s="21" t="e">
        <f>EXP(-LN(2)/2)*AW70+(1-EXP(-LN(2)/2))/(LN(2)/2)*AQ71*AT71*VLOOKUP('Données projet'!$B$10,Paramètres!$A$1:$I$89,3,0)*0.475*44/12</f>
        <v>#VALUE!</v>
      </c>
      <c r="AX71" s="21" t="e">
        <f t="shared" si="60"/>
        <v>#VALUE!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4.8</v>
      </c>
      <c r="N72" s="13">
        <f>IF('Données projet'!$A$36&gt;35,N71+M72-V71,IF(A72&lt;'Données projet'!$A$36,$K$205^A72,IF(A72='Données projet'!$A$36,'Données projet'!$B$36,N71+M72-V71)))</f>
        <v>199.2</v>
      </c>
      <c r="O72" s="13">
        <f>N72*VLOOKUP('Données projet'!$B$9,Paramètres!$A$1:$I$89,3,0)*VLOOKUP('Données projet'!$B$9,Paramètres!$A$1:$I$89,5,0)</f>
        <v>174.02112000000002</v>
      </c>
      <c r="P72" s="13">
        <f t="shared" si="87"/>
        <v>43.989391678613877</v>
      </c>
      <c r="Q72" s="20">
        <f t="shared" si="54"/>
        <v>379.70164117358587</v>
      </c>
      <c r="R72" s="59">
        <f t="shared" si="55"/>
        <v>645.63180152365248</v>
      </c>
      <c r="S72" s="59">
        <f ca="1">AVERAGE(OFFSET($R$3,0,0,'Données projet'!$E$9+1,1))-AVERAGE(OFFSET($H$3,0,0,'Données projet'!$E$9+1,1))</f>
        <v>328.99319251806747</v>
      </c>
      <c r="T72" s="59">
        <f t="shared" si="88"/>
        <v>270.36198290276695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0.23018446691229816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1.7191683318112859E-5</v>
      </c>
      <c r="AC72" s="22">
        <f t="shared" si="57"/>
        <v>0.23020165859561628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5.6843418860808015E-14</v>
      </c>
      <c r="AJ72" s="13">
        <f>AI72*VLOOKUP('Données projet'!$B$10,Paramètres!$A$1:$I$89,3,0)*VLOOKUP('Données projet'!$B$10,Paramètres!$A$1:$I$89,5,0)</f>
        <v>3.3992364478763198E-14</v>
      </c>
      <c r="AK72" s="13">
        <f t="shared" si="89"/>
        <v>5.790027782444094E-13</v>
      </c>
      <c r="AL72" s="20">
        <f t="shared" si="58"/>
        <v>1.0676332069095257E-12</v>
      </c>
      <c r="AM72" s="59">
        <f t="shared" si="59"/>
        <v>265.93016035006764</v>
      </c>
      <c r="AN72" s="59">
        <f ca="1">AVERAGE(OFFSET($AM$3,0,0,'Données projet'!$E$10+1,1))-AVERAGE(OFFSET($H$3,0,0,'Données projet'!$E$10+1,1))</f>
        <v>274.23303062063621</v>
      </c>
      <c r="AO72" s="59">
        <f t="shared" si="90"/>
        <v>289.08677371938779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#VALUE!</v>
      </c>
      <c r="AV72" s="21" t="e">
        <f>EXP(-LN(2)/25)*AV71+(1-EXP(-LN(2)/25))/(LN(2)/25)*Calculateur!AQ72*Calculateur!AS72*VLOOKUP('Données projet'!$B$10,Paramètres!$A$1:$I$89,3,0)*0.475*44/12</f>
        <v>#VALUE!</v>
      </c>
      <c r="AW72" s="21" t="e">
        <f>EXP(-LN(2)/2)*AW71+(1-EXP(-LN(2)/2))/(LN(2)/2)*AQ72*AT72*VLOOKUP('Données projet'!$B$10,Paramètres!$A$1:$I$89,3,0)*0.475*44/12</f>
        <v>#VALUE!</v>
      </c>
      <c r="AX72" s="21" t="e">
        <f t="shared" si="60"/>
        <v>#VALUE!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204</v>
      </c>
      <c r="L73" s="12">
        <f>VLOOKUP(A73,'Données projet'!$A$35:$I$55,9,0)</f>
        <v>4.8</v>
      </c>
      <c r="M73" s="12">
        <f t="array" ref="M73">INDEX(L:L,MIN(IF(ISNUMBER(L73:L269),ROW(L73:L269),"")))</f>
        <v>4.8</v>
      </c>
      <c r="N73" s="13">
        <f>IF('Données projet'!$A$36&gt;35,N72+M73-V72,IF(A73&lt;'Données projet'!$A$36,$K$205^A73,IF(A73='Données projet'!$A$36,'Données projet'!$B$36,N72+M73-V72)))</f>
        <v>204</v>
      </c>
      <c r="O73" s="13">
        <f>N73*VLOOKUP('Données projet'!$B$9,Paramètres!$A$1:$I$89,3,0)*VLOOKUP('Données projet'!$B$9,Paramètres!$A$1:$I$89,5,0)</f>
        <v>178.21440000000001</v>
      </c>
      <c r="P73" s="13">
        <f t="shared" si="87"/>
        <v>44.924692855664368</v>
      </c>
      <c r="Q73" s="20">
        <f t="shared" si="54"/>
        <v>388.63392005694874</v>
      </c>
      <c r="R73" s="59">
        <f t="shared" si="55"/>
        <v>655.03946419395822</v>
      </c>
      <c r="S73" s="59">
        <f ca="1">AVERAGE(OFFSET($R$3,0,0,'Données projet'!$E$9+1,1))-AVERAGE(OFFSET($H$3,0,0,'Données projet'!$E$9+1,1))</f>
        <v>328.99319251806747</v>
      </c>
      <c r="T73" s="59">
        <f t="shared" si="88"/>
        <v>270.36198290276695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16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0.2256706899148096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1.2156355854249249E-5</v>
      </c>
      <c r="AC73" s="22">
        <f t="shared" si="57"/>
        <v>0.22568284627066384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5.6843418860808015E-14</v>
      </c>
      <c r="AJ73" s="13">
        <f>AI73*VLOOKUP('Données projet'!$B$10,Paramètres!$A$1:$I$89,3,0)*VLOOKUP('Données projet'!$B$10,Paramètres!$A$1:$I$89,5,0)</f>
        <v>3.3992364478763198E-14</v>
      </c>
      <c r="AK73" s="13">
        <f t="shared" si="89"/>
        <v>5.790027782444094E-13</v>
      </c>
      <c r="AL73" s="20">
        <f t="shared" si="58"/>
        <v>1.0676332069095257E-12</v>
      </c>
      <c r="AM73" s="59">
        <f t="shared" si="59"/>
        <v>266.40554413701057</v>
      </c>
      <c r="AN73" s="59">
        <f ca="1">AVERAGE(OFFSET($AM$3,0,0,'Données projet'!$E$10+1,1))-AVERAGE(OFFSET($H$3,0,0,'Données projet'!$E$10+1,1))</f>
        <v>274.23303062063621</v>
      </c>
      <c r="AO73" s="59">
        <f t="shared" si="90"/>
        <v>289.08677371938779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#VALUE!</v>
      </c>
      <c r="AV73" s="21" t="e">
        <f>EXP(-LN(2)/25)*AV72+(1-EXP(-LN(2)/25))/(LN(2)/25)*Calculateur!AQ73*Calculateur!AS73*VLOOKUP('Données projet'!$B$10,Paramètres!$A$1:$I$89,3,0)*0.475*44/12</f>
        <v>#VALUE!</v>
      </c>
      <c r="AW73" s="21" t="e">
        <f>EXP(-LN(2)/2)*AW72+(1-EXP(-LN(2)/2))/(LN(2)/2)*AQ73*AT73*VLOOKUP('Données projet'!$B$10,Paramètres!$A$1:$I$89,3,0)*0.475*44/12</f>
        <v>#VALUE!</v>
      </c>
      <c r="AX73" s="21" t="e">
        <f t="shared" si="60"/>
        <v>#VALUE!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4.2</v>
      </c>
      <c r="N74" s="13">
        <f>IF('Données projet'!$A$36&gt;35,N73+M74-V73,IF(A74&lt;'Données projet'!$A$36,$K$205^A74,IF(A74='Données projet'!$A$36,'Données projet'!$B$36,N73+M74-V73)))</f>
        <v>192.2</v>
      </c>
      <c r="O74" s="13">
        <f>N74*VLOOKUP('Données projet'!$B$9,Paramètres!$A$1:$I$89,3,0)*VLOOKUP('Données projet'!$B$9,Paramètres!$A$1:$I$89,5,0)</f>
        <v>167.90592000000001</v>
      </c>
      <c r="P74" s="13">
        <f t="shared" si="87"/>
        <v>42.620681538886764</v>
      </c>
      <c r="Q74" s="20">
        <f t="shared" si="54"/>
        <v>366.66716434689442</v>
      </c>
      <c r="R74" s="59">
        <f t="shared" si="55"/>
        <v>633.53984542494231</v>
      </c>
      <c r="S74" s="59">
        <f ca="1">AVERAGE(OFFSET($R$3,0,0,'Données projet'!$E$9+1,1))-AVERAGE(OFFSET($H$3,0,0,'Données projet'!$E$9+1,1))</f>
        <v>328.99319251806747</v>
      </c>
      <c r="T74" s="59">
        <f t="shared" si="88"/>
        <v>270.36198290276695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0.22124542533110966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8.5958416590564297E-6</v>
      </c>
      <c r="AC74" s="22">
        <f t="shared" si="57"/>
        <v>0.22125402117276871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5.6843418860808015E-14</v>
      </c>
      <c r="AJ74" s="13">
        <f>AI74*VLOOKUP('Données projet'!$B$10,Paramètres!$A$1:$I$89,3,0)*VLOOKUP('Données projet'!$B$10,Paramètres!$A$1:$I$89,5,0)</f>
        <v>3.3992364478763198E-14</v>
      </c>
      <c r="AK74" s="13">
        <f t="shared" si="89"/>
        <v>5.790027782444094E-13</v>
      </c>
      <c r="AL74" s="20">
        <f t="shared" si="58"/>
        <v>1.0676332069095257E-12</v>
      </c>
      <c r="AM74" s="59">
        <f t="shared" si="59"/>
        <v>266.87268107804903</v>
      </c>
      <c r="AN74" s="59">
        <f ca="1">AVERAGE(OFFSET($AM$3,0,0,'Données projet'!$E$10+1,1))-AVERAGE(OFFSET($H$3,0,0,'Données projet'!$E$10+1,1))</f>
        <v>274.23303062063621</v>
      </c>
      <c r="AO74" s="59">
        <f t="shared" si="90"/>
        <v>289.08677371938779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#VALUE!</v>
      </c>
      <c r="AV74" s="21" t="e">
        <f>EXP(-LN(2)/25)*AV73+(1-EXP(-LN(2)/25))/(LN(2)/25)*Calculateur!AQ74*Calculateur!AS74*VLOOKUP('Données projet'!$B$10,Paramètres!$A$1:$I$89,3,0)*0.475*44/12</f>
        <v>#VALUE!</v>
      </c>
      <c r="AW74" s="21" t="e">
        <f>EXP(-LN(2)/2)*AW73+(1-EXP(-LN(2)/2))/(LN(2)/2)*AQ74*AT74*VLOOKUP('Données projet'!$B$10,Paramètres!$A$1:$I$89,3,0)*0.475*44/12</f>
        <v>#VALUE!</v>
      </c>
      <c r="AX74" s="21" t="e">
        <f t="shared" si="60"/>
        <v>#VALUE!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4.2</v>
      </c>
      <c r="N75" s="13">
        <f>IF('Données projet'!$A$36&gt;35,N74+M75-V74,IF(A75&lt;'Données projet'!$A$36,$K$205^A75,IF(A75='Données projet'!$A$36,'Données projet'!$B$36,N74+M75-V74)))</f>
        <v>196.39999999999998</v>
      </c>
      <c r="O75" s="13">
        <f>N75*VLOOKUP('Données projet'!$B$9,Paramètres!$A$1:$I$89,3,0)*VLOOKUP('Données projet'!$B$9,Paramètres!$A$1:$I$89,5,0)</f>
        <v>171.57504</v>
      </c>
      <c r="P75" s="13">
        <f t="shared" si="87"/>
        <v>43.44259058996105</v>
      </c>
      <c r="Q75" s="20">
        <f t="shared" si="54"/>
        <v>374.48903994418214</v>
      </c>
      <c r="R75" s="59">
        <f t="shared" si="55"/>
        <v>641.82075418170325</v>
      </c>
      <c r="S75" s="59">
        <f ca="1">AVERAGE(OFFSET($R$3,0,0,'Données projet'!$E$9+1,1))-AVERAGE(OFFSET($H$3,0,0,'Données projet'!$E$9+1,1))</f>
        <v>328.99319251806747</v>
      </c>
      <c r="T75" s="59">
        <f t="shared" si="88"/>
        <v>270.36198290276695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0.21690693748675122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6.0781779271246246E-6</v>
      </c>
      <c r="AC75" s="22">
        <f t="shared" si="57"/>
        <v>0.21691301566467835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5.6843418860808015E-14</v>
      </c>
      <c r="AJ75" s="13">
        <f>AI75*VLOOKUP('Données projet'!$B$10,Paramètres!$A$1:$I$89,3,0)*VLOOKUP('Données projet'!$B$10,Paramètres!$A$1:$I$89,5,0)</f>
        <v>3.3992364478763198E-14</v>
      </c>
      <c r="AK75" s="13">
        <f t="shared" si="89"/>
        <v>5.790027782444094E-13</v>
      </c>
      <c r="AL75" s="20">
        <f t="shared" si="58"/>
        <v>1.0676332069095257E-12</v>
      </c>
      <c r="AM75" s="59">
        <f t="shared" si="59"/>
        <v>267.33171423752219</v>
      </c>
      <c r="AN75" s="59">
        <f ca="1">AVERAGE(OFFSET($AM$3,0,0,'Données projet'!$E$10+1,1))-AVERAGE(OFFSET($H$3,0,0,'Données projet'!$E$10+1,1))</f>
        <v>274.23303062063621</v>
      </c>
      <c r="AO75" s="59">
        <f t="shared" si="90"/>
        <v>289.08677371938779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#VALUE!</v>
      </c>
      <c r="AV75" s="21" t="e">
        <f>EXP(-LN(2)/25)*AV74+(1-EXP(-LN(2)/25))/(LN(2)/25)*Calculateur!AQ75*Calculateur!AS75*VLOOKUP('Données projet'!$B$10,Paramètres!$A$1:$I$89,3,0)*0.475*44/12</f>
        <v>#VALUE!</v>
      </c>
      <c r="AW75" s="21" t="e">
        <f>EXP(-LN(2)/2)*AW74+(1-EXP(-LN(2)/2))/(LN(2)/2)*AQ75*AT75*VLOOKUP('Données projet'!$B$10,Paramètres!$A$1:$I$89,3,0)*0.475*44/12</f>
        <v>#VALUE!</v>
      </c>
      <c r="AX75" s="21" t="e">
        <f t="shared" si="60"/>
        <v>#VALUE!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4.2</v>
      </c>
      <c r="N76" s="13">
        <f>IF('Données projet'!$A$36&gt;35,N75+M76-V75,IF(A76&lt;'Données projet'!$A$36,$K$205^A76,IF(A76='Données projet'!$A$36,'Données projet'!$B$36,N75+M76-V75)))</f>
        <v>200.59999999999997</v>
      </c>
      <c r="O76" s="13">
        <f>N76*VLOOKUP('Données projet'!$B$9,Paramètres!$A$1:$I$89,3,0)*VLOOKUP('Données projet'!$B$9,Paramètres!$A$1:$I$89,5,0)</f>
        <v>175.24415999999999</v>
      </c>
      <c r="P76" s="13">
        <f t="shared" si="87"/>
        <v>44.262456119927037</v>
      </c>
      <c r="Q76" s="20">
        <f t="shared" si="54"/>
        <v>382.30735640887292</v>
      </c>
      <c r="R76" s="59">
        <f t="shared" si="55"/>
        <v>650.09014060679465</v>
      </c>
      <c r="S76" s="59">
        <f ca="1">AVERAGE(OFFSET($R$3,0,0,'Données projet'!$E$9+1,1))-AVERAGE(OFFSET($H$3,0,0,'Données projet'!$E$9+1,1))</f>
        <v>328.99319251806747</v>
      </c>
      <c r="T76" s="59">
        <f t="shared" si="88"/>
        <v>270.36198290276695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0.21265352474280433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4.2979208295282149E-6</v>
      </c>
      <c r="AC76" s="22">
        <f t="shared" si="57"/>
        <v>0.21265782266363387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5.6843418860808015E-14</v>
      </c>
      <c r="AJ76" s="13">
        <f>AI76*VLOOKUP('Données projet'!$B$10,Paramètres!$A$1:$I$89,3,0)*VLOOKUP('Données projet'!$B$10,Paramètres!$A$1:$I$89,5,0)</f>
        <v>3.3992364478763198E-14</v>
      </c>
      <c r="AK76" s="13">
        <f t="shared" si="89"/>
        <v>5.790027782444094E-13</v>
      </c>
      <c r="AL76" s="20">
        <f t="shared" si="58"/>
        <v>1.0676332069095257E-12</v>
      </c>
      <c r="AM76" s="59">
        <f t="shared" si="59"/>
        <v>267.78278419792287</v>
      </c>
      <c r="AN76" s="59">
        <f ca="1">AVERAGE(OFFSET($AM$3,0,0,'Données projet'!$E$10+1,1))-AVERAGE(OFFSET($H$3,0,0,'Données projet'!$E$10+1,1))</f>
        <v>274.23303062063621</v>
      </c>
      <c r="AO76" s="59">
        <f t="shared" si="90"/>
        <v>289.08677371938779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#VALUE!</v>
      </c>
      <c r="AV76" s="21" t="e">
        <f>EXP(-LN(2)/25)*AV75+(1-EXP(-LN(2)/25))/(LN(2)/25)*Calculateur!AQ76*Calculateur!AS76*VLOOKUP('Données projet'!$B$10,Paramètres!$A$1:$I$89,3,0)*0.475*44/12</f>
        <v>#VALUE!</v>
      </c>
      <c r="AW76" s="21" t="e">
        <f>EXP(-LN(2)/2)*AW75+(1-EXP(-LN(2)/2))/(LN(2)/2)*AQ76*AT76*VLOOKUP('Données projet'!$B$10,Paramètres!$A$1:$I$89,3,0)*0.475*44/12</f>
        <v>#VALUE!</v>
      </c>
      <c r="AX76" s="21" t="e">
        <f t="shared" si="60"/>
        <v>#VALUE!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4.2</v>
      </c>
      <c r="N77" s="13">
        <f>IF('Données projet'!$A$36&gt;35,N76+M77-V76,IF(A77&lt;'Données projet'!$A$36,$K$205^A77,IF(A77='Données projet'!$A$36,'Données projet'!$B$36,N76+M77-V76)))</f>
        <v>204.79999999999995</v>
      </c>
      <c r="O77" s="13">
        <f>N77*VLOOKUP('Données projet'!$B$9,Paramètres!$A$1:$I$89,3,0)*VLOOKUP('Données projet'!$B$9,Paramètres!$A$1:$I$89,5,0)</f>
        <v>178.91327999999999</v>
      </c>
      <c r="P77" s="13">
        <f t="shared" si="87"/>
        <v>45.080325843494848</v>
      </c>
      <c r="Q77" s="20">
        <f t="shared" si="54"/>
        <v>390.12219684408683</v>
      </c>
      <c r="R77" s="59">
        <f t="shared" si="55"/>
        <v>658.34822594703769</v>
      </c>
      <c r="S77" s="59">
        <f ca="1">AVERAGE(OFFSET($R$3,0,0,'Données projet'!$E$9+1,1))-AVERAGE(OFFSET($H$3,0,0,'Données projet'!$E$9+1,1))</f>
        <v>328.99319251806747</v>
      </c>
      <c r="T77" s="59">
        <f t="shared" si="88"/>
        <v>270.36198290276695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0.20848351882844063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3.0390889635623123E-6</v>
      </c>
      <c r="AC77" s="22">
        <f t="shared" si="57"/>
        <v>0.2084865579174042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5.6843418860808015E-14</v>
      </c>
      <c r="AJ77" s="13">
        <f>AI77*VLOOKUP('Données projet'!$B$10,Paramètres!$A$1:$I$89,3,0)*VLOOKUP('Données projet'!$B$10,Paramètres!$A$1:$I$89,5,0)</f>
        <v>3.3992364478763198E-14</v>
      </c>
      <c r="AK77" s="13">
        <f t="shared" si="89"/>
        <v>5.790027782444094E-13</v>
      </c>
      <c r="AL77" s="20">
        <f t="shared" si="58"/>
        <v>1.0676332069095257E-12</v>
      </c>
      <c r="AM77" s="59">
        <f t="shared" si="59"/>
        <v>268.22602910295194</v>
      </c>
      <c r="AN77" s="59">
        <f ca="1">AVERAGE(OFFSET($AM$3,0,0,'Données projet'!$E$10+1,1))-AVERAGE(OFFSET($H$3,0,0,'Données projet'!$E$10+1,1))</f>
        <v>274.23303062063621</v>
      </c>
      <c r="AO77" s="59">
        <f t="shared" si="90"/>
        <v>289.08677371938779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#VALUE!</v>
      </c>
      <c r="AV77" s="21" t="e">
        <f>EXP(-LN(2)/25)*AV76+(1-EXP(-LN(2)/25))/(LN(2)/25)*Calculateur!AQ77*Calculateur!AS77*VLOOKUP('Données projet'!$B$10,Paramètres!$A$1:$I$89,3,0)*0.475*44/12</f>
        <v>#VALUE!</v>
      </c>
      <c r="AW77" s="21" t="e">
        <f>EXP(-LN(2)/2)*AW76+(1-EXP(-LN(2)/2))/(LN(2)/2)*AQ77*AT77*VLOOKUP('Données projet'!$B$10,Paramètres!$A$1:$I$89,3,0)*0.475*44/12</f>
        <v>#VALUE!</v>
      </c>
      <c r="AX77" s="21" t="e">
        <f t="shared" si="60"/>
        <v>#VALUE!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209</v>
      </c>
      <c r="L78" s="12">
        <f>VLOOKUP(A78,'Données projet'!$A$35:$I$55,9,0)</f>
        <v>4.2</v>
      </c>
      <c r="M78" s="12">
        <f t="array" ref="M78">INDEX(L:L,MIN(IF(ISNUMBER(L78:L274),ROW(L78:L274),"")))</f>
        <v>4.2</v>
      </c>
      <c r="N78" s="13">
        <f>IF('Données projet'!$A$36&gt;35,N77+M78-V77,IF(A78&lt;'Données projet'!$A$36,$K$205^A78,IF(A78='Données projet'!$A$36,'Données projet'!$B$36,N77+M78-V77)))</f>
        <v>208.99999999999994</v>
      </c>
      <c r="O78" s="13">
        <f>N78*VLOOKUP('Données projet'!$B$9,Paramètres!$A$1:$I$89,3,0)*VLOOKUP('Données projet'!$B$9,Paramètres!$A$1:$I$89,5,0)</f>
        <v>182.58239999999998</v>
      </c>
      <c r="P78" s="13">
        <f t="shared" si="87"/>
        <v>45.896245406460245</v>
      </c>
      <c r="Q78" s="20">
        <f t="shared" si="54"/>
        <v>397.93364074958487</v>
      </c>
      <c r="R78" s="59">
        <f t="shared" si="55"/>
        <v>666.59522544940967</v>
      </c>
      <c r="S78" s="59">
        <f ca="1">AVERAGE(OFFSET($R$3,0,0,'Données projet'!$E$9+1,1))-AVERAGE(OFFSET($H$3,0,0,'Données projet'!$E$9+1,1))</f>
        <v>328.99319251806747</v>
      </c>
      <c r="T78" s="59">
        <f t="shared" si="88"/>
        <v>270.36198290276695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14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0.20439528418660516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2.1489604147641074E-6</v>
      </c>
      <c r="AC78" s="22">
        <f t="shared" si="57"/>
        <v>0.20439743314701991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5.6843418860808015E-14</v>
      </c>
      <c r="AJ78" s="13">
        <f>AI78*VLOOKUP('Données projet'!$B$10,Paramètres!$A$1:$I$89,3,0)*VLOOKUP('Données projet'!$B$10,Paramètres!$A$1:$I$89,5,0)</f>
        <v>3.3992364478763198E-14</v>
      </c>
      <c r="AK78" s="13">
        <f t="shared" si="89"/>
        <v>5.790027782444094E-13</v>
      </c>
      <c r="AL78" s="20">
        <f t="shared" si="58"/>
        <v>1.0676332069095257E-12</v>
      </c>
      <c r="AM78" s="59">
        <f t="shared" si="59"/>
        <v>268.66158469982588</v>
      </c>
      <c r="AN78" s="59">
        <f ca="1">AVERAGE(OFFSET($AM$3,0,0,'Données projet'!$E$10+1,1))-AVERAGE(OFFSET($H$3,0,0,'Données projet'!$E$10+1,1))</f>
        <v>274.23303062063621</v>
      </c>
      <c r="AO78" s="59">
        <f t="shared" si="90"/>
        <v>289.08677371938779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#VALUE!</v>
      </c>
      <c r="AV78" s="21" t="e">
        <f>EXP(-LN(2)/25)*AV77+(1-EXP(-LN(2)/25))/(LN(2)/25)*Calculateur!AQ78*Calculateur!AS78*VLOOKUP('Données projet'!$B$10,Paramètres!$A$1:$I$89,3,0)*0.475*44/12</f>
        <v>#VALUE!</v>
      </c>
      <c r="AW78" s="21" t="e">
        <f>EXP(-LN(2)/2)*AW77+(1-EXP(-LN(2)/2))/(LN(2)/2)*AQ78*AT78*VLOOKUP('Données projet'!$B$10,Paramètres!$A$1:$I$89,3,0)*0.475*44/12</f>
        <v>#VALUE!</v>
      </c>
      <c r="AX78" s="21" t="e">
        <f t="shared" si="60"/>
        <v>#VALUE!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3.8</v>
      </c>
      <c r="N79" s="13">
        <f>IF('Données projet'!$A$36&gt;35,N78+M79-V78,IF(A79&lt;'Données projet'!$A$36,$K$205^A79,IF(A79='Données projet'!$A$36,'Données projet'!$B$36,N78+M79-V78)))</f>
        <v>198.79999999999995</v>
      </c>
      <c r="O79" s="13">
        <f>N79*VLOOKUP('Données projet'!$B$9,Paramètres!$A$1:$I$89,3,0)*VLOOKUP('Données projet'!$B$9,Paramètres!$A$1:$I$89,5,0)</f>
        <v>173.67167999999998</v>
      </c>
      <c r="P79" s="13">
        <f t="shared" si="87"/>
        <v>43.911332296264369</v>
      </c>
      <c r="Q79" s="20">
        <f t="shared" si="54"/>
        <v>378.95707974932702</v>
      </c>
      <c r="R79" s="59">
        <f t="shared" si="55"/>
        <v>648.0466641301764</v>
      </c>
      <c r="S79" s="59">
        <f ca="1">AVERAGE(OFFSET($R$3,0,0,'Données projet'!$E$9+1,1))-AVERAGE(OFFSET($H$3,0,0,'Données projet'!$E$9+1,1))</f>
        <v>328.99319251806747</v>
      </c>
      <c r="T79" s="59">
        <f t="shared" si="88"/>
        <v>270.36198290276695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0.20038721733251916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1.5195444817811561E-6</v>
      </c>
      <c r="AC79" s="22">
        <f t="shared" si="57"/>
        <v>0.20038873687700093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5.6843418860808015E-14</v>
      </c>
      <c r="AJ79" s="13">
        <f>AI79*VLOOKUP('Données projet'!$B$10,Paramètres!$A$1:$I$89,3,0)*VLOOKUP('Données projet'!$B$10,Paramètres!$A$1:$I$89,5,0)</f>
        <v>3.3992364478763198E-14</v>
      </c>
      <c r="AK79" s="13">
        <f t="shared" si="89"/>
        <v>5.790027782444094E-13</v>
      </c>
      <c r="AL79" s="20">
        <f t="shared" si="58"/>
        <v>1.0676332069095257E-12</v>
      </c>
      <c r="AM79" s="59">
        <f t="shared" si="59"/>
        <v>269.08958438085051</v>
      </c>
      <c r="AN79" s="59">
        <f ca="1">AVERAGE(OFFSET($AM$3,0,0,'Données projet'!$E$10+1,1))-AVERAGE(OFFSET($H$3,0,0,'Données projet'!$E$10+1,1))</f>
        <v>274.23303062063621</v>
      </c>
      <c r="AO79" s="59">
        <f t="shared" si="90"/>
        <v>289.08677371938779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#VALUE!</v>
      </c>
      <c r="AV79" s="21" t="e">
        <f>EXP(-LN(2)/25)*AV78+(1-EXP(-LN(2)/25))/(LN(2)/25)*Calculateur!AQ79*Calculateur!AS79*VLOOKUP('Données projet'!$B$10,Paramètres!$A$1:$I$89,3,0)*0.475*44/12</f>
        <v>#VALUE!</v>
      </c>
      <c r="AW79" s="21" t="e">
        <f>EXP(-LN(2)/2)*AW78+(1-EXP(-LN(2)/2))/(LN(2)/2)*AQ79*AT79*VLOOKUP('Données projet'!$B$10,Paramètres!$A$1:$I$89,3,0)*0.475*44/12</f>
        <v>#VALUE!</v>
      </c>
      <c r="AX79" s="21" t="e">
        <f t="shared" si="60"/>
        <v>#VALUE!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3.8</v>
      </c>
      <c r="N80" s="13">
        <f>IF('Données projet'!$A$36&gt;35,N79+M80-V79,IF(A80&lt;'Données projet'!$A$36,$K$205^A80,IF(A80='Données projet'!$A$36,'Données projet'!$B$36,N79+M80-V79)))</f>
        <v>202.59999999999997</v>
      </c>
      <c r="O80" s="13">
        <f>N80*VLOOKUP('Données projet'!$B$9,Paramètres!$A$1:$I$89,3,0)*VLOOKUP('Données projet'!$B$9,Paramètres!$A$1:$I$89,5,0)</f>
        <v>176.99135999999999</v>
      </c>
      <c r="P80" s="13">
        <f t="shared" si="87"/>
        <v>44.652163955121793</v>
      </c>
      <c r="Q80" s="20">
        <f t="shared" si="54"/>
        <v>386.02913755517039</v>
      </c>
      <c r="R80" s="59">
        <f t="shared" si="55"/>
        <v>655.53929677944268</v>
      </c>
      <c r="S80" s="59">
        <f ca="1">AVERAGE(OFFSET($R$3,0,0,'Données projet'!$E$9+1,1))-AVERAGE(OFFSET($H$3,0,0,'Données projet'!$E$9+1,1))</f>
        <v>328.99319251806747</v>
      </c>
      <c r="T80" s="59">
        <f t="shared" si="88"/>
        <v>270.36198290276695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0.19645774622476239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1.0744802073820537E-6</v>
      </c>
      <c r="AC80" s="22">
        <f t="shared" si="57"/>
        <v>0.19645882070496978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5.6843418860808015E-14</v>
      </c>
      <c r="AJ80" s="13">
        <f>AI80*VLOOKUP('Données projet'!$B$10,Paramètres!$A$1:$I$89,3,0)*VLOOKUP('Données projet'!$B$10,Paramètres!$A$1:$I$89,5,0)</f>
        <v>3.3992364478763198E-14</v>
      </c>
      <c r="AK80" s="13">
        <f t="shared" si="89"/>
        <v>5.790027782444094E-13</v>
      </c>
      <c r="AL80" s="20">
        <f t="shared" si="58"/>
        <v>1.0676332069095257E-12</v>
      </c>
      <c r="AM80" s="59">
        <f t="shared" si="59"/>
        <v>269.51015922427337</v>
      </c>
      <c r="AN80" s="59">
        <f ca="1">AVERAGE(OFFSET($AM$3,0,0,'Données projet'!$E$10+1,1))-AVERAGE(OFFSET($H$3,0,0,'Données projet'!$E$10+1,1))</f>
        <v>274.23303062063621</v>
      </c>
      <c r="AO80" s="59">
        <f t="shared" si="90"/>
        <v>289.08677371938779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#VALUE!</v>
      </c>
      <c r="AV80" s="21" t="e">
        <f>EXP(-LN(2)/25)*AV79+(1-EXP(-LN(2)/25))/(LN(2)/25)*Calculateur!AQ80*Calculateur!AS80*VLOOKUP('Données projet'!$B$10,Paramètres!$A$1:$I$89,3,0)*0.475*44/12</f>
        <v>#VALUE!</v>
      </c>
      <c r="AW80" s="21" t="e">
        <f>EXP(-LN(2)/2)*AW79+(1-EXP(-LN(2)/2))/(LN(2)/2)*AQ80*AT80*VLOOKUP('Données projet'!$B$10,Paramètres!$A$1:$I$89,3,0)*0.475*44/12</f>
        <v>#VALUE!</v>
      </c>
      <c r="AX80" s="21" t="e">
        <f t="shared" si="60"/>
        <v>#VALUE!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3.8</v>
      </c>
      <c r="N81" s="13">
        <f>IF('Données projet'!$A$36&gt;35,N80+M81-V80,IF(A81&lt;'Données projet'!$A$36,$K$205^A81,IF(A81='Données projet'!$A$36,'Données projet'!$B$36,N80+M81-V80)))</f>
        <v>206.39999999999998</v>
      </c>
      <c r="O81" s="13">
        <f>N81*VLOOKUP('Données projet'!$B$9,Paramètres!$A$1:$I$89,3,0)*VLOOKUP('Données projet'!$B$9,Paramètres!$A$1:$I$89,5,0)</f>
        <v>180.31104000000002</v>
      </c>
      <c r="P81" s="13">
        <f t="shared" si="87"/>
        <v>45.391379880979613</v>
      </c>
      <c r="Q81" s="20">
        <f t="shared" si="54"/>
        <v>393.09838129270616</v>
      </c>
      <c r="R81" s="59">
        <f t="shared" si="55"/>
        <v>663.02181932713233</v>
      </c>
      <c r="S81" s="59">
        <f ca="1">AVERAGE(OFFSET($R$3,0,0,'Données projet'!$E$9+1,1))-AVERAGE(OFFSET($H$3,0,0,'Données projet'!$E$9+1,1))</f>
        <v>328.99319251806747</v>
      </c>
      <c r="T81" s="59">
        <f t="shared" si="88"/>
        <v>270.36198290276695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0.19260532964868804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7.5977224089057807E-7</v>
      </c>
      <c r="AC81" s="22">
        <f t="shared" si="57"/>
        <v>0.19260608942092894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5.6843418860808015E-14</v>
      </c>
      <c r="AJ81" s="13">
        <f>AI81*VLOOKUP('Données projet'!$B$10,Paramètres!$A$1:$I$89,3,0)*VLOOKUP('Données projet'!$B$10,Paramètres!$A$1:$I$89,5,0)</f>
        <v>3.3992364478763198E-14</v>
      </c>
      <c r="AK81" s="13">
        <f t="shared" si="89"/>
        <v>5.790027782444094E-13</v>
      </c>
      <c r="AL81" s="20">
        <f t="shared" si="58"/>
        <v>1.0676332069095257E-12</v>
      </c>
      <c r="AM81" s="59">
        <f t="shared" si="59"/>
        <v>269.92343803442731</v>
      </c>
      <c r="AN81" s="59">
        <f ca="1">AVERAGE(OFFSET($AM$3,0,0,'Données projet'!$E$10+1,1))-AVERAGE(OFFSET($H$3,0,0,'Données projet'!$E$10+1,1))</f>
        <v>274.23303062063621</v>
      </c>
      <c r="AO81" s="59">
        <f t="shared" si="90"/>
        <v>289.08677371938779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#VALUE!</v>
      </c>
      <c r="AV81" s="21" t="e">
        <f>EXP(-LN(2)/25)*AV80+(1-EXP(-LN(2)/25))/(LN(2)/25)*Calculateur!AQ81*Calculateur!AS81*VLOOKUP('Données projet'!$B$10,Paramètres!$A$1:$I$89,3,0)*0.475*44/12</f>
        <v>#VALUE!</v>
      </c>
      <c r="AW81" s="21" t="e">
        <f>EXP(-LN(2)/2)*AW80+(1-EXP(-LN(2)/2))/(LN(2)/2)*AQ81*AT81*VLOOKUP('Données projet'!$B$10,Paramètres!$A$1:$I$89,3,0)*0.475*44/12</f>
        <v>#VALUE!</v>
      </c>
      <c r="AX81" s="21" t="e">
        <f t="shared" si="60"/>
        <v>#VALUE!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3.8</v>
      </c>
      <c r="N82" s="13">
        <f>IF('Données projet'!$A$36&gt;35,N81+M82-V81,IF(A82&lt;'Données projet'!$A$36,$K$205^A82,IF(A82='Données projet'!$A$36,'Données projet'!$B$36,N81+M82-V81)))</f>
        <v>210.2</v>
      </c>
      <c r="O82" s="13">
        <f>N82*VLOOKUP('Données projet'!$B$9,Paramètres!$A$1:$I$89,3,0)*VLOOKUP('Données projet'!$B$9,Paramètres!$A$1:$I$89,5,0)</f>
        <v>183.63072000000003</v>
      </c>
      <c r="P82" s="13">
        <f t="shared" si="87"/>
        <v>46.129013251634447</v>
      </c>
      <c r="Q82" s="20">
        <f t="shared" si="54"/>
        <v>400.16486874659671</v>
      </c>
      <c r="R82" s="59">
        <f t="shared" si="55"/>
        <v>670.49441612777366</v>
      </c>
      <c r="S82" s="59">
        <f ca="1">AVERAGE(OFFSET($R$3,0,0,'Données projet'!$E$9+1,1))-AVERAGE(OFFSET($H$3,0,0,'Données projet'!$E$9+1,1))</f>
        <v>328.99319251806747</v>
      </c>
      <c r="T82" s="59">
        <f t="shared" si="88"/>
        <v>270.36198290276695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0.1888284566119284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5.3724010369102686E-7</v>
      </c>
      <c r="AC82" s="22">
        <f t="shared" si="57"/>
        <v>0.18882899385203208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5.6843418860808015E-14</v>
      </c>
      <c r="AJ82" s="13">
        <f>AI82*VLOOKUP('Données projet'!$B$10,Paramètres!$A$1:$I$89,3,0)*VLOOKUP('Données projet'!$B$10,Paramètres!$A$1:$I$89,5,0)</f>
        <v>3.3992364478763198E-14</v>
      </c>
      <c r="AK82" s="13">
        <f t="shared" si="89"/>
        <v>5.790027782444094E-13</v>
      </c>
      <c r="AL82" s="20">
        <f t="shared" si="58"/>
        <v>1.0676332069095257E-12</v>
      </c>
      <c r="AM82" s="59">
        <f t="shared" si="59"/>
        <v>270.32954738117803</v>
      </c>
      <c r="AN82" s="59">
        <f ca="1">AVERAGE(OFFSET($AM$3,0,0,'Données projet'!$E$10+1,1))-AVERAGE(OFFSET($H$3,0,0,'Données projet'!$E$10+1,1))</f>
        <v>274.23303062063621</v>
      </c>
      <c r="AO82" s="59">
        <f t="shared" si="90"/>
        <v>289.08677371938779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#VALUE!</v>
      </c>
      <c r="AV82" s="21" t="e">
        <f>EXP(-LN(2)/25)*AV81+(1-EXP(-LN(2)/25))/(LN(2)/25)*Calculateur!AQ82*Calculateur!AS82*VLOOKUP('Données projet'!$B$10,Paramètres!$A$1:$I$89,3,0)*0.475*44/12</f>
        <v>#VALUE!</v>
      </c>
      <c r="AW82" s="21" t="e">
        <f>EXP(-LN(2)/2)*AW81+(1-EXP(-LN(2)/2))/(LN(2)/2)*AQ82*AT82*VLOOKUP('Données projet'!$B$10,Paramètres!$A$1:$I$89,3,0)*0.475*44/12</f>
        <v>#VALUE!</v>
      </c>
      <c r="AX82" s="21" t="e">
        <f t="shared" si="60"/>
        <v>#VALUE!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214</v>
      </c>
      <c r="L83" s="12">
        <f>VLOOKUP(A83,'Données projet'!$A$35:$I$55,9,0)</f>
        <v>3.8</v>
      </c>
      <c r="M83" s="12">
        <f t="array" ref="M83">INDEX(L:L,MIN(IF(ISNUMBER(L83:L279),ROW(L83:L279),"")))</f>
        <v>3.8</v>
      </c>
      <c r="N83" s="13">
        <f>IF('Données projet'!$A$36&gt;35,N82+M83-V82,IF(A83&lt;'Données projet'!$A$36,$K$205^A83,IF(A83='Données projet'!$A$36,'Données projet'!$B$36,N82+M83-V82)))</f>
        <v>214</v>
      </c>
      <c r="O83" s="13">
        <f>N83*VLOOKUP('Données projet'!$B$9,Paramètres!$A$1:$I$89,3,0)*VLOOKUP('Données projet'!$B$9,Paramètres!$A$1:$I$89,5,0)</f>
        <v>186.95040000000003</v>
      </c>
      <c r="P83" s="13">
        <f t="shared" si="87"/>
        <v>46.865095976617653</v>
      </c>
      <c r="Q83" s="20">
        <f t="shared" si="54"/>
        <v>407.22865549260911</v>
      </c>
      <c r="R83" s="59">
        <f t="shared" si="55"/>
        <v>677.95726713129523</v>
      </c>
      <c r="S83" s="59">
        <f ca="1">AVERAGE(OFFSET($R$3,0,0,'Données projet'!$E$9+1,1))-AVERAGE(OFFSET($H$3,0,0,'Données projet'!$E$9+1,1))</f>
        <v>328.99319251806747</v>
      </c>
      <c r="T83" s="59">
        <f t="shared" si="88"/>
        <v>270.36198290276695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13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0.18512564575175453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3.7988612044528903E-7</v>
      </c>
      <c r="AC83" s="22">
        <f t="shared" si="57"/>
        <v>0.18512602563787497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5.6843418860808015E-14</v>
      </c>
      <c r="AJ83" s="13">
        <f>AI83*VLOOKUP('Données projet'!$B$10,Paramètres!$A$1:$I$89,3,0)*VLOOKUP('Données projet'!$B$10,Paramètres!$A$1:$I$89,5,0)</f>
        <v>3.3992364478763198E-14</v>
      </c>
      <c r="AK83" s="13">
        <f t="shared" si="89"/>
        <v>5.790027782444094E-13</v>
      </c>
      <c r="AL83" s="20">
        <f t="shared" si="58"/>
        <v>1.0676332069095257E-12</v>
      </c>
      <c r="AM83" s="59">
        <f t="shared" si="59"/>
        <v>270.7286116386872</v>
      </c>
      <c r="AN83" s="59">
        <f ca="1">AVERAGE(OFFSET($AM$3,0,0,'Données projet'!$E$10+1,1))-AVERAGE(OFFSET($H$3,0,0,'Données projet'!$E$10+1,1))</f>
        <v>274.23303062063621</v>
      </c>
      <c r="AO83" s="59">
        <f t="shared" si="90"/>
        <v>289.08677371938779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#VALUE!</v>
      </c>
      <c r="AV83" s="21" t="e">
        <f>EXP(-LN(2)/25)*AV82+(1-EXP(-LN(2)/25))/(LN(2)/25)*Calculateur!AQ83*Calculateur!AS83*VLOOKUP('Données projet'!$B$10,Paramètres!$A$1:$I$89,3,0)*0.475*44/12</f>
        <v>#VALUE!</v>
      </c>
      <c r="AW83" s="21" t="e">
        <f>EXP(-LN(2)/2)*AW82+(1-EXP(-LN(2)/2))/(LN(2)/2)*AQ83*AT83*VLOOKUP('Données projet'!$B$10,Paramètres!$A$1:$I$89,3,0)*0.475*44/12</f>
        <v>#VALUE!</v>
      </c>
      <c r="AX83" s="21" t="e">
        <f t="shared" si="60"/>
        <v>#VALUE!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3.4</v>
      </c>
      <c r="N84" s="13">
        <f>IF('Données projet'!$A$36&gt;35,N83+M84-V83,IF(A84&lt;'Données projet'!$A$36,$K$205^A84,IF(A84='Données projet'!$A$36,'Données projet'!$B$36,N83+M84-V83)))</f>
        <v>204.4</v>
      </c>
      <c r="O84" s="13">
        <f>N84*VLOOKUP('Données projet'!$B$9,Paramètres!$A$1:$I$89,3,0)*VLOOKUP('Données projet'!$B$9,Paramètres!$A$1:$I$89,5,0)</f>
        <v>178.56384000000003</v>
      </c>
      <c r="P84" s="13">
        <f t="shared" si="87"/>
        <v>45.002518212442588</v>
      </c>
      <c r="Q84" s="20">
        <f t="shared" si="54"/>
        <v>389.37807388667096</v>
      </c>
      <c r="R84" s="59">
        <f t="shared" si="55"/>
        <v>660.4988269101724</v>
      </c>
      <c r="S84" s="59">
        <f ca="1">AVERAGE(OFFSET($R$3,0,0,'Données projet'!$E$9+1,1))-AVERAGE(OFFSET($H$3,0,0,'Données projet'!$E$9+1,1))</f>
        <v>328.99319251806747</v>
      </c>
      <c r="T84" s="59">
        <f t="shared" si="88"/>
        <v>270.36198290276695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0.18149544475405704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2.6862005184551343E-7</v>
      </c>
      <c r="AC84" s="22">
        <f t="shared" si="57"/>
        <v>0.18149571337410889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5.6843418860808015E-14</v>
      </c>
      <c r="AJ84" s="13">
        <f>AI84*VLOOKUP('Données projet'!$B$10,Paramètres!$A$1:$I$89,3,0)*VLOOKUP('Données projet'!$B$10,Paramètres!$A$1:$I$89,5,0)</f>
        <v>3.3992364478763198E-14</v>
      </c>
      <c r="AK84" s="13">
        <f t="shared" si="89"/>
        <v>5.790027782444094E-13</v>
      </c>
      <c r="AL84" s="20">
        <f t="shared" si="58"/>
        <v>1.0676332069095257E-12</v>
      </c>
      <c r="AM84" s="59">
        <f t="shared" si="59"/>
        <v>271.12075302350252</v>
      </c>
      <c r="AN84" s="59">
        <f ca="1">AVERAGE(OFFSET($AM$3,0,0,'Données projet'!$E$10+1,1))-AVERAGE(OFFSET($H$3,0,0,'Données projet'!$E$10+1,1))</f>
        <v>274.23303062063621</v>
      </c>
      <c r="AO84" s="59">
        <f t="shared" si="90"/>
        <v>289.08677371938779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#VALUE!</v>
      </c>
      <c r="AV84" s="21" t="e">
        <f>EXP(-LN(2)/25)*AV83+(1-EXP(-LN(2)/25))/(LN(2)/25)*Calculateur!AQ84*Calculateur!AS84*VLOOKUP('Données projet'!$B$10,Paramètres!$A$1:$I$89,3,0)*0.475*44/12</f>
        <v>#VALUE!</v>
      </c>
      <c r="AW84" s="21" t="e">
        <f>EXP(-LN(2)/2)*AW83+(1-EXP(-LN(2)/2))/(LN(2)/2)*AQ84*AT84*VLOOKUP('Données projet'!$B$10,Paramètres!$A$1:$I$89,3,0)*0.475*44/12</f>
        <v>#VALUE!</v>
      </c>
      <c r="AX84" s="21" t="e">
        <f t="shared" si="60"/>
        <v>#VALUE!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3.4</v>
      </c>
      <c r="N85" s="13">
        <f>IF('Données projet'!$A$36&gt;35,N84+M85-V84,IF(A85&lt;'Données projet'!$A$36,$K$205^A85,IF(A85='Données projet'!$A$36,'Données projet'!$B$36,N84+M85-V84)))</f>
        <v>207.8</v>
      </c>
      <c r="O85" s="13">
        <f>N85*VLOOKUP('Données projet'!$B$9,Paramètres!$A$1:$I$89,3,0)*VLOOKUP('Données projet'!$B$9,Paramètres!$A$1:$I$89,5,0)</f>
        <v>181.53408000000005</v>
      </c>
      <c r="P85" s="13">
        <f t="shared" si="87"/>
        <v>45.663321943731901</v>
      </c>
      <c r="Q85" s="20">
        <f t="shared" si="54"/>
        <v>395.7021417186665</v>
      </c>
      <c r="R85" s="59">
        <f t="shared" si="55"/>
        <v>667.20823335065347</v>
      </c>
      <c r="S85" s="59">
        <f ca="1">AVERAGE(OFFSET($R$3,0,0,'Données projet'!$E$9+1,1))-AVERAGE(OFFSET($H$3,0,0,'Données projet'!$E$9+1,1))</f>
        <v>328.99319251806747</v>
      </c>
      <c r="T85" s="59">
        <f t="shared" si="88"/>
        <v>270.36198290276695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0.17793642978372043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1.8994306022264452E-7</v>
      </c>
      <c r="AC85" s="22">
        <f t="shared" si="57"/>
        <v>0.17793661972678065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5.6843418860808015E-14</v>
      </c>
      <c r="AJ85" s="13">
        <f>AI85*VLOOKUP('Données projet'!$B$10,Paramètres!$A$1:$I$89,3,0)*VLOOKUP('Données projet'!$B$10,Paramètres!$A$1:$I$89,5,0)</f>
        <v>3.3992364478763198E-14</v>
      </c>
      <c r="AK85" s="13">
        <f t="shared" si="89"/>
        <v>5.790027782444094E-13</v>
      </c>
      <c r="AL85" s="20">
        <f t="shared" si="58"/>
        <v>1.0676332069095257E-12</v>
      </c>
      <c r="AM85" s="59">
        <f t="shared" si="59"/>
        <v>271.50609163198811</v>
      </c>
      <c r="AN85" s="59">
        <f ca="1">AVERAGE(OFFSET($AM$3,0,0,'Données projet'!$E$10+1,1))-AVERAGE(OFFSET($H$3,0,0,'Données projet'!$E$10+1,1))</f>
        <v>274.23303062063621</v>
      </c>
      <c r="AO85" s="59">
        <f t="shared" si="90"/>
        <v>289.08677371938779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#VALUE!</v>
      </c>
      <c r="AV85" s="21" t="e">
        <f>EXP(-LN(2)/25)*AV84+(1-EXP(-LN(2)/25))/(LN(2)/25)*Calculateur!AQ85*Calculateur!AS85*VLOOKUP('Données projet'!$B$10,Paramètres!$A$1:$I$89,3,0)*0.475*44/12</f>
        <v>#VALUE!</v>
      </c>
      <c r="AW85" s="21" t="e">
        <f>EXP(-LN(2)/2)*AW84+(1-EXP(-LN(2)/2))/(LN(2)/2)*AQ85*AT85*VLOOKUP('Données projet'!$B$10,Paramètres!$A$1:$I$89,3,0)*0.475*44/12</f>
        <v>#VALUE!</v>
      </c>
      <c r="AX85" s="21" t="e">
        <f t="shared" si="60"/>
        <v>#VALUE!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3.4</v>
      </c>
      <c r="N86" s="13">
        <f>IF('Données projet'!$A$36&gt;35,N85+M86-V85,IF(A86&lt;'Données projet'!$A$36,$K$205^A86,IF(A86='Données projet'!$A$36,'Données projet'!$B$36,N85+M86-V85)))</f>
        <v>211.20000000000002</v>
      </c>
      <c r="O86" s="13">
        <f>N86*VLOOKUP('Données projet'!$B$9,Paramètres!$A$1:$I$89,3,0)*VLOOKUP('Données projet'!$B$9,Paramètres!$A$1:$I$89,5,0)</f>
        <v>184.50432000000004</v>
      </c>
      <c r="P86" s="13">
        <f t="shared" si="87"/>
        <v>46.322868297094622</v>
      </c>
      <c r="Q86" s="20">
        <f t="shared" si="54"/>
        <v>402.02401961743982</v>
      </c>
      <c r="R86" s="59">
        <f t="shared" si="55"/>
        <v>673.90876509454324</v>
      </c>
      <c r="S86" s="59">
        <f ca="1">AVERAGE(OFFSET($R$3,0,0,'Données projet'!$E$9+1,1))-AVERAGE(OFFSET($H$3,0,0,'Données projet'!$E$9+1,1))</f>
        <v>328.99319251806747</v>
      </c>
      <c r="T86" s="59">
        <f t="shared" si="88"/>
        <v>270.36198290276695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0.17444720492616733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1.3431002592275671E-7</v>
      </c>
      <c r="AC86" s="22">
        <f t="shared" si="57"/>
        <v>0.17444733923619327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5.6843418860808015E-14</v>
      </c>
      <c r="AJ86" s="13">
        <f>AI86*VLOOKUP('Données projet'!$B$10,Paramètres!$A$1:$I$89,3,0)*VLOOKUP('Données projet'!$B$10,Paramètres!$A$1:$I$89,5,0)</f>
        <v>3.3992364478763198E-14</v>
      </c>
      <c r="AK86" s="13">
        <f t="shared" si="89"/>
        <v>5.790027782444094E-13</v>
      </c>
      <c r="AL86" s="20">
        <f t="shared" si="58"/>
        <v>1.0676332069095257E-12</v>
      </c>
      <c r="AM86" s="59">
        <f t="shared" si="59"/>
        <v>271.88474547710456</v>
      </c>
      <c r="AN86" s="59">
        <f ca="1">AVERAGE(OFFSET($AM$3,0,0,'Données projet'!$E$10+1,1))-AVERAGE(OFFSET($H$3,0,0,'Données projet'!$E$10+1,1))</f>
        <v>274.23303062063621</v>
      </c>
      <c r="AO86" s="59">
        <f t="shared" si="90"/>
        <v>289.08677371938779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#VALUE!</v>
      </c>
      <c r="AV86" s="21" t="e">
        <f>EXP(-LN(2)/25)*AV85+(1-EXP(-LN(2)/25))/(LN(2)/25)*Calculateur!AQ86*Calculateur!AS86*VLOOKUP('Données projet'!$B$10,Paramètres!$A$1:$I$89,3,0)*0.475*44/12</f>
        <v>#VALUE!</v>
      </c>
      <c r="AW86" s="21" t="e">
        <f>EXP(-LN(2)/2)*AW85+(1-EXP(-LN(2)/2))/(LN(2)/2)*AQ86*AT86*VLOOKUP('Données projet'!$B$10,Paramètres!$A$1:$I$89,3,0)*0.475*44/12</f>
        <v>#VALUE!</v>
      </c>
      <c r="AX86" s="21" t="e">
        <f t="shared" si="60"/>
        <v>#VALUE!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3.4</v>
      </c>
      <c r="N87" s="13">
        <f>IF('Données projet'!$A$36&gt;35,N86+M87-V86,IF(A87&lt;'Données projet'!$A$36,$K$205^A87,IF(A87='Données projet'!$A$36,'Données projet'!$B$36,N86+M87-V86)))</f>
        <v>214.60000000000002</v>
      </c>
      <c r="O87" s="13">
        <f>N87*VLOOKUP('Données projet'!$B$9,Paramètres!$A$1:$I$89,3,0)*VLOOKUP('Données projet'!$B$9,Paramètres!$A$1:$I$89,5,0)</f>
        <v>187.47456000000005</v>
      </c>
      <c r="P87" s="13">
        <f t="shared" si="87"/>
        <v>46.981179851370143</v>
      </c>
      <c r="Q87" s="20">
        <f t="shared" si="54"/>
        <v>408.34374690780305</v>
      </c>
      <c r="R87" s="59">
        <f t="shared" si="55"/>
        <v>680.60057743235336</v>
      </c>
      <c r="S87" s="59">
        <f ca="1">AVERAGE(OFFSET($R$3,0,0,'Données projet'!$E$9+1,1))-AVERAGE(OFFSET($H$3,0,0,'Données projet'!$E$9+1,1))</f>
        <v>328.99319251806747</v>
      </c>
      <c r="T87" s="59">
        <f t="shared" si="88"/>
        <v>270.36198290276695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0.17102640163985383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9.4971530111322259E-8</v>
      </c>
      <c r="AC87" s="22">
        <f t="shared" si="57"/>
        <v>0.17102649661138394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5.6843418860808015E-14</v>
      </c>
      <c r="AJ87" s="13">
        <f>AI87*VLOOKUP('Données projet'!$B$10,Paramètres!$A$1:$I$89,3,0)*VLOOKUP('Données projet'!$B$10,Paramètres!$A$1:$I$89,5,0)</f>
        <v>3.3992364478763198E-14</v>
      </c>
      <c r="AK87" s="13">
        <f t="shared" si="89"/>
        <v>5.790027782444094E-13</v>
      </c>
      <c r="AL87" s="20">
        <f t="shared" si="58"/>
        <v>1.0676332069095257E-12</v>
      </c>
      <c r="AM87" s="59">
        <f t="shared" si="59"/>
        <v>272.25683052455139</v>
      </c>
      <c r="AN87" s="59">
        <f ca="1">AVERAGE(OFFSET($AM$3,0,0,'Données projet'!$E$10+1,1))-AVERAGE(OFFSET($H$3,0,0,'Données projet'!$E$10+1,1))</f>
        <v>274.23303062063621</v>
      </c>
      <c r="AO87" s="59">
        <f t="shared" si="90"/>
        <v>289.08677371938779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#VALUE!</v>
      </c>
      <c r="AV87" s="21" t="e">
        <f>EXP(-LN(2)/25)*AV86+(1-EXP(-LN(2)/25))/(LN(2)/25)*Calculateur!AQ87*Calculateur!AS87*VLOOKUP('Données projet'!$B$10,Paramètres!$A$1:$I$89,3,0)*0.475*44/12</f>
        <v>#VALUE!</v>
      </c>
      <c r="AW87" s="21" t="e">
        <f>EXP(-LN(2)/2)*AW86+(1-EXP(-LN(2)/2))/(LN(2)/2)*AQ87*AT87*VLOOKUP('Données projet'!$B$10,Paramètres!$A$1:$I$89,3,0)*0.475*44/12</f>
        <v>#VALUE!</v>
      </c>
      <c r="AX87" s="21" t="e">
        <f t="shared" si="60"/>
        <v>#VALUE!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218</v>
      </c>
      <c r="L88" s="12">
        <f>VLOOKUP(A88,'Données projet'!$A$35:$I$55,9,0)</f>
        <v>3.4</v>
      </c>
      <c r="M88" s="12">
        <f t="array" ref="M88">INDEX(L:L,MIN(IF(ISNUMBER(L88:L284),ROW(L88:L284),"")))</f>
        <v>3.4</v>
      </c>
      <c r="N88" s="13">
        <f>IF('Données projet'!$A$36&gt;35,N87+M88-V87,IF(A88&lt;'Données projet'!$A$36,$K$205^A88,IF(A88='Données projet'!$A$36,'Données projet'!$B$36,N87+M88-V87)))</f>
        <v>218.00000000000003</v>
      </c>
      <c r="O88" s="13">
        <f>N88*VLOOKUP('Données projet'!$B$9,Paramètres!$A$1:$I$89,3,0)*VLOOKUP('Données projet'!$B$9,Paramètres!$A$1:$I$89,5,0)</f>
        <v>190.44480000000004</v>
      </c>
      <c r="P88" s="13">
        <f t="shared" si="87"/>
        <v>47.638278428909231</v>
      </c>
      <c r="Q88" s="20">
        <f t="shared" si="54"/>
        <v>414.66136159701699</v>
      </c>
      <c r="R88" s="59">
        <f t="shared" si="55"/>
        <v>687.2838223252985</v>
      </c>
      <c r="S88" s="59">
        <f ca="1">AVERAGE(OFFSET($R$3,0,0,'Données projet'!$E$9+1,1))-AVERAGE(OFFSET($H$3,0,0,'Données projet'!$E$9+1,1))</f>
        <v>328.99319251806747</v>
      </c>
      <c r="T88" s="59">
        <f t="shared" si="88"/>
        <v>270.36198290276695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12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0.16767267821950096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6.7155012961378357E-8</v>
      </c>
      <c r="AC88" s="22">
        <f t="shared" si="57"/>
        <v>0.16767274537451393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5.6843418860808015E-14</v>
      </c>
      <c r="AJ88" s="13">
        <f>AI88*VLOOKUP('Données projet'!$B$10,Paramètres!$A$1:$I$89,3,0)*VLOOKUP('Données projet'!$B$10,Paramètres!$A$1:$I$89,5,0)</f>
        <v>3.3992364478763198E-14</v>
      </c>
      <c r="AK88" s="13">
        <f t="shared" si="89"/>
        <v>5.790027782444094E-13</v>
      </c>
      <c r="AL88" s="20">
        <f t="shared" si="58"/>
        <v>1.0676332069095257E-12</v>
      </c>
      <c r="AM88" s="59">
        <f t="shared" si="59"/>
        <v>272.62246072828259</v>
      </c>
      <c r="AN88" s="59">
        <f ca="1">AVERAGE(OFFSET($AM$3,0,0,'Données projet'!$E$10+1,1))-AVERAGE(OFFSET($H$3,0,0,'Données projet'!$E$10+1,1))</f>
        <v>274.23303062063621</v>
      </c>
      <c r="AO88" s="59">
        <f t="shared" si="90"/>
        <v>289.08677371938779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#VALUE!</v>
      </c>
      <c r="AV88" s="21" t="e">
        <f>EXP(-LN(2)/25)*AV87+(1-EXP(-LN(2)/25))/(LN(2)/25)*Calculateur!AQ88*Calculateur!AS88*VLOOKUP('Données projet'!$B$10,Paramètres!$A$1:$I$89,3,0)*0.475*44/12</f>
        <v>#VALUE!</v>
      </c>
      <c r="AW88" s="21" t="e">
        <f>EXP(-LN(2)/2)*AW87+(1-EXP(-LN(2)/2))/(LN(2)/2)*AQ88*AT88*VLOOKUP('Données projet'!$B$10,Paramètres!$A$1:$I$89,3,0)*0.475*44/12</f>
        <v>#VALUE!</v>
      </c>
      <c r="AX88" s="21" t="e">
        <f t="shared" si="60"/>
        <v>#VALUE!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3.2</v>
      </c>
      <c r="N89" s="13">
        <f>IF('Données projet'!$A$36&gt;35,N88+M89-V88,IF(A89&lt;'Données projet'!$A$36,$K$205^A89,IF(A89='Données projet'!$A$36,'Données projet'!$B$36,N88+M89-V88)))</f>
        <v>209.20000000000002</v>
      </c>
      <c r="O89" s="13">
        <f>N89*VLOOKUP('Données projet'!$B$9,Paramètres!$A$1:$I$89,3,0)*VLOOKUP('Données projet'!$B$9,Paramètres!$A$1:$I$89,5,0)</f>
        <v>182.75712000000004</v>
      </c>
      <c r="P89" s="13">
        <f t="shared" si="87"/>
        <v>45.935050827172049</v>
      </c>
      <c r="Q89" s="20">
        <f t="shared" si="54"/>
        <v>398.30553085732475</v>
      </c>
      <c r="R89" s="59">
        <f t="shared" si="55"/>
        <v>671.28727892272946</v>
      </c>
      <c r="S89" s="59">
        <f ca="1">AVERAGE(OFFSET($R$3,0,0,'Données projet'!$E$9+1,1))-AVERAGE(OFFSET($H$3,0,0,'Données projet'!$E$9+1,1))</f>
        <v>328.99319251806747</v>
      </c>
      <c r="T89" s="59">
        <f t="shared" si="88"/>
        <v>270.36198290276695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0.16438471926985193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4.7485765055661129E-8</v>
      </c>
      <c r="AC89" s="22">
        <f t="shared" si="57"/>
        <v>0.16438476675561697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5.6843418860808015E-14</v>
      </c>
      <c r="AJ89" s="13">
        <f>AI89*VLOOKUP('Données projet'!$B$10,Paramètres!$A$1:$I$89,3,0)*VLOOKUP('Données projet'!$B$10,Paramètres!$A$1:$I$89,5,0)</f>
        <v>3.3992364478763198E-14</v>
      </c>
      <c r="AK89" s="13">
        <f t="shared" si="89"/>
        <v>5.790027782444094E-13</v>
      </c>
      <c r="AL89" s="20">
        <f t="shared" si="58"/>
        <v>1.0676332069095257E-12</v>
      </c>
      <c r="AM89" s="59">
        <f t="shared" si="59"/>
        <v>272.98174806540578</v>
      </c>
      <c r="AN89" s="59">
        <f ca="1">AVERAGE(OFFSET($AM$3,0,0,'Données projet'!$E$10+1,1))-AVERAGE(OFFSET($H$3,0,0,'Données projet'!$E$10+1,1))</f>
        <v>274.23303062063621</v>
      </c>
      <c r="AO89" s="59">
        <f t="shared" si="90"/>
        <v>289.08677371938779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#VALUE!</v>
      </c>
      <c r="AV89" s="21" t="e">
        <f>EXP(-LN(2)/25)*AV88+(1-EXP(-LN(2)/25))/(LN(2)/25)*Calculateur!AQ89*Calculateur!AS89*VLOOKUP('Données projet'!$B$10,Paramètres!$A$1:$I$89,3,0)*0.475*44/12</f>
        <v>#VALUE!</v>
      </c>
      <c r="AW89" s="21" t="e">
        <f>EXP(-LN(2)/2)*AW88+(1-EXP(-LN(2)/2))/(LN(2)/2)*AQ89*AT89*VLOOKUP('Données projet'!$B$10,Paramètres!$A$1:$I$89,3,0)*0.475*44/12</f>
        <v>#VALUE!</v>
      </c>
      <c r="AX89" s="21" t="e">
        <f t="shared" si="60"/>
        <v>#VALUE!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3.2</v>
      </c>
      <c r="N90" s="13">
        <f>IF('Données projet'!$A$36&gt;35,N89+M90-V89,IF(A90&lt;'Données projet'!$A$36,$K$205^A90,IF(A90='Données projet'!$A$36,'Données projet'!$B$36,N89+M90-V89)))</f>
        <v>212.4</v>
      </c>
      <c r="O90" s="13">
        <f>N90*VLOOKUP('Données projet'!$B$9,Paramètres!$A$1:$I$89,3,0)*VLOOKUP('Données projet'!$B$9,Paramètres!$A$1:$I$89,5,0)</f>
        <v>185.55264000000003</v>
      </c>
      <c r="P90" s="13">
        <f t="shared" si="87"/>
        <v>46.555353409936501</v>
      </c>
      <c r="Q90" s="20">
        <f t="shared" si="54"/>
        <v>404.25475518897275</v>
      </c>
      <c r="R90" s="59">
        <f t="shared" si="55"/>
        <v>677.58955775944764</v>
      </c>
      <c r="S90" s="59">
        <f ca="1">AVERAGE(OFFSET($R$3,0,0,'Données projet'!$E$9+1,1))-AVERAGE(OFFSET($H$3,0,0,'Données projet'!$E$9+1,1))</f>
        <v>328.99319251806747</v>
      </c>
      <c r="T90" s="59">
        <f t="shared" si="88"/>
        <v>270.36198290276695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0.16116123518974856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3.3577506480689179E-8</v>
      </c>
      <c r="AC90" s="22">
        <f t="shared" si="57"/>
        <v>0.16116126876725503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5.6843418860808015E-14</v>
      </c>
      <c r="AJ90" s="13">
        <f>AI90*VLOOKUP('Données projet'!$B$10,Paramètres!$A$1:$I$89,3,0)*VLOOKUP('Données projet'!$B$10,Paramètres!$A$1:$I$89,5,0)</f>
        <v>3.3992364478763198E-14</v>
      </c>
      <c r="AK90" s="13">
        <f t="shared" si="89"/>
        <v>5.790027782444094E-13</v>
      </c>
      <c r="AL90" s="20">
        <f t="shared" si="58"/>
        <v>1.0676332069095257E-12</v>
      </c>
      <c r="AM90" s="59">
        <f t="shared" si="59"/>
        <v>273.33480257047592</v>
      </c>
      <c r="AN90" s="59">
        <f ca="1">AVERAGE(OFFSET($AM$3,0,0,'Données projet'!$E$10+1,1))-AVERAGE(OFFSET($H$3,0,0,'Données projet'!$E$10+1,1))</f>
        <v>274.23303062063621</v>
      </c>
      <c r="AO90" s="59">
        <f t="shared" si="90"/>
        <v>289.08677371938779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#VALUE!</v>
      </c>
      <c r="AV90" s="21" t="e">
        <f>EXP(-LN(2)/25)*AV89+(1-EXP(-LN(2)/25))/(LN(2)/25)*Calculateur!AQ90*Calculateur!AS90*VLOOKUP('Données projet'!$B$10,Paramètres!$A$1:$I$89,3,0)*0.475*44/12</f>
        <v>#VALUE!</v>
      </c>
      <c r="AW90" s="21" t="e">
        <f>EXP(-LN(2)/2)*AW89+(1-EXP(-LN(2)/2))/(LN(2)/2)*AQ90*AT90*VLOOKUP('Données projet'!$B$10,Paramètres!$A$1:$I$89,3,0)*0.475*44/12</f>
        <v>#VALUE!</v>
      </c>
      <c r="AX90" s="21" t="e">
        <f t="shared" si="60"/>
        <v>#VALUE!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3.2</v>
      </c>
      <c r="N91" s="13">
        <f>IF('Données projet'!$A$36&gt;35,N90+M91-V90,IF(A91&lt;'Données projet'!$A$36,$K$205^A91,IF(A91='Données projet'!$A$36,'Données projet'!$B$36,N90+M91-V90)))</f>
        <v>215.6</v>
      </c>
      <c r="O91" s="13">
        <f>N91*VLOOKUP('Données projet'!$B$9,Paramètres!$A$1:$I$89,3,0)*VLOOKUP('Données projet'!$B$9,Paramètres!$A$1:$I$89,5,0)</f>
        <v>188.34816000000001</v>
      </c>
      <c r="P91" s="13">
        <f t="shared" si="87"/>
        <v>47.174569095030364</v>
      </c>
      <c r="Q91" s="20">
        <f t="shared" si="54"/>
        <v>410.20208650717785</v>
      </c>
      <c r="R91" s="59">
        <f t="shared" si="55"/>
        <v>683.88381887637161</v>
      </c>
      <c r="S91" s="59">
        <f ca="1">AVERAGE(OFFSET($R$3,0,0,'Données projet'!$E$9+1,1))-AVERAGE(OFFSET($H$3,0,0,'Données projet'!$E$9+1,1))</f>
        <v>328.99319251806747</v>
      </c>
      <c r="T91" s="59">
        <f t="shared" si="88"/>
        <v>270.36198290276695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0.15800096166632488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2.3742882527830565E-8</v>
      </c>
      <c r="AC91" s="22">
        <f t="shared" si="57"/>
        <v>0.1580009854092074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5.6843418860808015E-14</v>
      </c>
      <c r="AJ91" s="13">
        <f>AI91*VLOOKUP('Données projet'!$B$10,Paramètres!$A$1:$I$89,3,0)*VLOOKUP('Données projet'!$B$10,Paramètres!$A$1:$I$89,5,0)</f>
        <v>3.3992364478763198E-14</v>
      </c>
      <c r="AK91" s="13">
        <f t="shared" si="89"/>
        <v>5.790027782444094E-13</v>
      </c>
      <c r="AL91" s="20">
        <f t="shared" si="58"/>
        <v>1.0676332069095257E-12</v>
      </c>
      <c r="AM91" s="59">
        <f t="shared" si="59"/>
        <v>273.68173236919478</v>
      </c>
      <c r="AN91" s="59">
        <f ca="1">AVERAGE(OFFSET($AM$3,0,0,'Données projet'!$E$10+1,1))-AVERAGE(OFFSET($H$3,0,0,'Données projet'!$E$10+1,1))</f>
        <v>274.23303062063621</v>
      </c>
      <c r="AO91" s="59">
        <f t="shared" si="90"/>
        <v>289.08677371938779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#VALUE!</v>
      </c>
      <c r="AV91" s="21" t="e">
        <f>EXP(-LN(2)/25)*AV90+(1-EXP(-LN(2)/25))/(LN(2)/25)*Calculateur!AQ91*Calculateur!AS91*VLOOKUP('Données projet'!$B$10,Paramètres!$A$1:$I$89,3,0)*0.475*44/12</f>
        <v>#VALUE!</v>
      </c>
      <c r="AW91" s="21" t="e">
        <f>EXP(-LN(2)/2)*AW90+(1-EXP(-LN(2)/2))/(LN(2)/2)*AQ91*AT91*VLOOKUP('Données projet'!$B$10,Paramètres!$A$1:$I$89,3,0)*0.475*44/12</f>
        <v>#VALUE!</v>
      </c>
      <c r="AX91" s="21" t="e">
        <f t="shared" si="60"/>
        <v>#VALUE!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3.2</v>
      </c>
      <c r="N92" s="13">
        <f>IF('Données projet'!$A$36&gt;35,N91+M92-V91,IF(A92&lt;'Données projet'!$A$36,$K$205^A92,IF(A92='Données projet'!$A$36,'Données projet'!$B$36,N91+M92-V91)))</f>
        <v>218.79999999999998</v>
      </c>
      <c r="O92" s="13">
        <f>N92*VLOOKUP('Données projet'!$B$9,Paramètres!$A$1:$I$89,3,0)*VLOOKUP('Données projet'!$B$9,Paramètres!$A$1:$I$89,5,0)</f>
        <v>191.14368000000002</v>
      </c>
      <c r="P92" s="13">
        <f t="shared" si="87"/>
        <v>47.792715878069586</v>
      </c>
      <c r="Q92" s="20">
        <f t="shared" si="54"/>
        <v>416.14755615430454</v>
      </c>
      <c r="R92" s="59">
        <f t="shared" si="55"/>
        <v>690.17019986582818</v>
      </c>
      <c r="S92" s="59">
        <f ca="1">AVERAGE(OFFSET($R$3,0,0,'Données projet'!$E$9+1,1))-AVERAGE(OFFSET($H$3,0,0,'Données projet'!$E$9+1,1))</f>
        <v>328.99319251806747</v>
      </c>
      <c r="T92" s="59">
        <f t="shared" si="88"/>
        <v>270.36198290276695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0.15490265917911902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1.6788753240344589E-8</v>
      </c>
      <c r="AC92" s="22">
        <f t="shared" si="57"/>
        <v>0.15490267596787227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5.6843418860808015E-14</v>
      </c>
      <c r="AJ92" s="13">
        <f>AI92*VLOOKUP('Données projet'!$B$10,Paramètres!$A$1:$I$89,3,0)*VLOOKUP('Données projet'!$B$10,Paramètres!$A$1:$I$89,5,0)</f>
        <v>3.3992364478763198E-14</v>
      </c>
      <c r="AK92" s="13">
        <f t="shared" si="89"/>
        <v>5.790027782444094E-13</v>
      </c>
      <c r="AL92" s="20">
        <f t="shared" si="58"/>
        <v>1.0676332069095257E-12</v>
      </c>
      <c r="AM92" s="59">
        <f t="shared" si="59"/>
        <v>274.02264371152467</v>
      </c>
      <c r="AN92" s="59">
        <f ca="1">AVERAGE(OFFSET($AM$3,0,0,'Données projet'!$E$10+1,1))-AVERAGE(OFFSET($H$3,0,0,'Données projet'!$E$10+1,1))</f>
        <v>274.23303062063621</v>
      </c>
      <c r="AO92" s="59">
        <f t="shared" si="90"/>
        <v>289.08677371938779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#VALUE!</v>
      </c>
      <c r="AV92" s="21" t="e">
        <f>EXP(-LN(2)/25)*AV91+(1-EXP(-LN(2)/25))/(LN(2)/25)*Calculateur!AQ92*Calculateur!AS92*VLOOKUP('Données projet'!$B$10,Paramètres!$A$1:$I$89,3,0)*0.475*44/12</f>
        <v>#VALUE!</v>
      </c>
      <c r="AW92" s="21" t="e">
        <f>EXP(-LN(2)/2)*AW91+(1-EXP(-LN(2)/2))/(LN(2)/2)*AQ92*AT92*VLOOKUP('Données projet'!$B$10,Paramètres!$A$1:$I$89,3,0)*0.475*44/12</f>
        <v>#VALUE!</v>
      </c>
      <c r="AX92" s="21" t="e">
        <f t="shared" si="60"/>
        <v>#VALUE!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222</v>
      </c>
      <c r="L93" s="12">
        <f>VLOOKUP(A93,'Données projet'!$A$35:$I$55,9,0)</f>
        <v>3.2</v>
      </c>
      <c r="M93" s="12">
        <f t="array" ref="M93">INDEX(L:L,MIN(IF(ISNUMBER(L93:L289),ROW(L93:L289),"")))</f>
        <v>3.2</v>
      </c>
      <c r="N93" s="13">
        <f>IF('Données projet'!$A$36&gt;35,N92+M93-V92,IF(A93&lt;'Données projet'!$A$36,$K$205^A93,IF(A93='Données projet'!$A$36,'Données projet'!$B$36,N92+M93-V92)))</f>
        <v>221.99999999999997</v>
      </c>
      <c r="O93" s="13">
        <f>N93*VLOOKUP('Données projet'!$B$9,Paramètres!$A$1:$I$89,3,0)*VLOOKUP('Données projet'!$B$9,Paramètres!$A$1:$I$89,5,0)</f>
        <v>193.9392</v>
      </c>
      <c r="P93" s="13">
        <f t="shared" si="87"/>
        <v>48.409811198069384</v>
      </c>
      <c r="Q93" s="20">
        <f t="shared" si="54"/>
        <v>422.09119450330417</v>
      </c>
      <c r="R93" s="59">
        <f t="shared" si="55"/>
        <v>696.44883550753184</v>
      </c>
      <c r="S93" s="59">
        <f ca="1">AVERAGE(OFFSET($R$3,0,0,'Données projet'!$E$9+1,1))-AVERAGE(OFFSET($H$3,0,0,'Données projet'!$E$9+1,1))</f>
        <v>328.99319251806747</v>
      </c>
      <c r="T93" s="59">
        <f t="shared" si="88"/>
        <v>270.36198290276695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11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0.15186511251390936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1.1871441263915282E-8</v>
      </c>
      <c r="AC93" s="22">
        <f t="shared" si="57"/>
        <v>0.15186512438535063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5.6843418860808015E-14</v>
      </c>
      <c r="AJ93" s="13">
        <f>AI93*VLOOKUP('Données projet'!$B$10,Paramètres!$A$1:$I$89,3,0)*VLOOKUP('Données projet'!$B$10,Paramètres!$A$1:$I$89,5,0)</f>
        <v>3.3992364478763198E-14</v>
      </c>
      <c r="AK93" s="13">
        <f t="shared" si="89"/>
        <v>5.790027782444094E-13</v>
      </c>
      <c r="AL93" s="20">
        <f t="shared" si="58"/>
        <v>1.0676332069095257E-12</v>
      </c>
      <c r="AM93" s="59">
        <f t="shared" si="59"/>
        <v>274.35764100422875</v>
      </c>
      <c r="AN93" s="59">
        <f ca="1">AVERAGE(OFFSET($AM$3,0,0,'Données projet'!$E$10+1,1))-AVERAGE(OFFSET($H$3,0,0,'Données projet'!$E$10+1,1))</f>
        <v>274.23303062063621</v>
      </c>
      <c r="AO93" s="59">
        <f t="shared" si="90"/>
        <v>289.08677371938779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#VALUE!</v>
      </c>
      <c r="AV93" s="21" t="e">
        <f>EXP(-LN(2)/25)*AV92+(1-EXP(-LN(2)/25))/(LN(2)/25)*Calculateur!AQ93*Calculateur!AS93*VLOOKUP('Données projet'!$B$10,Paramètres!$A$1:$I$89,3,0)*0.475*44/12</f>
        <v>#VALUE!</v>
      </c>
      <c r="AW93" s="21" t="e">
        <f>EXP(-LN(2)/2)*AW92+(1-EXP(-LN(2)/2))/(LN(2)/2)*AQ93*AT93*VLOOKUP('Données projet'!$B$10,Paramètres!$A$1:$I$89,3,0)*0.475*44/12</f>
        <v>#VALUE!</v>
      </c>
      <c r="AX93" s="21" t="e">
        <f t="shared" si="60"/>
        <v>#VALUE!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2.8</v>
      </c>
      <c r="N94" s="13">
        <f>IF('Données projet'!$A$36&gt;35,N93+M94-V93,IF(A94&lt;'Données projet'!$A$36,$K$205^A94,IF(A94='Données projet'!$A$36,'Données projet'!$B$36,N93+M94-V93)))</f>
        <v>213.79999999999998</v>
      </c>
      <c r="O94" s="13">
        <f>N94*VLOOKUP('Données projet'!$B$9,Paramètres!$A$1:$I$89,3,0)*VLOOKUP('Données projet'!$B$9,Paramètres!$A$1:$I$89,5,0)</f>
        <v>186.77568000000002</v>
      </c>
      <c r="P94" s="13">
        <f t="shared" si="87"/>
        <v>46.826392937381165</v>
      </c>
      <c r="Q94" s="20">
        <f t="shared" si="54"/>
        <v>406.85694369927222</v>
      </c>
      <c r="R94" s="59">
        <f t="shared" si="55"/>
        <v>681.54377054211727</v>
      </c>
      <c r="S94" s="59">
        <f ca="1">AVERAGE(OFFSET($R$3,0,0,'Données projet'!$E$9+1,1))-AVERAGE(OFFSET($H$3,0,0,'Données projet'!$E$9+1,1))</f>
        <v>328.99319251806747</v>
      </c>
      <c r="T94" s="59">
        <f t="shared" si="88"/>
        <v>270.36198290276695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0.14888713028608391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8.3943766201722946E-9</v>
      </c>
      <c r="AC94" s="22">
        <f t="shared" si="57"/>
        <v>0.14888713868046052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5.6843418860808015E-14</v>
      </c>
      <c r="AJ94" s="13">
        <f>AI94*VLOOKUP('Données projet'!$B$10,Paramètres!$A$1:$I$89,3,0)*VLOOKUP('Données projet'!$B$10,Paramètres!$A$1:$I$89,5,0)</f>
        <v>3.3992364478763198E-14</v>
      </c>
      <c r="AK94" s="13">
        <f t="shared" si="89"/>
        <v>5.790027782444094E-13</v>
      </c>
      <c r="AL94" s="20">
        <f t="shared" si="58"/>
        <v>1.0676332069095257E-12</v>
      </c>
      <c r="AM94" s="59">
        <f t="shared" si="59"/>
        <v>274.68682684284613</v>
      </c>
      <c r="AN94" s="59">
        <f ca="1">AVERAGE(OFFSET($AM$3,0,0,'Données projet'!$E$10+1,1))-AVERAGE(OFFSET($H$3,0,0,'Données projet'!$E$10+1,1))</f>
        <v>274.23303062063621</v>
      </c>
      <c r="AO94" s="59">
        <f t="shared" si="90"/>
        <v>289.08677371938779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#VALUE!</v>
      </c>
      <c r="AV94" s="21" t="e">
        <f>EXP(-LN(2)/25)*AV93+(1-EXP(-LN(2)/25))/(LN(2)/25)*Calculateur!AQ94*Calculateur!AS94*VLOOKUP('Données projet'!$B$10,Paramètres!$A$1:$I$89,3,0)*0.475*44/12</f>
        <v>#VALUE!</v>
      </c>
      <c r="AW94" s="21" t="e">
        <f>EXP(-LN(2)/2)*AW93+(1-EXP(-LN(2)/2))/(LN(2)/2)*AQ94*AT94*VLOOKUP('Données projet'!$B$10,Paramètres!$A$1:$I$89,3,0)*0.475*44/12</f>
        <v>#VALUE!</v>
      </c>
      <c r="AX94" s="21" t="e">
        <f t="shared" si="60"/>
        <v>#VALUE!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2.8</v>
      </c>
      <c r="N95" s="13">
        <f>IF('Données projet'!$A$36&gt;35,N94+M95-V94,IF(A95&lt;'Données projet'!$A$36,$K$205^A95,IF(A95='Données projet'!$A$36,'Données projet'!$B$36,N94+M95-V94)))</f>
        <v>216.6</v>
      </c>
      <c r="O95" s="13">
        <f>N95*VLOOKUP('Données projet'!$B$9,Paramètres!$A$1:$I$89,3,0)*VLOOKUP('Données projet'!$B$9,Paramètres!$A$1:$I$89,5,0)</f>
        <v>189.22176000000002</v>
      </c>
      <c r="P95" s="13">
        <f t="shared" si="87"/>
        <v>47.367853957810077</v>
      </c>
      <c r="Q95" s="20">
        <f t="shared" si="54"/>
        <v>412.06024430985258</v>
      </c>
      <c r="R95" s="59">
        <f t="shared" si="55"/>
        <v>687.07054635296436</v>
      </c>
      <c r="S95" s="59">
        <f ca="1">AVERAGE(OFFSET($R$3,0,0,'Données projet'!$E$9+1,1))-AVERAGE(OFFSET($H$3,0,0,'Données projet'!$E$9+1,1))</f>
        <v>328.99319251806747</v>
      </c>
      <c r="T95" s="59">
        <f t="shared" si="88"/>
        <v>270.36198290276695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0.14596754447335633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5.9357206319576412E-9</v>
      </c>
      <c r="AC95" s="22">
        <f t="shared" si="57"/>
        <v>0.14596755040907697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5.6843418860808015E-14</v>
      </c>
      <c r="AJ95" s="13">
        <f>AI95*VLOOKUP('Données projet'!$B$10,Paramètres!$A$1:$I$89,3,0)*VLOOKUP('Données projet'!$B$10,Paramètres!$A$1:$I$89,5,0)</f>
        <v>3.3992364478763198E-14</v>
      </c>
      <c r="AK95" s="13">
        <f t="shared" si="89"/>
        <v>5.790027782444094E-13</v>
      </c>
      <c r="AL95" s="20">
        <f t="shared" si="58"/>
        <v>1.0676332069095257E-12</v>
      </c>
      <c r="AM95" s="59">
        <f t="shared" si="59"/>
        <v>275.0103020431128</v>
      </c>
      <c r="AN95" s="59">
        <f ca="1">AVERAGE(OFFSET($AM$3,0,0,'Données projet'!$E$10+1,1))-AVERAGE(OFFSET($H$3,0,0,'Données projet'!$E$10+1,1))</f>
        <v>274.23303062063621</v>
      </c>
      <c r="AO95" s="59">
        <f t="shared" si="90"/>
        <v>289.08677371938779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#VALUE!</v>
      </c>
      <c r="AV95" s="21" t="e">
        <f>EXP(-LN(2)/25)*AV94+(1-EXP(-LN(2)/25))/(LN(2)/25)*Calculateur!AQ95*Calculateur!AS95*VLOOKUP('Données projet'!$B$10,Paramètres!$A$1:$I$89,3,0)*0.475*44/12</f>
        <v>#VALUE!</v>
      </c>
      <c r="AW95" s="21" t="e">
        <f>EXP(-LN(2)/2)*AW94+(1-EXP(-LN(2)/2))/(LN(2)/2)*AQ95*AT95*VLOOKUP('Données projet'!$B$10,Paramètres!$A$1:$I$89,3,0)*0.475*44/12</f>
        <v>#VALUE!</v>
      </c>
      <c r="AX95" s="21" t="e">
        <f t="shared" si="60"/>
        <v>#VALUE!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2.8</v>
      </c>
      <c r="N96" s="13">
        <f>IF('Données projet'!$A$36&gt;35,N95+M96-V95,IF(A96&lt;'Données projet'!$A$36,$K$205^A96,IF(A96='Données projet'!$A$36,'Données projet'!$B$36,N95+M96-V95)))</f>
        <v>219.4</v>
      </c>
      <c r="O96" s="13">
        <f>N96*VLOOKUP('Données projet'!$B$9,Paramètres!$A$1:$I$89,3,0)*VLOOKUP('Données projet'!$B$9,Paramètres!$A$1:$I$89,5,0)</f>
        <v>191.66784000000004</v>
      </c>
      <c r="P96" s="13">
        <f t="shared" si="87"/>
        <v>47.908500825580958</v>
      </c>
      <c r="Q96" s="20">
        <f t="shared" si="54"/>
        <v>417.26212693788688</v>
      </c>
      <c r="R96" s="59">
        <f t="shared" si="55"/>
        <v>692.59029260972284</v>
      </c>
      <c r="S96" s="59">
        <f ca="1">AVERAGE(OFFSET($R$3,0,0,'Données projet'!$E$9+1,1))-AVERAGE(OFFSET($H$3,0,0,'Données projet'!$E$9+1,1))</f>
        <v>328.99319251806747</v>
      </c>
      <c r="T96" s="59">
        <f t="shared" si="88"/>
        <v>270.36198290276695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0.14310520995764481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4.1971883100861473E-9</v>
      </c>
      <c r="AC96" s="22">
        <f t="shared" si="57"/>
        <v>0.14310521415483313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5.6843418860808015E-14</v>
      </c>
      <c r="AJ96" s="13">
        <f>AI96*VLOOKUP('Données projet'!$B$10,Paramètres!$A$1:$I$89,3,0)*VLOOKUP('Données projet'!$B$10,Paramètres!$A$1:$I$89,5,0)</f>
        <v>3.3992364478763198E-14</v>
      </c>
      <c r="AK96" s="13">
        <f t="shared" si="89"/>
        <v>5.790027782444094E-13</v>
      </c>
      <c r="AL96" s="20">
        <f t="shared" si="58"/>
        <v>1.0676332069095257E-12</v>
      </c>
      <c r="AM96" s="59">
        <f t="shared" si="59"/>
        <v>275.32816567183704</v>
      </c>
      <c r="AN96" s="59">
        <f ca="1">AVERAGE(OFFSET($AM$3,0,0,'Données projet'!$E$10+1,1))-AVERAGE(OFFSET($H$3,0,0,'Données projet'!$E$10+1,1))</f>
        <v>274.23303062063621</v>
      </c>
      <c r="AO96" s="59">
        <f t="shared" si="90"/>
        <v>289.08677371938779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#VALUE!</v>
      </c>
      <c r="AV96" s="21" t="e">
        <f>EXP(-LN(2)/25)*AV95+(1-EXP(-LN(2)/25))/(LN(2)/25)*Calculateur!AQ96*Calculateur!AS96*VLOOKUP('Données projet'!$B$10,Paramètres!$A$1:$I$89,3,0)*0.475*44/12</f>
        <v>#VALUE!</v>
      </c>
      <c r="AW96" s="21" t="e">
        <f>EXP(-LN(2)/2)*AW95+(1-EXP(-LN(2)/2))/(LN(2)/2)*AQ96*AT96*VLOOKUP('Données projet'!$B$10,Paramètres!$A$1:$I$89,3,0)*0.475*44/12</f>
        <v>#VALUE!</v>
      </c>
      <c r="AX96" s="21" t="e">
        <f t="shared" si="60"/>
        <v>#VALUE!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2.8</v>
      </c>
      <c r="N97" s="13">
        <f>IF('Données projet'!$A$36&gt;35,N96+M97-V96,IF(A97&lt;'Données projet'!$A$36,$K$205^A97,IF(A97='Données projet'!$A$36,'Données projet'!$B$36,N96+M97-V96)))</f>
        <v>222.20000000000002</v>
      </c>
      <c r="O97" s="13">
        <f>N97*VLOOKUP('Données projet'!$B$9,Paramètres!$A$1:$I$89,3,0)*VLOOKUP('Données projet'!$B$9,Paramètres!$A$1:$I$89,5,0)</f>
        <v>194.11392000000004</v>
      </c>
      <c r="P97" s="13">
        <f t="shared" si="87"/>
        <v>48.44834513242396</v>
      </c>
      <c r="Q97" s="20">
        <f t="shared" si="54"/>
        <v>422.46261177230508</v>
      </c>
      <c r="R97" s="59">
        <f t="shared" si="55"/>
        <v>698.10312684954351</v>
      </c>
      <c r="S97" s="59">
        <f ca="1">AVERAGE(OFFSET($R$3,0,0,'Données projet'!$E$9+1,1))-AVERAGE(OFFSET($H$3,0,0,'Données projet'!$E$9+1,1))</f>
        <v>328.99319251806747</v>
      </c>
      <c r="T97" s="59">
        <f t="shared" si="88"/>
        <v>270.36198290276695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0.14029900407593474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2.9678603159788206E-9</v>
      </c>
      <c r="AC97" s="22">
        <f t="shared" si="57"/>
        <v>0.14029900704379505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5.6843418860808015E-14</v>
      </c>
      <c r="AJ97" s="13">
        <f>AI97*VLOOKUP('Données projet'!$B$10,Paramètres!$A$1:$I$89,3,0)*VLOOKUP('Données projet'!$B$10,Paramètres!$A$1:$I$89,5,0)</f>
        <v>3.3992364478763198E-14</v>
      </c>
      <c r="AK97" s="13">
        <f t="shared" si="89"/>
        <v>5.790027782444094E-13</v>
      </c>
      <c r="AL97" s="20">
        <f t="shared" si="58"/>
        <v>1.0676332069095257E-12</v>
      </c>
      <c r="AM97" s="59">
        <f t="shared" si="59"/>
        <v>275.64051507723957</v>
      </c>
      <c r="AN97" s="59">
        <f ca="1">AVERAGE(OFFSET($AM$3,0,0,'Données projet'!$E$10+1,1))-AVERAGE(OFFSET($H$3,0,0,'Données projet'!$E$10+1,1))</f>
        <v>274.23303062063621</v>
      </c>
      <c r="AO97" s="59">
        <f t="shared" si="90"/>
        <v>289.08677371938779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#VALUE!</v>
      </c>
      <c r="AV97" s="21" t="e">
        <f>EXP(-LN(2)/25)*AV96+(1-EXP(-LN(2)/25))/(LN(2)/25)*Calculateur!AQ97*Calculateur!AS97*VLOOKUP('Données projet'!$B$10,Paramètres!$A$1:$I$89,3,0)*0.475*44/12</f>
        <v>#VALUE!</v>
      </c>
      <c r="AW97" s="21" t="e">
        <f>EXP(-LN(2)/2)*AW96+(1-EXP(-LN(2)/2))/(LN(2)/2)*AQ97*AT97*VLOOKUP('Données projet'!$B$10,Paramètres!$A$1:$I$89,3,0)*0.475*44/12</f>
        <v>#VALUE!</v>
      </c>
      <c r="AX97" s="21" t="e">
        <f t="shared" si="60"/>
        <v>#VALUE!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225</v>
      </c>
      <c r="L98" s="12">
        <f>VLOOKUP(A98,'Données projet'!$A$35:$I$55,9,0)</f>
        <v>2.8</v>
      </c>
      <c r="M98" s="12">
        <f t="array" ref="M98">INDEX(L:L,MIN(IF(ISNUMBER(L98:L294),ROW(L98:L294),"")))</f>
        <v>2.8</v>
      </c>
      <c r="N98" s="13">
        <f>IF('Données projet'!$A$36&gt;35,N97+M98-V97,IF(A98&lt;'Données projet'!$A$36,$K$205^A98,IF(A98='Données projet'!$A$36,'Données projet'!$B$36,N97+M98-V97)))</f>
        <v>225.00000000000003</v>
      </c>
      <c r="O98" s="13">
        <f>N98*VLOOKUP('Données projet'!$B$9,Paramètres!$A$1:$I$89,3,0)*VLOOKUP('Données projet'!$B$9,Paramètres!$A$1:$I$89,5,0)</f>
        <v>196.56000000000006</v>
      </c>
      <c r="P98" s="13">
        <f t="shared" si="87"/>
        <v>48.987398161128134</v>
      </c>
      <c r="Q98" s="20">
        <f t="shared" si="54"/>
        <v>427.66171846396492</v>
      </c>
      <c r="R98" s="59">
        <f t="shared" si="55"/>
        <v>703.6091643827308</v>
      </c>
      <c r="S98" s="59">
        <f ca="1">AVERAGE(OFFSET($R$3,0,0,'Données projet'!$E$9+1,1))-AVERAGE(OFFSET($H$3,0,0,'Données projet'!$E$9+1,1))</f>
        <v>328.99319251806747</v>
      </c>
      <c r="T98" s="59">
        <f t="shared" si="88"/>
        <v>270.36198290276695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11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0.13754782617994843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2.0985941550430737E-9</v>
      </c>
      <c r="AC98" s="22">
        <f t="shared" si="57"/>
        <v>0.13754782827854259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5.6843418860808015E-14</v>
      </c>
      <c r="AJ98" s="13">
        <f>AI98*VLOOKUP('Données projet'!$B$10,Paramètres!$A$1:$I$89,3,0)*VLOOKUP('Données projet'!$B$10,Paramètres!$A$1:$I$89,5,0)</f>
        <v>3.3992364478763198E-14</v>
      </c>
      <c r="AK98" s="13">
        <f t="shared" si="89"/>
        <v>5.790027782444094E-13</v>
      </c>
      <c r="AL98" s="20">
        <f t="shared" si="58"/>
        <v>1.0676332069095257E-12</v>
      </c>
      <c r="AM98" s="59">
        <f t="shared" si="59"/>
        <v>275.94744591876702</v>
      </c>
      <c r="AN98" s="59">
        <f ca="1">AVERAGE(OFFSET($AM$3,0,0,'Données projet'!$E$10+1,1))-AVERAGE(OFFSET($H$3,0,0,'Données projet'!$E$10+1,1))</f>
        <v>274.23303062063621</v>
      </c>
      <c r="AO98" s="59">
        <f t="shared" si="90"/>
        <v>289.08677371938779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#VALUE!</v>
      </c>
      <c r="AV98" s="21" t="e">
        <f>EXP(-LN(2)/25)*AV97+(1-EXP(-LN(2)/25))/(LN(2)/25)*Calculateur!AQ98*Calculateur!AS98*VLOOKUP('Données projet'!$B$10,Paramètres!$A$1:$I$89,3,0)*0.475*44/12</f>
        <v>#VALUE!</v>
      </c>
      <c r="AW98" s="21" t="e">
        <f>EXP(-LN(2)/2)*AW97+(1-EXP(-LN(2)/2))/(LN(2)/2)*AQ98*AT98*VLOOKUP('Données projet'!$B$10,Paramètres!$A$1:$I$89,3,0)*0.475*44/12</f>
        <v>#VALUE!</v>
      </c>
      <c r="AX98" s="21" t="e">
        <f t="shared" si="60"/>
        <v>#VALUE!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2.8</v>
      </c>
      <c r="N99" s="13">
        <f>IF('Données projet'!$A$36&gt;35,N98+M99-V98,IF(A99&lt;'Données projet'!$A$36,$K$205^A99,IF(A99='Données projet'!$A$36,'Données projet'!$B$36,N98+M99-V98)))</f>
        <v>216.80000000000004</v>
      </c>
      <c r="O99" s="13">
        <f>N99*VLOOKUP('Données projet'!$B$9,Paramètres!$A$1:$I$89,3,0)*VLOOKUP('Données projet'!$B$9,Paramètres!$A$1:$I$89,5,0)</f>
        <v>189.39648000000005</v>
      </c>
      <c r="P99" s="13">
        <f t="shared" si="87"/>
        <v>47.406498452084548</v>
      </c>
      <c r="Q99" s="20">
        <f t="shared" ref="Q99:Q130" si="107">(O99+P99)*0.475*44/12</f>
        <v>412.43185413738064</v>
      </c>
      <c r="R99" s="59">
        <f t="shared" si="55"/>
        <v>688.68090633376801</v>
      </c>
      <c r="S99" s="59">
        <f ca="1">AVERAGE(OFFSET($R$3,0,0,'Données projet'!$E$9+1,1))-AVERAGE(OFFSET($H$3,0,0,'Données projet'!$E$9+1,1))</f>
        <v>328.99319251806747</v>
      </c>
      <c r="T99" s="59">
        <f t="shared" si="88"/>
        <v>270.36198290276695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0.13485059720444958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1.4839301579894103E-9</v>
      </c>
      <c r="AC99" s="22">
        <f t="shared" si="57"/>
        <v>0.13485059868837973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5.6843418860808015E-14</v>
      </c>
      <c r="AJ99" s="13">
        <f>AI99*VLOOKUP('Données projet'!$B$10,Paramètres!$A$1:$I$89,3,0)*VLOOKUP('Données projet'!$B$10,Paramètres!$A$1:$I$89,5,0)</f>
        <v>3.3992364478763198E-14</v>
      </c>
      <c r="AK99" s="13">
        <f t="shared" si="89"/>
        <v>5.790027782444094E-13</v>
      </c>
      <c r="AL99" s="20">
        <f t="shared" si="58"/>
        <v>1.0676332069095257E-12</v>
      </c>
      <c r="AM99" s="59">
        <f t="shared" si="59"/>
        <v>276.2490521963885</v>
      </c>
      <c r="AN99" s="59">
        <f ca="1">AVERAGE(OFFSET($AM$3,0,0,'Données projet'!$E$10+1,1))-AVERAGE(OFFSET($H$3,0,0,'Données projet'!$E$10+1,1))</f>
        <v>274.23303062063621</v>
      </c>
      <c r="AO99" s="59">
        <f t="shared" si="90"/>
        <v>289.08677371938779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#VALUE!</v>
      </c>
      <c r="AV99" s="21" t="e">
        <f>EXP(-LN(2)/25)*AV98+(1-EXP(-LN(2)/25))/(LN(2)/25)*Calculateur!AQ99*Calculateur!AS99*VLOOKUP('Données projet'!$B$10,Paramètres!$A$1:$I$89,3,0)*0.475*44/12</f>
        <v>#VALUE!</v>
      </c>
      <c r="AW99" s="21" t="e">
        <f>EXP(-LN(2)/2)*AW98+(1-EXP(-LN(2)/2))/(LN(2)/2)*AQ99*AT99*VLOOKUP('Données projet'!$B$10,Paramètres!$A$1:$I$89,3,0)*0.475*44/12</f>
        <v>#VALUE!</v>
      </c>
      <c r="AX99" s="21" t="e">
        <f t="shared" si="60"/>
        <v>#VALUE!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2.8</v>
      </c>
      <c r="N100" s="13">
        <f>IF('Données projet'!$A$36&gt;35,N99+M100-V99,IF(A100&lt;'Données projet'!$A$36,$K$205^A100,IF(A100='Données projet'!$A$36,'Données projet'!$B$36,N99+M100-V99)))</f>
        <v>219.60000000000005</v>
      </c>
      <c r="O100" s="13">
        <f>N100*VLOOKUP('Données projet'!$B$9,Paramètres!$A$1:$I$89,3,0)*VLOOKUP('Données projet'!$B$9,Paramètres!$A$1:$I$89,5,0)</f>
        <v>191.84256000000008</v>
      </c>
      <c r="P100" s="13">
        <f t="shared" si="87"/>
        <v>47.947087613384845</v>
      </c>
      <c r="Q100" s="20">
        <f t="shared" si="107"/>
        <v>417.63363625997869</v>
      </c>
      <c r="R100" s="59">
        <f t="shared" si="55"/>
        <v>694.17906253936144</v>
      </c>
      <c r="S100" s="59">
        <f ca="1">AVERAGE(OFFSET($R$3,0,0,'Données projet'!$E$9+1,1))-AVERAGE(OFFSET($H$3,0,0,'Données projet'!$E$9+1,1))</f>
        <v>328.99319251806747</v>
      </c>
      <c r="T100" s="59">
        <f t="shared" si="88"/>
        <v>270.36198290276695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0.13220625924401302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1.0492970775215368E-9</v>
      </c>
      <c r="AC100" s="22">
        <f t="shared" si="57"/>
        <v>0.13220626029331009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5.6843418860808015E-14</v>
      </c>
      <c r="AJ100" s="13">
        <f>AI100*VLOOKUP('Données projet'!$B$10,Paramètres!$A$1:$I$89,3,0)*VLOOKUP('Données projet'!$B$10,Paramètres!$A$1:$I$89,5,0)</f>
        <v>3.3992364478763198E-14</v>
      </c>
      <c r="AK100" s="13">
        <f t="shared" si="89"/>
        <v>5.790027782444094E-13</v>
      </c>
      <c r="AL100" s="20">
        <f t="shared" si="58"/>
        <v>1.0676332069095257E-12</v>
      </c>
      <c r="AM100" s="59">
        <f t="shared" si="59"/>
        <v>276.54542627938389</v>
      </c>
      <c r="AN100" s="59">
        <f ca="1">AVERAGE(OFFSET($AM$3,0,0,'Données projet'!$E$10+1,1))-AVERAGE(OFFSET($H$3,0,0,'Données projet'!$E$10+1,1))</f>
        <v>274.23303062063621</v>
      </c>
      <c r="AO100" s="59">
        <f t="shared" si="90"/>
        <v>289.08677371938779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#VALUE!</v>
      </c>
      <c r="AV100" s="21" t="e">
        <f>EXP(-LN(2)/25)*AV99+(1-EXP(-LN(2)/25))/(LN(2)/25)*Calculateur!AQ100*Calculateur!AS100*VLOOKUP('Données projet'!$B$10,Paramètres!$A$1:$I$89,3,0)*0.475*44/12</f>
        <v>#VALUE!</v>
      </c>
      <c r="AW100" s="21" t="e">
        <f>EXP(-LN(2)/2)*AW99+(1-EXP(-LN(2)/2))/(LN(2)/2)*AQ100*AT100*VLOOKUP('Données projet'!$B$10,Paramètres!$A$1:$I$89,3,0)*0.475*44/12</f>
        <v>#VALUE!</v>
      </c>
      <c r="AX100" s="21" t="e">
        <f t="shared" si="60"/>
        <v>#VALUE!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2.8</v>
      </c>
      <c r="N101" s="13">
        <f>IF('Données projet'!$A$36&gt;35,N100+M101-V100,IF(A101&lt;'Données projet'!$A$36,$K$205^A101,IF(A101='Données projet'!$A$36,'Données projet'!$B$36,N100+M101-V100)))</f>
        <v>222.40000000000006</v>
      </c>
      <c r="O101" s="13">
        <f>N101*VLOOKUP('Données projet'!$B$9,Paramètres!$A$1:$I$89,3,0)*VLOOKUP('Données projet'!$B$9,Paramètres!$A$1:$I$89,5,0)</f>
        <v>194.2886400000001</v>
      </c>
      <c r="P101" s="13">
        <f t="shared" si="87"/>
        <v>48.486875029770822</v>
      </c>
      <c r="Q101" s="20">
        <f t="shared" si="107"/>
        <v>422.8340220101843</v>
      </c>
      <c r="R101" s="59">
        <f t="shared" si="55"/>
        <v>699.67068094481567</v>
      </c>
      <c r="S101" s="59">
        <f ca="1">AVERAGE(OFFSET($R$3,0,0,'Données projet'!$E$9+1,1))-AVERAGE(OFFSET($H$3,0,0,'Données projet'!$E$9+1,1))</f>
        <v>328.99319251806747</v>
      </c>
      <c r="T101" s="59">
        <f t="shared" si="88"/>
        <v>270.36198290276695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0.12961377513809375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7.4196507899470515E-10</v>
      </c>
      <c r="AC101" s="22">
        <f t="shared" si="57"/>
        <v>0.12961377588005882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5.6843418860808015E-14</v>
      </c>
      <c r="AJ101" s="13">
        <f>AI101*VLOOKUP('Données projet'!$B$10,Paramètres!$A$1:$I$89,3,0)*VLOOKUP('Données projet'!$B$10,Paramètres!$A$1:$I$89,5,0)</f>
        <v>3.3992364478763198E-14</v>
      </c>
      <c r="AK101" s="13">
        <f t="shared" si="89"/>
        <v>5.790027782444094E-13</v>
      </c>
      <c r="AL101" s="20">
        <f t="shared" si="58"/>
        <v>1.0676332069095257E-12</v>
      </c>
      <c r="AM101" s="59">
        <f t="shared" si="59"/>
        <v>276.83665893463245</v>
      </c>
      <c r="AN101" s="59">
        <f ca="1">AVERAGE(OFFSET($AM$3,0,0,'Données projet'!$E$10+1,1))-AVERAGE(OFFSET($H$3,0,0,'Données projet'!$E$10+1,1))</f>
        <v>274.23303062063621</v>
      </c>
      <c r="AO101" s="59">
        <f t="shared" si="90"/>
        <v>289.08677371938779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#VALUE!</v>
      </c>
      <c r="AV101" s="21" t="e">
        <f>EXP(-LN(2)/25)*AV100+(1-EXP(-LN(2)/25))/(LN(2)/25)*Calculateur!AQ101*Calculateur!AS101*VLOOKUP('Données projet'!$B$10,Paramètres!$A$1:$I$89,3,0)*0.475*44/12</f>
        <v>#VALUE!</v>
      </c>
      <c r="AW101" s="21" t="e">
        <f>EXP(-LN(2)/2)*AW100+(1-EXP(-LN(2)/2))/(LN(2)/2)*AQ101*AT101*VLOOKUP('Données projet'!$B$10,Paramètres!$A$1:$I$89,3,0)*0.475*44/12</f>
        <v>#VALUE!</v>
      </c>
      <c r="AX101" s="21" t="e">
        <f t="shared" si="60"/>
        <v>#VALUE!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2.8</v>
      </c>
      <c r="N102" s="13">
        <f>IF('Données projet'!$A$36&gt;35,N101+M102-V101,IF(A102&lt;'Données projet'!$A$36,$K$205^A102,IF(A102='Données projet'!$A$36,'Données projet'!$B$36,N101+M102-V101)))</f>
        <v>225.20000000000007</v>
      </c>
      <c r="O102" s="13">
        <f>N102*VLOOKUP('Données projet'!$B$9,Paramètres!$A$1:$I$89,3,0)*VLOOKUP('Données projet'!$B$9,Paramètres!$A$1:$I$89,5,0)</f>
        <v>196.7347200000001</v>
      </c>
      <c r="P102" s="13">
        <f t="shared" si="87"/>
        <v>49.025871962429896</v>
      </c>
      <c r="Q102" s="20">
        <f t="shared" si="107"/>
        <v>428.03303100123225</v>
      </c>
      <c r="R102" s="59">
        <f t="shared" si="55"/>
        <v>705.15587035564238</v>
      </c>
      <c r="S102" s="59">
        <f ca="1">AVERAGE(OFFSET($R$3,0,0,'Données projet'!$E$9+1,1))-AVERAGE(OFFSET($H$3,0,0,'Données projet'!$E$9+1,1))</f>
        <v>328.99319251806747</v>
      </c>
      <c r="T102" s="59">
        <f t="shared" si="88"/>
        <v>270.36198290276695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0.12707212806423238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5.2464853876076842E-10</v>
      </c>
      <c r="AC102" s="22">
        <f t="shared" si="57"/>
        <v>0.12707212858888092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5.6843418860808015E-14</v>
      </c>
      <c r="AJ102" s="13">
        <f>AI102*VLOOKUP('Données projet'!$B$10,Paramètres!$A$1:$I$89,3,0)*VLOOKUP('Données projet'!$B$10,Paramètres!$A$1:$I$89,5,0)</f>
        <v>3.3992364478763198E-14</v>
      </c>
      <c r="AK102" s="13">
        <f t="shared" si="89"/>
        <v>5.790027782444094E-13</v>
      </c>
      <c r="AL102" s="20">
        <f t="shared" si="58"/>
        <v>1.0676332069095257E-12</v>
      </c>
      <c r="AM102" s="59">
        <f t="shared" si="59"/>
        <v>277.12283935441121</v>
      </c>
      <c r="AN102" s="59">
        <f ca="1">AVERAGE(OFFSET($AM$3,0,0,'Données projet'!$E$10+1,1))-AVERAGE(OFFSET($H$3,0,0,'Données projet'!$E$10+1,1))</f>
        <v>274.23303062063621</v>
      </c>
      <c r="AO102" s="59">
        <f t="shared" si="90"/>
        <v>289.08677371938779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#VALUE!</v>
      </c>
      <c r="AV102" s="21" t="e">
        <f>EXP(-LN(2)/25)*AV101+(1-EXP(-LN(2)/25))/(LN(2)/25)*Calculateur!AQ102*Calculateur!AS102*VLOOKUP('Données projet'!$B$10,Paramètres!$A$1:$I$89,3,0)*0.475*44/12</f>
        <v>#VALUE!</v>
      </c>
      <c r="AW102" s="21" t="e">
        <f>EXP(-LN(2)/2)*AW101+(1-EXP(-LN(2)/2))/(LN(2)/2)*AQ102*AT102*VLOOKUP('Données projet'!$B$10,Paramètres!$A$1:$I$89,3,0)*0.475*44/12</f>
        <v>#VALUE!</v>
      </c>
      <c r="AX102" s="21" t="e">
        <f t="shared" si="60"/>
        <v>#VALUE!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228</v>
      </c>
      <c r="L103" s="12">
        <f>VLOOKUP(A103,'Données projet'!$A$35:$I$55,9,0)</f>
        <v>2.8</v>
      </c>
      <c r="M103" s="12">
        <f t="array" ref="M103">INDEX(L:L,MIN(IF(ISNUMBER(L103:L299),ROW(L103:L299),"")))</f>
        <v>2.8</v>
      </c>
      <c r="N103" s="13">
        <f>IF('Données projet'!$A$36&gt;35,N102+M103-V102,IF(A103&lt;'Données projet'!$A$36,$K$205^A103,IF(A103='Données projet'!$A$36,'Données projet'!$B$36,N102+M103-V102)))</f>
        <v>228.00000000000009</v>
      </c>
      <c r="O103" s="13">
        <f>N103*VLOOKUP('Données projet'!$B$9,Paramètres!$A$1:$I$89,3,0)*VLOOKUP('Données projet'!$B$9,Paramètres!$A$1:$I$89,5,0)</f>
        <v>199.18080000000012</v>
      </c>
      <c r="P103" s="13">
        <f t="shared" si="87"/>
        <v>49.564089376413726</v>
      </c>
      <c r="Q103" s="20">
        <f t="shared" si="107"/>
        <v>433.2306823305874</v>
      </c>
      <c r="R103" s="59">
        <f t="shared" si="55"/>
        <v>710.6347375142966</v>
      </c>
      <c r="S103" s="59">
        <f ca="1">AVERAGE(OFFSET($R$3,0,0,'Données projet'!$E$9+1,1))-AVERAGE(OFFSET($H$3,0,0,'Données projet'!$E$9+1,1))</f>
        <v>328.99319251806747</v>
      </c>
      <c r="T103" s="59">
        <f t="shared" si="88"/>
        <v>270.36198290276695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228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0.12458032113923778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3.7098253949735257E-10</v>
      </c>
      <c r="AC103" s="22">
        <f t="shared" si="57"/>
        <v>0.12458032151022032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5.6843418860808015E-14</v>
      </c>
      <c r="AJ103" s="13">
        <f>AI103*VLOOKUP('Données projet'!$B$10,Paramètres!$A$1:$I$89,3,0)*VLOOKUP('Données projet'!$B$10,Paramètres!$A$1:$I$89,5,0)</f>
        <v>3.3992364478763198E-14</v>
      </c>
      <c r="AK103" s="13">
        <f t="shared" si="89"/>
        <v>5.790027782444094E-13</v>
      </c>
      <c r="AL103" s="20">
        <f t="shared" si="58"/>
        <v>1.0676332069095257E-12</v>
      </c>
      <c r="AM103" s="59">
        <f t="shared" si="59"/>
        <v>277.40405518371028</v>
      </c>
      <c r="AN103" s="59">
        <f ca="1">AVERAGE(OFFSET($AM$3,0,0,'Données projet'!$E$10+1,1))-AVERAGE(OFFSET($H$3,0,0,'Données projet'!$E$10+1,1))</f>
        <v>274.23303062063621</v>
      </c>
      <c r="AO103" s="59">
        <f t="shared" si="90"/>
        <v>289.08677371938779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#VALUE!</v>
      </c>
      <c r="AV103" s="21" t="e">
        <f>EXP(-LN(2)/25)*AV102+(1-EXP(-LN(2)/25))/(LN(2)/25)*Calculateur!AQ103*Calculateur!AS103*VLOOKUP('Données projet'!$B$10,Paramètres!$A$1:$I$89,3,0)*0.475*44/12</f>
        <v>#VALUE!</v>
      </c>
      <c r="AW103" s="21" t="e">
        <f>EXP(-LN(2)/2)*AW102+(1-EXP(-LN(2)/2))/(LN(2)/2)*AQ103*AT103*VLOOKUP('Données projet'!$B$10,Paramètres!$A$1:$I$89,3,0)*0.475*44/12</f>
        <v>#VALUE!</v>
      </c>
      <c r="AX103" s="21" t="e">
        <f t="shared" si="60"/>
        <v>#VALUE!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8.5265128291212022E-14</v>
      </c>
      <c r="O104" s="13">
        <f>N104*VLOOKUP('Données projet'!$B$9,Paramètres!$A$1:$I$89,3,0)*VLOOKUP('Données projet'!$B$9,Paramètres!$A$1:$I$89,5,0)</f>
        <v>7.4487616075202836E-14</v>
      </c>
      <c r="P104" s="13">
        <f t="shared" si="87"/>
        <v>1.1580453144473142E-12</v>
      </c>
      <c r="Q104" s="20">
        <f t="shared" si="107"/>
        <v>2.1466615206600508E-12</v>
      </c>
      <c r="R104" s="59">
        <f t="shared" si="55"/>
        <v>277.68039254707656</v>
      </c>
      <c r="S104" s="59">
        <f ca="1">AVERAGE(OFFSET($R$3,0,0,'Données projet'!$E$9+1,1))-AVERAGE(OFFSET($H$3,0,0,'Données projet'!$E$9+1,1))</f>
        <v>328.99319251806747</v>
      </c>
      <c r="T104" s="59">
        <f t="shared" si="88"/>
        <v>270.36198290276695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0.12213737702819018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2.6232426938038421E-10</v>
      </c>
      <c r="AC104" s="22">
        <f t="shared" si="57"/>
        <v>0.12213737729051445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5.6843418860808015E-14</v>
      </c>
      <c r="AJ104" s="13">
        <f>AI104*VLOOKUP('Données projet'!$B$10,Paramètres!$A$1:$I$89,3,0)*VLOOKUP('Données projet'!$B$10,Paramètres!$A$1:$I$89,5,0)</f>
        <v>3.3992364478763198E-14</v>
      </c>
      <c r="AK104" s="13">
        <f t="shared" si="89"/>
        <v>5.790027782444094E-13</v>
      </c>
      <c r="AL104" s="20">
        <f t="shared" si="58"/>
        <v>1.0676332069095257E-12</v>
      </c>
      <c r="AM104" s="59">
        <f t="shared" si="59"/>
        <v>277.68039254707548</v>
      </c>
      <c r="AN104" s="59">
        <f ca="1">AVERAGE(OFFSET($AM$3,0,0,'Données projet'!$E$10+1,1))-AVERAGE(OFFSET($H$3,0,0,'Données projet'!$E$10+1,1))</f>
        <v>274.23303062063621</v>
      </c>
      <c r="AO104" s="59">
        <f t="shared" si="90"/>
        <v>289.08677371938779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#VALUE!</v>
      </c>
      <c r="AV104" s="21" t="e">
        <f>EXP(-LN(2)/25)*AV103+(1-EXP(-LN(2)/25))/(LN(2)/25)*Calculateur!AQ104*Calculateur!AS104*VLOOKUP('Données projet'!$B$10,Paramètres!$A$1:$I$89,3,0)*0.475*44/12</f>
        <v>#VALUE!</v>
      </c>
      <c r="AW104" s="21" t="e">
        <f>EXP(-LN(2)/2)*AW103+(1-EXP(-LN(2)/2))/(LN(2)/2)*AQ104*AT104*VLOOKUP('Données projet'!$B$10,Paramètres!$A$1:$I$89,3,0)*0.475*44/12</f>
        <v>#VALUE!</v>
      </c>
      <c r="AX104" s="21" t="e">
        <f t="shared" si="60"/>
        <v>#VALUE!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8.5265128291212022E-14</v>
      </c>
      <c r="O105" s="13">
        <f>N105*VLOOKUP('Données projet'!$B$9,Paramètres!$A$1:$I$89,3,0)*VLOOKUP('Données projet'!$B$9,Paramètres!$A$1:$I$89,5,0)</f>
        <v>7.4487616075202836E-14</v>
      </c>
      <c r="P105" s="13">
        <f t="shared" si="87"/>
        <v>1.1580453144473142E-12</v>
      </c>
      <c r="Q105" s="20">
        <f t="shared" si="107"/>
        <v>2.1466615206600508E-12</v>
      </c>
      <c r="R105" s="59">
        <f t="shared" si="55"/>
        <v>277.9519360749851</v>
      </c>
      <c r="S105" s="59">
        <f ca="1">AVERAGE(OFFSET($R$3,0,0,'Données projet'!$E$9+1,1))-AVERAGE(OFFSET($H$3,0,0,'Données projet'!$E$9+1,1))</f>
        <v>328.99319251806747</v>
      </c>
      <c r="T105" s="59">
        <f t="shared" si="88"/>
        <v>270.36198290276695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0.11974233756111144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1.8549126974867629E-10</v>
      </c>
      <c r="AC105" s="22">
        <f t="shared" si="57"/>
        <v>0.11974233774660271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5.6843418860808015E-14</v>
      </c>
      <c r="AJ105" s="13">
        <f>AI105*VLOOKUP('Données projet'!$B$10,Paramètres!$A$1:$I$89,3,0)*VLOOKUP('Données projet'!$B$10,Paramètres!$A$1:$I$89,5,0)</f>
        <v>3.3992364478763198E-14</v>
      </c>
      <c r="AK105" s="13">
        <f t="shared" si="89"/>
        <v>5.790027782444094E-13</v>
      </c>
      <c r="AL105" s="20">
        <f t="shared" si="58"/>
        <v>1.0676332069095257E-12</v>
      </c>
      <c r="AM105" s="59">
        <f t="shared" si="59"/>
        <v>277.95193607498402</v>
      </c>
      <c r="AN105" s="59">
        <f ca="1">AVERAGE(OFFSET($AM$3,0,0,'Données projet'!$E$10+1,1))-AVERAGE(OFFSET($H$3,0,0,'Données projet'!$E$10+1,1))</f>
        <v>274.23303062063621</v>
      </c>
      <c r="AO105" s="59">
        <f t="shared" si="90"/>
        <v>289.08677371938779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#VALUE!</v>
      </c>
      <c r="AV105" s="21" t="e">
        <f>EXP(-LN(2)/25)*AV104+(1-EXP(-LN(2)/25))/(LN(2)/25)*Calculateur!AQ105*Calculateur!AS105*VLOOKUP('Données projet'!$B$10,Paramètres!$A$1:$I$89,3,0)*0.475*44/12</f>
        <v>#VALUE!</v>
      </c>
      <c r="AW105" s="21" t="e">
        <f>EXP(-LN(2)/2)*AW104+(1-EXP(-LN(2)/2))/(LN(2)/2)*AQ105*AT105*VLOOKUP('Données projet'!$B$10,Paramètres!$A$1:$I$89,3,0)*0.475*44/12</f>
        <v>#VALUE!</v>
      </c>
      <c r="AX105" s="21" t="e">
        <f t="shared" si="60"/>
        <v>#VALUE!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8.5265128291212022E-14</v>
      </c>
      <c r="O106" s="13">
        <f>N106*VLOOKUP('Données projet'!$B$9,Paramètres!$A$1:$I$89,3,0)*VLOOKUP('Données projet'!$B$9,Paramètres!$A$1:$I$89,5,0)</f>
        <v>7.4487616075202836E-14</v>
      </c>
      <c r="P106" s="13">
        <f t="shared" si="87"/>
        <v>1.1580453144473142E-12</v>
      </c>
      <c r="Q106" s="20">
        <f t="shared" si="107"/>
        <v>2.1466615206600508E-12</v>
      </c>
      <c r="R106" s="59">
        <f t="shared" si="55"/>
        <v>278.21876892976485</v>
      </c>
      <c r="S106" s="59">
        <f ca="1">AVERAGE(OFFSET($R$3,0,0,'Données projet'!$E$9+1,1))-AVERAGE(OFFSET($H$3,0,0,'Données projet'!$E$9+1,1))</f>
        <v>328.99319251806747</v>
      </c>
      <c r="T106" s="59">
        <f t="shared" si="88"/>
        <v>270.36198290276695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0.11739426335715229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1.311621346901921E-10</v>
      </c>
      <c r="AC106" s="22">
        <f t="shared" si="57"/>
        <v>0.11739426348831443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5.6843418860808015E-14</v>
      </c>
      <c r="AJ106" s="13">
        <f>AI106*VLOOKUP('Données projet'!$B$10,Paramètres!$A$1:$I$89,3,0)*VLOOKUP('Données projet'!$B$10,Paramètres!$A$1:$I$89,5,0)</f>
        <v>3.3992364478763198E-14</v>
      </c>
      <c r="AK106" s="13">
        <f t="shared" si="89"/>
        <v>5.790027782444094E-13</v>
      </c>
      <c r="AL106" s="20">
        <f t="shared" si="58"/>
        <v>1.0676332069095257E-12</v>
      </c>
      <c r="AM106" s="59">
        <f t="shared" si="59"/>
        <v>278.21876892976377</v>
      </c>
      <c r="AN106" s="59">
        <f ca="1">AVERAGE(OFFSET($AM$3,0,0,'Données projet'!$E$10+1,1))-AVERAGE(OFFSET($H$3,0,0,'Données projet'!$E$10+1,1))</f>
        <v>274.23303062063621</v>
      </c>
      <c r="AO106" s="59">
        <f t="shared" si="90"/>
        <v>289.08677371938779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#VALUE!</v>
      </c>
      <c r="AV106" s="21" t="e">
        <f>EXP(-LN(2)/25)*AV105+(1-EXP(-LN(2)/25))/(LN(2)/25)*Calculateur!AQ106*Calculateur!AS106*VLOOKUP('Données projet'!$B$10,Paramètres!$A$1:$I$89,3,0)*0.475*44/12</f>
        <v>#VALUE!</v>
      </c>
      <c r="AW106" s="21" t="e">
        <f>EXP(-LN(2)/2)*AW105+(1-EXP(-LN(2)/2))/(LN(2)/2)*AQ106*AT106*VLOOKUP('Données projet'!$B$10,Paramètres!$A$1:$I$89,3,0)*0.475*44/12</f>
        <v>#VALUE!</v>
      </c>
      <c r="AX106" s="21" t="e">
        <f t="shared" si="60"/>
        <v>#VALUE!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8.5265128291212022E-14</v>
      </c>
      <c r="O107" s="13">
        <f>N107*VLOOKUP('Données projet'!$B$9,Paramètres!$A$1:$I$89,3,0)*VLOOKUP('Données projet'!$B$9,Paramètres!$A$1:$I$89,5,0)</f>
        <v>7.4487616075202836E-14</v>
      </c>
      <c r="P107" s="13">
        <f t="shared" si="87"/>
        <v>1.1580453144473142E-12</v>
      </c>
      <c r="Q107" s="20">
        <f t="shared" si="107"/>
        <v>2.1466615206600508E-12</v>
      </c>
      <c r="R107" s="59">
        <f t="shared" si="55"/>
        <v>278.48097283106307</v>
      </c>
      <c r="S107" s="59">
        <f ca="1">AVERAGE(OFFSET($R$3,0,0,'Données projet'!$E$9+1,1))-AVERAGE(OFFSET($H$3,0,0,'Données projet'!$E$9+1,1))</f>
        <v>328.99319251806747</v>
      </c>
      <c r="T107" s="59">
        <f t="shared" si="88"/>
        <v>270.36198290276695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0.11509223345614893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9.2745634874338143E-11</v>
      </c>
      <c r="AC107" s="22">
        <f t="shared" si="57"/>
        <v>0.11509223354889456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5.6843418860808015E-14</v>
      </c>
      <c r="AJ107" s="13">
        <f>AI107*VLOOKUP('Données projet'!$B$10,Paramètres!$A$1:$I$89,3,0)*VLOOKUP('Données projet'!$B$10,Paramètres!$A$1:$I$89,5,0)</f>
        <v>3.3992364478763198E-14</v>
      </c>
      <c r="AK107" s="13">
        <f t="shared" si="89"/>
        <v>5.790027782444094E-13</v>
      </c>
      <c r="AL107" s="20">
        <f t="shared" si="58"/>
        <v>1.0676332069095257E-12</v>
      </c>
      <c r="AM107" s="59">
        <f t="shared" si="59"/>
        <v>278.48097283106199</v>
      </c>
      <c r="AN107" s="59">
        <f ca="1">AVERAGE(OFFSET($AM$3,0,0,'Données projet'!$E$10+1,1))-AVERAGE(OFFSET($H$3,0,0,'Données projet'!$E$10+1,1))</f>
        <v>274.23303062063621</v>
      </c>
      <c r="AO107" s="59">
        <f t="shared" si="90"/>
        <v>289.08677371938779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#VALUE!</v>
      </c>
      <c r="AV107" s="21" t="e">
        <f>EXP(-LN(2)/25)*AV106+(1-EXP(-LN(2)/25))/(LN(2)/25)*Calculateur!AQ107*Calculateur!AS107*VLOOKUP('Données projet'!$B$10,Paramètres!$A$1:$I$89,3,0)*0.475*44/12</f>
        <v>#VALUE!</v>
      </c>
      <c r="AW107" s="21" t="e">
        <f>EXP(-LN(2)/2)*AW106+(1-EXP(-LN(2)/2))/(LN(2)/2)*AQ107*AT107*VLOOKUP('Données projet'!$B$10,Paramètres!$A$1:$I$89,3,0)*0.475*44/12</f>
        <v>#VALUE!</v>
      </c>
      <c r="AX107" s="21" t="e">
        <f t="shared" si="60"/>
        <v>#VALUE!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8.5265128291212022E-14</v>
      </c>
      <c r="O108" s="13">
        <f>N108*VLOOKUP('Données projet'!$B$9,Paramètres!$A$1:$I$89,3,0)*VLOOKUP('Données projet'!$B$9,Paramètres!$A$1:$I$89,5,0)</f>
        <v>7.4487616075202836E-14</v>
      </c>
      <c r="P108" s="13">
        <f t="shared" si="87"/>
        <v>1.1580453144473142E-12</v>
      </c>
      <c r="Q108" s="20">
        <f t="shared" si="107"/>
        <v>2.1466615206600508E-12</v>
      </c>
      <c r="R108" s="59">
        <f t="shared" si="55"/>
        <v>278.73862808087392</v>
      </c>
      <c r="S108" s="59">
        <f ca="1">AVERAGE(OFFSET($R$3,0,0,'Données projet'!$E$9+1,1))-AVERAGE(OFFSET($H$3,0,0,'Données projet'!$E$9+1,1))</f>
        <v>328.99319251806747</v>
      </c>
      <c r="T108" s="59">
        <f t="shared" si="88"/>
        <v>270.36198290276695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0.11283534495740465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6.5581067345096052E-11</v>
      </c>
      <c r="AC108" s="22">
        <f t="shared" si="57"/>
        <v>0.11283534502298571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5.6843418860808015E-14</v>
      </c>
      <c r="AJ108" s="13">
        <f>AI108*VLOOKUP('Données projet'!$B$10,Paramètres!$A$1:$I$89,3,0)*VLOOKUP('Données projet'!$B$10,Paramètres!$A$1:$I$89,5,0)</f>
        <v>3.3992364478763198E-14</v>
      </c>
      <c r="AK108" s="13">
        <f t="shared" si="89"/>
        <v>5.790027782444094E-13</v>
      </c>
      <c r="AL108" s="20">
        <f t="shared" si="58"/>
        <v>1.0676332069095257E-12</v>
      </c>
      <c r="AM108" s="59">
        <f t="shared" si="59"/>
        <v>278.73862808087284</v>
      </c>
      <c r="AN108" s="59">
        <f ca="1">AVERAGE(OFFSET($AM$3,0,0,'Données projet'!$E$10+1,1))-AVERAGE(OFFSET($H$3,0,0,'Données projet'!$E$10+1,1))</f>
        <v>274.23303062063621</v>
      </c>
      <c r="AO108" s="59">
        <f t="shared" si="90"/>
        <v>289.08677371938779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#VALUE!</v>
      </c>
      <c r="AV108" s="21" t="e">
        <f>EXP(-LN(2)/25)*AV107+(1-EXP(-LN(2)/25))/(LN(2)/25)*Calculateur!AQ108*Calculateur!AS108*VLOOKUP('Données projet'!$B$10,Paramètres!$A$1:$I$89,3,0)*0.475*44/12</f>
        <v>#VALUE!</v>
      </c>
      <c r="AW108" s="21" t="e">
        <f>EXP(-LN(2)/2)*AW107+(1-EXP(-LN(2)/2))/(LN(2)/2)*AQ108*AT108*VLOOKUP('Données projet'!$B$10,Paramètres!$A$1:$I$89,3,0)*0.475*44/12</f>
        <v>#VALUE!</v>
      </c>
      <c r="AX108" s="21" t="e">
        <f t="shared" si="60"/>
        <v>#VALUE!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8.5265128291212022E-14</v>
      </c>
      <c r="O109" s="13">
        <f>N109*VLOOKUP('Données projet'!$B$9,Paramètres!$A$1:$I$89,3,0)*VLOOKUP('Données projet'!$B$9,Paramètres!$A$1:$I$89,5,0)</f>
        <v>7.4487616075202836E-14</v>
      </c>
      <c r="P109" s="13">
        <f t="shared" si="87"/>
        <v>1.1580453144473142E-12</v>
      </c>
      <c r="Q109" s="20">
        <f t="shared" si="107"/>
        <v>2.1466615206600508E-12</v>
      </c>
      <c r="R109" s="59">
        <f t="shared" si="55"/>
        <v>278.99181358813127</v>
      </c>
      <c r="S109" s="59">
        <f ca="1">AVERAGE(OFFSET($R$3,0,0,'Données projet'!$E$9+1,1))-AVERAGE(OFFSET($H$3,0,0,'Données projet'!$E$9+1,1))</f>
        <v>328.99319251806747</v>
      </c>
      <c r="T109" s="59">
        <f t="shared" si="88"/>
        <v>270.36198290276695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0.11062271266555468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4.6372817437169072E-11</v>
      </c>
      <c r="AC109" s="22">
        <f t="shared" si="57"/>
        <v>0.1106227127119275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5.6843418860808015E-14</v>
      </c>
      <c r="AJ109" s="13">
        <f>AI109*VLOOKUP('Données projet'!$B$10,Paramètres!$A$1:$I$89,3,0)*VLOOKUP('Données projet'!$B$10,Paramètres!$A$1:$I$89,5,0)</f>
        <v>3.3992364478763198E-14</v>
      </c>
      <c r="AK109" s="13">
        <f t="shared" si="89"/>
        <v>5.790027782444094E-13</v>
      </c>
      <c r="AL109" s="20">
        <f t="shared" si="58"/>
        <v>1.0676332069095257E-12</v>
      </c>
      <c r="AM109" s="59">
        <f t="shared" si="59"/>
        <v>278.99181358813019</v>
      </c>
      <c r="AN109" s="59">
        <f ca="1">AVERAGE(OFFSET($AM$3,0,0,'Données projet'!$E$10+1,1))-AVERAGE(OFFSET($H$3,0,0,'Données projet'!$E$10+1,1))</f>
        <v>274.23303062063621</v>
      </c>
      <c r="AO109" s="59">
        <f t="shared" si="90"/>
        <v>289.08677371938779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#VALUE!</v>
      </c>
      <c r="AV109" s="21" t="e">
        <f>EXP(-LN(2)/25)*AV108+(1-EXP(-LN(2)/25))/(LN(2)/25)*Calculateur!AQ109*Calculateur!AS109*VLOOKUP('Données projet'!$B$10,Paramètres!$A$1:$I$89,3,0)*0.475*44/12</f>
        <v>#VALUE!</v>
      </c>
      <c r="AW109" s="21" t="e">
        <f>EXP(-LN(2)/2)*AW108+(1-EXP(-LN(2)/2))/(LN(2)/2)*AQ109*AT109*VLOOKUP('Données projet'!$B$10,Paramètres!$A$1:$I$89,3,0)*0.475*44/12</f>
        <v>#VALUE!</v>
      </c>
      <c r="AX109" s="21" t="e">
        <f t="shared" si="60"/>
        <v>#VALUE!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8.5265128291212022E-14</v>
      </c>
      <c r="O110" s="13">
        <f>N110*VLOOKUP('Données projet'!$B$9,Paramètres!$A$1:$I$89,3,0)*VLOOKUP('Données projet'!$B$9,Paramètres!$A$1:$I$89,5,0)</f>
        <v>7.4487616075202836E-14</v>
      </c>
      <c r="P110" s="13">
        <f t="shared" si="87"/>
        <v>1.1580453144473142E-12</v>
      </c>
      <c r="Q110" s="20">
        <f t="shared" si="107"/>
        <v>2.1466615206600508E-12</v>
      </c>
      <c r="R110" s="59">
        <f t="shared" si="55"/>
        <v>279.2406068928758</v>
      </c>
      <c r="S110" s="59">
        <f ca="1">AVERAGE(OFFSET($R$3,0,0,'Données projet'!$E$9+1,1))-AVERAGE(OFFSET($H$3,0,0,'Données projet'!$E$9+1,1))</f>
        <v>328.99319251806747</v>
      </c>
      <c r="T110" s="59">
        <f t="shared" si="88"/>
        <v>270.36198290276695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0.10845346874337546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3.2790533672548026E-11</v>
      </c>
      <c r="AC110" s="22">
        <f t="shared" si="57"/>
        <v>0.10845346877616599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3.3992364478763198E-14</v>
      </c>
      <c r="AK110" s="13">
        <f t="shared" si="89"/>
        <v>5.790027782444094E-13</v>
      </c>
      <c r="AL110" s="20">
        <f t="shared" si="58"/>
        <v>1.0676332069095257E-12</v>
      </c>
      <c r="AM110" s="59">
        <f t="shared" si="59"/>
        <v>279.24060689287472</v>
      </c>
      <c r="AN110" s="59">
        <f ca="1">AVERAGE(OFFSET($AM$3,0,0,'Données projet'!$E$10+1,1))-AVERAGE(OFFSET($H$3,0,0,'Données projet'!$E$10+1,1))</f>
        <v>274.23303062063621</v>
      </c>
      <c r="AO110" s="59">
        <f t="shared" si="90"/>
        <v>289.08677371938779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#VALUE!</v>
      </c>
      <c r="AV110" s="21" t="e">
        <f>EXP(-LN(2)/25)*AV109+(1-EXP(-LN(2)/25))/(LN(2)/25)*Calculateur!AQ110*Calculateur!AS110*VLOOKUP('Données projet'!$B$10,Paramètres!$A$1:$I$89,3,0)*0.475*44/12</f>
        <v>#VALUE!</v>
      </c>
      <c r="AW110" s="21" t="e">
        <f>EXP(-LN(2)/2)*AW109+(1-EXP(-LN(2)/2))/(LN(2)/2)*AQ110*AT110*VLOOKUP('Données projet'!$B$10,Paramètres!$A$1:$I$89,3,0)*0.475*44/12</f>
        <v>#VALUE!</v>
      </c>
      <c r="AX110" s="21" t="e">
        <f t="shared" si="60"/>
        <v>#VALUE!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8.5265128291212022E-14</v>
      </c>
      <c r="O111" s="13">
        <f>N111*VLOOKUP('Données projet'!$B$9,Paramètres!$A$1:$I$89,3,0)*VLOOKUP('Données projet'!$B$9,Paramètres!$A$1:$I$89,5,0)</f>
        <v>7.4487616075202836E-14</v>
      </c>
      <c r="P111" s="13">
        <f t="shared" si="87"/>
        <v>1.1580453144473142E-12</v>
      </c>
      <c r="Q111" s="20">
        <f t="shared" si="107"/>
        <v>2.1466615206600508E-12</v>
      </c>
      <c r="R111" s="59">
        <f t="shared" si="55"/>
        <v>279.48508419000149</v>
      </c>
      <c r="S111" s="59">
        <f ca="1">AVERAGE(OFFSET($R$3,0,0,'Données projet'!$E$9+1,1))-AVERAGE(OFFSET($H$3,0,0,'Données projet'!$E$9+1,1))</f>
        <v>328.99319251806747</v>
      </c>
      <c r="T111" s="59">
        <f t="shared" si="88"/>
        <v>270.36198290276695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0.10632676237140201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2.3186408718584536E-11</v>
      </c>
      <c r="AC111" s="22">
        <f t="shared" si="57"/>
        <v>0.10632676239458842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3.3992364478763198E-14</v>
      </c>
      <c r="AK111" s="13">
        <f t="shared" si="89"/>
        <v>5.790027782444094E-13</v>
      </c>
      <c r="AL111" s="20">
        <f t="shared" si="58"/>
        <v>1.0676332069095257E-12</v>
      </c>
      <c r="AM111" s="59">
        <f t="shared" si="59"/>
        <v>279.48508419000041</v>
      </c>
      <c r="AN111" s="59">
        <f ca="1">AVERAGE(OFFSET($AM$3,0,0,'Données projet'!$E$10+1,1))-AVERAGE(OFFSET($H$3,0,0,'Données projet'!$E$10+1,1))</f>
        <v>274.23303062063621</v>
      </c>
      <c r="AO111" s="59">
        <f t="shared" si="90"/>
        <v>289.08677371938779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#VALUE!</v>
      </c>
      <c r="AV111" s="21" t="e">
        <f>EXP(-LN(2)/25)*AV110+(1-EXP(-LN(2)/25))/(LN(2)/25)*Calculateur!AQ111*Calculateur!AS111*VLOOKUP('Données projet'!$B$10,Paramètres!$A$1:$I$89,3,0)*0.475*44/12</f>
        <v>#VALUE!</v>
      </c>
      <c r="AW111" s="21" t="e">
        <f>EXP(-LN(2)/2)*AW110+(1-EXP(-LN(2)/2))/(LN(2)/2)*AQ111*AT111*VLOOKUP('Données projet'!$B$10,Paramètres!$A$1:$I$89,3,0)*0.475*44/12</f>
        <v>#VALUE!</v>
      </c>
      <c r="AX111" s="21" t="e">
        <f t="shared" si="60"/>
        <v>#VALUE!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8.5265128291212022E-14</v>
      </c>
      <c r="O112" s="13">
        <f>N112*VLOOKUP('Données projet'!$B$9,Paramètres!$A$1:$I$89,3,0)*VLOOKUP('Données projet'!$B$9,Paramètres!$A$1:$I$89,5,0)</f>
        <v>7.4487616075202836E-14</v>
      </c>
      <c r="P112" s="13">
        <f t="shared" si="87"/>
        <v>1.1580453144473142E-12</v>
      </c>
      <c r="Q112" s="20">
        <f t="shared" si="107"/>
        <v>2.1466615206600508E-12</v>
      </c>
      <c r="R112" s="59">
        <f t="shared" si="55"/>
        <v>279.72532035259144</v>
      </c>
      <c r="S112" s="59">
        <f ca="1">AVERAGE(OFFSET($R$3,0,0,'Données projet'!$E$9+1,1))-AVERAGE(OFFSET($H$3,0,0,'Données projet'!$E$9+1,1))</f>
        <v>328.99319251806747</v>
      </c>
      <c r="T112" s="59">
        <f t="shared" si="88"/>
        <v>270.36198290276695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0.10424175941422018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1.6395266836274013E-11</v>
      </c>
      <c r="AC112" s="22">
        <f t="shared" si="57"/>
        <v>0.10424175943061544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3.3992364478763198E-14</v>
      </c>
      <c r="AK112" s="13">
        <f t="shared" si="89"/>
        <v>5.790027782444094E-13</v>
      </c>
      <c r="AL112" s="20">
        <f t="shared" si="58"/>
        <v>1.0676332069095257E-12</v>
      </c>
      <c r="AM112" s="59">
        <f t="shared" si="59"/>
        <v>279.72532035259036</v>
      </c>
      <c r="AN112" s="59">
        <f ca="1">AVERAGE(OFFSET($AM$3,0,0,'Données projet'!$E$10+1,1))-AVERAGE(OFFSET($H$3,0,0,'Données projet'!$E$10+1,1))</f>
        <v>274.23303062063621</v>
      </c>
      <c r="AO112" s="59">
        <f t="shared" si="90"/>
        <v>289.08677371938779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#VALUE!</v>
      </c>
      <c r="AV112" s="21" t="e">
        <f>EXP(-LN(2)/25)*AV111+(1-EXP(-LN(2)/25))/(LN(2)/25)*Calculateur!AQ112*Calculateur!AS112*VLOOKUP('Données projet'!$B$10,Paramètres!$A$1:$I$89,3,0)*0.475*44/12</f>
        <v>#VALUE!</v>
      </c>
      <c r="AW112" s="21" t="e">
        <f>EXP(-LN(2)/2)*AW111+(1-EXP(-LN(2)/2))/(LN(2)/2)*AQ112*AT112*VLOOKUP('Données projet'!$B$10,Paramètres!$A$1:$I$89,3,0)*0.475*44/12</f>
        <v>#VALUE!</v>
      </c>
      <c r="AX112" s="21" t="e">
        <f t="shared" si="60"/>
        <v>#VALUE!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8.5265128291212022E-14</v>
      </c>
      <c r="O113" s="13">
        <f>N113*VLOOKUP('Données projet'!$B$9,Paramètres!$A$1:$I$89,3,0)*VLOOKUP('Données projet'!$B$9,Paramètres!$A$1:$I$89,5,0)</f>
        <v>7.4487616075202836E-14</v>
      </c>
      <c r="P113" s="13">
        <f t="shared" si="87"/>
        <v>1.1580453144473142E-12</v>
      </c>
      <c r="Q113" s="20">
        <f t="shared" si="107"/>
        <v>2.1466615206600508E-12</v>
      </c>
      <c r="R113" s="59">
        <f t="shared" si="55"/>
        <v>279.96138895484802</v>
      </c>
      <c r="S113" s="59">
        <f ca="1">AVERAGE(OFFSET($R$3,0,0,'Données projet'!$E$9+1,1))-AVERAGE(OFFSET($H$3,0,0,'Données projet'!$E$9+1,1))</f>
        <v>328.99319251806747</v>
      </c>
      <c r="T113" s="59">
        <f t="shared" si="88"/>
        <v>270.36198290276695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0.10219764209330244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1.1593204359292268E-11</v>
      </c>
      <c r="AC113" s="22">
        <f t="shared" si="57"/>
        <v>0.10219764210489564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3.3992364478763198E-14</v>
      </c>
      <c r="AK113" s="13">
        <f t="shared" si="89"/>
        <v>5.790027782444094E-13</v>
      </c>
      <c r="AL113" s="20">
        <f t="shared" si="58"/>
        <v>1.0676332069095257E-12</v>
      </c>
      <c r="AM113" s="59">
        <f t="shared" si="59"/>
        <v>279.96138895484694</v>
      </c>
      <c r="AN113" s="59">
        <f ca="1">AVERAGE(OFFSET($AM$3,0,0,'Données projet'!$E$10+1,1))-AVERAGE(OFFSET($H$3,0,0,'Données projet'!$E$10+1,1))</f>
        <v>274.23303062063621</v>
      </c>
      <c r="AO113" s="59">
        <f t="shared" si="90"/>
        <v>289.08677371938779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#VALUE!</v>
      </c>
      <c r="AV113" s="21" t="e">
        <f>EXP(-LN(2)/25)*AV112+(1-EXP(-LN(2)/25))/(LN(2)/25)*Calculateur!AQ113*Calculateur!AS113*VLOOKUP('Données projet'!$B$10,Paramètres!$A$1:$I$89,3,0)*0.475*44/12</f>
        <v>#VALUE!</v>
      </c>
      <c r="AW113" s="21" t="e">
        <f>EXP(-LN(2)/2)*AW112+(1-EXP(-LN(2)/2))/(LN(2)/2)*AQ113*AT113*VLOOKUP('Données projet'!$B$10,Paramètres!$A$1:$I$89,3,0)*0.475*44/12</f>
        <v>#VALUE!</v>
      </c>
      <c r="AX113" s="21" t="e">
        <f t="shared" si="60"/>
        <v>#VALUE!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8.5265128291212022E-14</v>
      </c>
      <c r="O114" s="13">
        <f>N114*VLOOKUP('Données projet'!$B$9,Paramètres!$A$1:$I$89,3,0)*VLOOKUP('Données projet'!$B$9,Paramètres!$A$1:$I$89,5,0)</f>
        <v>7.4487616075202836E-14</v>
      </c>
      <c r="P114" s="13">
        <f t="shared" si="87"/>
        <v>1.1580453144473142E-12</v>
      </c>
      <c r="Q114" s="20">
        <f t="shared" si="107"/>
        <v>2.1466615206600508E-12</v>
      </c>
      <c r="R114" s="59">
        <f t="shared" si="55"/>
        <v>280.19336229462573</v>
      </c>
      <c r="S114" s="59">
        <f ca="1">AVERAGE(OFFSET($R$3,0,0,'Données projet'!$E$9+1,1))-AVERAGE(OFFSET($H$3,0,0,'Données projet'!$E$9+1,1))</f>
        <v>328.99319251806747</v>
      </c>
      <c r="T114" s="59">
        <f t="shared" si="88"/>
        <v>270.36198290276695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0.10019360866625944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8.1976334181370065E-12</v>
      </c>
      <c r="AC114" s="22">
        <f t="shared" si="57"/>
        <v>0.10019360867445708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3.3992364478763198E-14</v>
      </c>
      <c r="AK114" s="13">
        <f t="shared" si="89"/>
        <v>5.790027782444094E-13</v>
      </c>
      <c r="AL114" s="20">
        <f t="shared" si="58"/>
        <v>1.0676332069095257E-12</v>
      </c>
      <c r="AM114" s="59">
        <f t="shared" si="59"/>
        <v>280.19336229462465</v>
      </c>
      <c r="AN114" s="59">
        <f ca="1">AVERAGE(OFFSET($AM$3,0,0,'Données projet'!$E$10+1,1))-AVERAGE(OFFSET($H$3,0,0,'Données projet'!$E$10+1,1))</f>
        <v>274.23303062063621</v>
      </c>
      <c r="AO114" s="59">
        <f t="shared" si="90"/>
        <v>289.08677371938779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#VALUE!</v>
      </c>
      <c r="AV114" s="21" t="e">
        <f>EXP(-LN(2)/25)*AV113+(1-EXP(-LN(2)/25))/(LN(2)/25)*Calculateur!AQ114*Calculateur!AS114*VLOOKUP('Données projet'!$B$10,Paramètres!$A$1:$I$89,3,0)*0.475*44/12</f>
        <v>#VALUE!</v>
      </c>
      <c r="AW114" s="21" t="e">
        <f>EXP(-LN(2)/2)*AW113+(1-EXP(-LN(2)/2))/(LN(2)/2)*AQ114*AT114*VLOOKUP('Données projet'!$B$10,Paramètres!$A$1:$I$89,3,0)*0.475*44/12</f>
        <v>#VALUE!</v>
      </c>
      <c r="AX114" s="21" t="e">
        <f t="shared" si="60"/>
        <v>#VALUE!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8.5265128291212022E-14</v>
      </c>
      <c r="O115" s="13">
        <f>N115*VLOOKUP('Données projet'!$B$9,Paramètres!$A$1:$I$89,3,0)*VLOOKUP('Données projet'!$B$9,Paramètres!$A$1:$I$89,5,0)</f>
        <v>7.4487616075202836E-14</v>
      </c>
      <c r="P115" s="13">
        <f t="shared" si="87"/>
        <v>1.1580453144473142E-12</v>
      </c>
      <c r="Q115" s="20">
        <f t="shared" si="107"/>
        <v>2.1466615206600508E-12</v>
      </c>
      <c r="R115" s="59">
        <f t="shared" si="55"/>
        <v>280.42131141557303</v>
      </c>
      <c r="S115" s="59">
        <f ca="1">AVERAGE(OFFSET($R$3,0,0,'Données projet'!$E$9+1,1))-AVERAGE(OFFSET($H$3,0,0,'Données projet'!$E$9+1,1))</f>
        <v>328.99319251806747</v>
      </c>
      <c r="T115" s="59">
        <f t="shared" si="88"/>
        <v>270.36198290276695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9.8228873112381057E-2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5.796602179646134E-12</v>
      </c>
      <c r="AC115" s="22">
        <f t="shared" si="57"/>
        <v>9.8228873118177656E-2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3.3992364478763198E-14</v>
      </c>
      <c r="AK115" s="13">
        <f t="shared" si="89"/>
        <v>5.790027782444094E-13</v>
      </c>
      <c r="AL115" s="20">
        <f t="shared" si="58"/>
        <v>1.0676332069095257E-12</v>
      </c>
      <c r="AM115" s="59">
        <f t="shared" si="59"/>
        <v>280.42131141557195</v>
      </c>
      <c r="AN115" s="59">
        <f ca="1">AVERAGE(OFFSET($AM$3,0,0,'Données projet'!$E$10+1,1))-AVERAGE(OFFSET($H$3,0,0,'Données projet'!$E$10+1,1))</f>
        <v>274.23303062063621</v>
      </c>
      <c r="AO115" s="59">
        <f t="shared" si="90"/>
        <v>289.08677371938779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#VALUE!</v>
      </c>
      <c r="AV115" s="21" t="e">
        <f>EXP(-LN(2)/25)*AV114+(1-EXP(-LN(2)/25))/(LN(2)/25)*Calculateur!AQ115*Calculateur!AS115*VLOOKUP('Données projet'!$B$10,Paramètres!$A$1:$I$89,3,0)*0.475*44/12</f>
        <v>#VALUE!</v>
      </c>
      <c r="AW115" s="21" t="e">
        <f>EXP(-LN(2)/2)*AW114+(1-EXP(-LN(2)/2))/(LN(2)/2)*AQ115*AT115*VLOOKUP('Données projet'!$B$10,Paramètres!$A$1:$I$89,3,0)*0.475*44/12</f>
        <v>#VALUE!</v>
      </c>
      <c r="AX115" s="21" t="e">
        <f t="shared" si="60"/>
        <v>#VALUE!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8.5265128291212022E-14</v>
      </c>
      <c r="O116" s="13">
        <f>N116*VLOOKUP('Données projet'!$B$9,Paramètres!$A$1:$I$89,3,0)*VLOOKUP('Données projet'!$B$9,Paramètres!$A$1:$I$89,5,0)</f>
        <v>7.4487616075202836E-14</v>
      </c>
      <c r="P116" s="13">
        <f t="shared" si="87"/>
        <v>1.1580453144473142E-12</v>
      </c>
      <c r="Q116" s="20">
        <f t="shared" si="107"/>
        <v>2.1466615206600508E-12</v>
      </c>
      <c r="R116" s="59">
        <f t="shared" si="55"/>
        <v>280.64530612888979</v>
      </c>
      <c r="S116" s="59">
        <f ca="1">AVERAGE(OFFSET($R$3,0,0,'Données projet'!$E$9+1,1))-AVERAGE(OFFSET($H$3,0,0,'Données projet'!$E$9+1,1))</f>
        <v>328.99319251806747</v>
      </c>
      <c r="T116" s="59">
        <f t="shared" si="88"/>
        <v>270.36198290276695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9.6302664824343881E-2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4.0988167090685032E-12</v>
      </c>
      <c r="AC116" s="22">
        <f t="shared" si="57"/>
        <v>9.6302664828442699E-2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3.3992364478763198E-14</v>
      </c>
      <c r="AK116" s="13">
        <f t="shared" si="89"/>
        <v>5.790027782444094E-13</v>
      </c>
      <c r="AL116" s="20">
        <f t="shared" si="58"/>
        <v>1.0676332069095257E-12</v>
      </c>
      <c r="AM116" s="59">
        <f t="shared" si="59"/>
        <v>280.64530612888871</v>
      </c>
      <c r="AN116" s="59">
        <f ca="1">AVERAGE(OFFSET($AM$3,0,0,'Données projet'!$E$10+1,1))-AVERAGE(OFFSET($H$3,0,0,'Données projet'!$E$10+1,1))</f>
        <v>274.23303062063621</v>
      </c>
      <c r="AO116" s="59">
        <f t="shared" si="90"/>
        <v>289.08677371938779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#VALUE!</v>
      </c>
      <c r="AV116" s="21" t="e">
        <f>EXP(-LN(2)/25)*AV115+(1-EXP(-LN(2)/25))/(LN(2)/25)*Calculateur!AQ116*Calculateur!AS116*VLOOKUP('Données projet'!$B$10,Paramètres!$A$1:$I$89,3,0)*0.475*44/12</f>
        <v>#VALUE!</v>
      </c>
      <c r="AW116" s="21" t="e">
        <f>EXP(-LN(2)/2)*AW115+(1-EXP(-LN(2)/2))/(LN(2)/2)*AQ116*AT116*VLOOKUP('Données projet'!$B$10,Paramètres!$A$1:$I$89,3,0)*0.475*44/12</f>
        <v>#VALUE!</v>
      </c>
      <c r="AX116" s="21" t="e">
        <f t="shared" si="60"/>
        <v>#VALUE!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8.5265128291212022E-14</v>
      </c>
      <c r="O117" s="13">
        <f>N117*VLOOKUP('Données projet'!$B$9,Paramètres!$A$1:$I$89,3,0)*VLOOKUP('Données projet'!$B$9,Paramètres!$A$1:$I$89,5,0)</f>
        <v>7.4487616075202836E-14</v>
      </c>
      <c r="P117" s="13">
        <f t="shared" si="87"/>
        <v>1.1580453144473142E-12</v>
      </c>
      <c r="Q117" s="20">
        <f t="shared" si="107"/>
        <v>2.1466615206600508E-12</v>
      </c>
      <c r="R117" s="59">
        <f t="shared" si="55"/>
        <v>280.86541503470761</v>
      </c>
      <c r="S117" s="59">
        <f ca="1">AVERAGE(OFFSET($R$3,0,0,'Données projet'!$E$9+1,1))-AVERAGE(OFFSET($H$3,0,0,'Données projet'!$E$9+1,1))</f>
        <v>328.99319251806747</v>
      </c>
      <c r="T117" s="59">
        <f t="shared" si="88"/>
        <v>270.36198290276695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9.4414228305964062E-2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2.898301089823067E-12</v>
      </c>
      <c r="AC117" s="22">
        <f t="shared" si="57"/>
        <v>9.4414228308862369E-2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3.3992364478763198E-14</v>
      </c>
      <c r="AK117" s="13">
        <f t="shared" si="89"/>
        <v>5.790027782444094E-13</v>
      </c>
      <c r="AL117" s="20">
        <f t="shared" si="58"/>
        <v>1.0676332069095257E-12</v>
      </c>
      <c r="AM117" s="59">
        <f t="shared" si="59"/>
        <v>280.86541503470653</v>
      </c>
      <c r="AN117" s="59">
        <f ca="1">AVERAGE(OFFSET($AM$3,0,0,'Données projet'!$E$10+1,1))-AVERAGE(OFFSET($H$3,0,0,'Données projet'!$E$10+1,1))</f>
        <v>274.23303062063621</v>
      </c>
      <c r="AO117" s="59">
        <f t="shared" si="90"/>
        <v>289.08677371938779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#VALUE!</v>
      </c>
      <c r="AV117" s="21" t="e">
        <f>EXP(-LN(2)/25)*AV116+(1-EXP(-LN(2)/25))/(LN(2)/25)*Calculateur!AQ117*Calculateur!AS117*VLOOKUP('Données projet'!$B$10,Paramètres!$A$1:$I$89,3,0)*0.475*44/12</f>
        <v>#VALUE!</v>
      </c>
      <c r="AW117" s="21" t="e">
        <f>EXP(-LN(2)/2)*AW116+(1-EXP(-LN(2)/2))/(LN(2)/2)*AQ117*AT117*VLOOKUP('Données projet'!$B$10,Paramètres!$A$1:$I$89,3,0)*0.475*44/12</f>
        <v>#VALUE!</v>
      </c>
      <c r="AX117" s="21" t="e">
        <f t="shared" si="60"/>
        <v>#VALUE!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8.5265128291212022E-14</v>
      </c>
      <c r="O118" s="13">
        <f>N118*VLOOKUP('Données projet'!$B$9,Paramètres!$A$1:$I$89,3,0)*VLOOKUP('Données projet'!$B$9,Paramètres!$A$1:$I$89,5,0)</f>
        <v>7.4487616075202836E-14</v>
      </c>
      <c r="P118" s="13">
        <f t="shared" si="87"/>
        <v>1.1580453144473142E-12</v>
      </c>
      <c r="Q118" s="20">
        <f t="shared" si="107"/>
        <v>2.1466615206600508E-12</v>
      </c>
      <c r="R118" s="59">
        <f t="shared" si="55"/>
        <v>281.08170554309942</v>
      </c>
      <c r="S118" s="59">
        <f ca="1">AVERAGE(OFFSET($R$3,0,0,'Données projet'!$E$9+1,1))-AVERAGE(OFFSET($H$3,0,0,'Données projet'!$E$9+1,1))</f>
        <v>328.99319251806747</v>
      </c>
      <c r="T118" s="59">
        <f t="shared" si="88"/>
        <v>270.36198290276695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9.2562822875877124E-2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2.0494083545342516E-12</v>
      </c>
      <c r="AC118" s="22">
        <f t="shared" si="57"/>
        <v>9.2562822877926526E-2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3.3992364478763198E-14</v>
      </c>
      <c r="AK118" s="13">
        <f t="shared" si="89"/>
        <v>5.790027782444094E-13</v>
      </c>
      <c r="AL118" s="20">
        <f t="shared" si="58"/>
        <v>1.0676332069095257E-12</v>
      </c>
      <c r="AM118" s="59">
        <f t="shared" si="59"/>
        <v>281.08170554309834</v>
      </c>
      <c r="AN118" s="59">
        <f ca="1">AVERAGE(OFFSET($AM$3,0,0,'Données projet'!$E$10+1,1))-AVERAGE(OFFSET($H$3,0,0,'Données projet'!$E$10+1,1))</f>
        <v>274.23303062063621</v>
      </c>
      <c r="AO118" s="59">
        <f t="shared" si="90"/>
        <v>289.08677371938779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#VALUE!</v>
      </c>
      <c r="AV118" s="21" t="e">
        <f>EXP(-LN(2)/25)*AV117+(1-EXP(-LN(2)/25))/(LN(2)/25)*Calculateur!AQ118*Calculateur!AS118*VLOOKUP('Données projet'!$B$10,Paramètres!$A$1:$I$89,3,0)*0.475*44/12</f>
        <v>#VALUE!</v>
      </c>
      <c r="AW118" s="21" t="e">
        <f>EXP(-LN(2)/2)*AW117+(1-EXP(-LN(2)/2))/(LN(2)/2)*AQ118*AT118*VLOOKUP('Données projet'!$B$10,Paramètres!$A$1:$I$89,3,0)*0.475*44/12</f>
        <v>#VALUE!</v>
      </c>
      <c r="AX118" s="21" t="e">
        <f t="shared" si="60"/>
        <v>#VALUE!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8.5265128291212022E-14</v>
      </c>
      <c r="O119" s="13">
        <f>N119*VLOOKUP('Données projet'!$B$9,Paramètres!$A$1:$I$89,3,0)*VLOOKUP('Données projet'!$B$9,Paramètres!$A$1:$I$89,5,0)</f>
        <v>7.4487616075202836E-14</v>
      </c>
      <c r="P119" s="13">
        <f t="shared" si="87"/>
        <v>1.1580453144473142E-12</v>
      </c>
      <c r="Q119" s="20">
        <f t="shared" si="107"/>
        <v>2.1466615206600508E-12</v>
      </c>
      <c r="R119" s="59">
        <f t="shared" si="55"/>
        <v>281.29424389472365</v>
      </c>
      <c r="S119" s="59">
        <f ca="1">AVERAGE(OFFSET($R$3,0,0,'Données projet'!$E$9+1,1))-AVERAGE(OFFSET($H$3,0,0,'Données projet'!$E$9+1,1))</f>
        <v>328.99319251806747</v>
      </c>
      <c r="T119" s="59">
        <f t="shared" si="88"/>
        <v>270.36198290276695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9.0747722377028384E-2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1.4491505449115335E-12</v>
      </c>
      <c r="AC119" s="22">
        <f t="shared" si="57"/>
        <v>9.074772237847753E-2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3.3992364478763198E-14</v>
      </c>
      <c r="AK119" s="13">
        <f t="shared" si="89"/>
        <v>5.790027782444094E-13</v>
      </c>
      <c r="AL119" s="20">
        <f t="shared" si="58"/>
        <v>1.0676332069095257E-12</v>
      </c>
      <c r="AM119" s="59">
        <f t="shared" si="59"/>
        <v>281.29424389472257</v>
      </c>
      <c r="AN119" s="59">
        <f ca="1">AVERAGE(OFFSET($AM$3,0,0,'Données projet'!$E$10+1,1))-AVERAGE(OFFSET($H$3,0,0,'Données projet'!$E$10+1,1))</f>
        <v>274.23303062063621</v>
      </c>
      <c r="AO119" s="59">
        <f t="shared" si="90"/>
        <v>289.08677371938779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#VALUE!</v>
      </c>
      <c r="AV119" s="21" t="e">
        <f>EXP(-LN(2)/25)*AV118+(1-EXP(-LN(2)/25))/(LN(2)/25)*Calculateur!AQ119*Calculateur!AS119*VLOOKUP('Données projet'!$B$10,Paramètres!$A$1:$I$89,3,0)*0.475*44/12</f>
        <v>#VALUE!</v>
      </c>
      <c r="AW119" s="21" t="e">
        <f>EXP(-LN(2)/2)*AW118+(1-EXP(-LN(2)/2))/(LN(2)/2)*AQ119*AT119*VLOOKUP('Données projet'!$B$10,Paramètres!$A$1:$I$89,3,0)*0.475*44/12</f>
        <v>#VALUE!</v>
      </c>
      <c r="AX119" s="21" t="e">
        <f t="shared" si="60"/>
        <v>#VALUE!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8.5265128291212022E-14</v>
      </c>
      <c r="O120" s="13">
        <f>N120*VLOOKUP('Données projet'!$B$9,Paramètres!$A$1:$I$89,3,0)*VLOOKUP('Données projet'!$B$9,Paramètres!$A$1:$I$89,5,0)</f>
        <v>7.4487616075202836E-14</v>
      </c>
      <c r="P120" s="13">
        <f t="shared" si="87"/>
        <v>1.1580453144473142E-12</v>
      </c>
      <c r="Q120" s="20">
        <f t="shared" si="107"/>
        <v>2.1466615206600508E-12</v>
      </c>
      <c r="R120" s="59">
        <f t="shared" si="55"/>
        <v>281.5030951811118</v>
      </c>
      <c r="S120" s="59">
        <f ca="1">AVERAGE(OFFSET($R$3,0,0,'Données projet'!$E$9+1,1))-AVERAGE(OFFSET($H$3,0,0,'Données projet'!$E$9+1,1))</f>
        <v>328.99319251806747</v>
      </c>
      <c r="T120" s="59">
        <f t="shared" si="88"/>
        <v>270.36198290276695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8.896821489186009E-2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1.0247041772671258E-12</v>
      </c>
      <c r="AC120" s="22">
        <f t="shared" si="57"/>
        <v>8.8968214892884798E-2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3.3992364478763198E-14</v>
      </c>
      <c r="AK120" s="13">
        <f t="shared" si="89"/>
        <v>5.790027782444094E-13</v>
      </c>
      <c r="AL120" s="20">
        <f t="shared" si="58"/>
        <v>1.0676332069095257E-12</v>
      </c>
      <c r="AM120" s="59">
        <f t="shared" si="59"/>
        <v>281.50309518111072</v>
      </c>
      <c r="AN120" s="59">
        <f ca="1">AVERAGE(OFFSET($AM$3,0,0,'Données projet'!$E$10+1,1))-AVERAGE(OFFSET($H$3,0,0,'Données projet'!$E$10+1,1))</f>
        <v>274.23303062063621</v>
      </c>
      <c r="AO120" s="59">
        <f t="shared" si="90"/>
        <v>289.08677371938779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#VALUE!</v>
      </c>
      <c r="AV120" s="21" t="e">
        <f>EXP(-LN(2)/25)*AV119+(1-EXP(-LN(2)/25))/(LN(2)/25)*Calculateur!AQ120*Calculateur!AS120*VLOOKUP('Données projet'!$B$10,Paramètres!$A$1:$I$89,3,0)*0.475*44/12</f>
        <v>#VALUE!</v>
      </c>
      <c r="AW120" s="21" t="e">
        <f>EXP(-LN(2)/2)*AW119+(1-EXP(-LN(2)/2))/(LN(2)/2)*AQ120*AT120*VLOOKUP('Données projet'!$B$10,Paramètres!$A$1:$I$89,3,0)*0.475*44/12</f>
        <v>#VALUE!</v>
      </c>
      <c r="AX120" s="21" t="e">
        <f t="shared" si="60"/>
        <v>#VALUE!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8.5265128291212022E-14</v>
      </c>
      <c r="O121" s="13">
        <f>N121*VLOOKUP('Données projet'!$B$9,Paramètres!$A$1:$I$89,3,0)*VLOOKUP('Données projet'!$B$9,Paramètres!$A$1:$I$89,5,0)</f>
        <v>7.4487616075202836E-14</v>
      </c>
      <c r="P121" s="13">
        <f t="shared" si="87"/>
        <v>1.1580453144473142E-12</v>
      </c>
      <c r="Q121" s="20">
        <f t="shared" si="107"/>
        <v>2.1466615206600508E-12</v>
      </c>
      <c r="R121" s="59">
        <f t="shared" si="55"/>
        <v>281.70832336460256</v>
      </c>
      <c r="S121" s="59">
        <f ca="1">AVERAGE(OFFSET($R$3,0,0,'Données projet'!$E$9+1,1))-AVERAGE(OFFSET($H$3,0,0,'Données projet'!$E$9+1,1))</f>
        <v>328.99319251806747</v>
      </c>
      <c r="T121" s="59">
        <f t="shared" si="88"/>
        <v>270.36198290276695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8.7223602463083555E-2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7.2457527245576674E-13</v>
      </c>
      <c r="AC121" s="22">
        <f t="shared" si="57"/>
        <v>8.7223602463808128E-2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3.3992364478763198E-14</v>
      </c>
      <c r="AK121" s="13">
        <f t="shared" si="89"/>
        <v>5.790027782444094E-13</v>
      </c>
      <c r="AL121" s="20">
        <f t="shared" si="58"/>
        <v>1.0676332069095257E-12</v>
      </c>
      <c r="AM121" s="59">
        <f t="shared" si="59"/>
        <v>281.70832336460148</v>
      </c>
      <c r="AN121" s="59">
        <f ca="1">AVERAGE(OFFSET($AM$3,0,0,'Données projet'!$E$10+1,1))-AVERAGE(OFFSET($H$3,0,0,'Données projet'!$E$10+1,1))</f>
        <v>274.23303062063621</v>
      </c>
      <c r="AO121" s="59">
        <f t="shared" si="90"/>
        <v>289.08677371938779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#VALUE!</v>
      </c>
      <c r="AV121" s="21" t="e">
        <f>EXP(-LN(2)/25)*AV120+(1-EXP(-LN(2)/25))/(LN(2)/25)*Calculateur!AQ121*Calculateur!AS121*VLOOKUP('Données projet'!$B$10,Paramètres!$A$1:$I$89,3,0)*0.475*44/12</f>
        <v>#VALUE!</v>
      </c>
      <c r="AW121" s="21" t="e">
        <f>EXP(-LN(2)/2)*AW120+(1-EXP(-LN(2)/2))/(LN(2)/2)*AQ121*AT121*VLOOKUP('Données projet'!$B$10,Paramètres!$A$1:$I$89,3,0)*0.475*44/12</f>
        <v>#VALUE!</v>
      </c>
      <c r="AX121" s="21" t="e">
        <f t="shared" si="60"/>
        <v>#VALUE!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8.5265128291212022E-14</v>
      </c>
      <c r="O122" s="13">
        <f>N122*VLOOKUP('Données projet'!$B$9,Paramètres!$A$1:$I$89,3,0)*VLOOKUP('Données projet'!$B$9,Paramètres!$A$1:$I$89,5,0)</f>
        <v>7.4487616075202836E-14</v>
      </c>
      <c r="P122" s="13">
        <f t="shared" si="87"/>
        <v>1.1580453144473142E-12</v>
      </c>
      <c r="Q122" s="20">
        <f t="shared" si="107"/>
        <v>2.1466615206600508E-12</v>
      </c>
      <c r="R122" s="59">
        <f t="shared" si="55"/>
        <v>281.9099912979313</v>
      </c>
      <c r="S122" s="59">
        <f ca="1">AVERAGE(OFFSET($R$3,0,0,'Données projet'!$E$9+1,1))-AVERAGE(OFFSET($H$3,0,0,'Données projet'!$E$9+1,1))</f>
        <v>328.99319251806747</v>
      </c>
      <c r="T122" s="59">
        <f t="shared" si="88"/>
        <v>270.36198290276695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8.5513200819926818E-2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5.1235208863356291E-13</v>
      </c>
      <c r="AC122" s="22">
        <f t="shared" si="57"/>
        <v>8.5513200820439172E-2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3.3992364478763198E-14</v>
      </c>
      <c r="AK122" s="13">
        <f t="shared" si="89"/>
        <v>5.790027782444094E-13</v>
      </c>
      <c r="AL122" s="20">
        <f t="shared" si="58"/>
        <v>1.0676332069095257E-12</v>
      </c>
      <c r="AM122" s="59">
        <f t="shared" si="59"/>
        <v>281.90999129793022</v>
      </c>
      <c r="AN122" s="59">
        <f ca="1">AVERAGE(OFFSET($AM$3,0,0,'Données projet'!$E$10+1,1))-AVERAGE(OFFSET($H$3,0,0,'Données projet'!$E$10+1,1))</f>
        <v>274.23303062063621</v>
      </c>
      <c r="AO122" s="59">
        <f t="shared" si="90"/>
        <v>289.08677371938779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#VALUE!</v>
      </c>
      <c r="AV122" s="21" t="e">
        <f>EXP(-LN(2)/25)*AV121+(1-EXP(-LN(2)/25))/(LN(2)/25)*Calculateur!AQ122*Calculateur!AS122*VLOOKUP('Données projet'!$B$10,Paramètres!$A$1:$I$89,3,0)*0.475*44/12</f>
        <v>#VALUE!</v>
      </c>
      <c r="AW122" s="21" t="e">
        <f>EXP(-LN(2)/2)*AW121+(1-EXP(-LN(2)/2))/(LN(2)/2)*AQ122*AT122*VLOOKUP('Données projet'!$B$10,Paramètres!$A$1:$I$89,3,0)*0.475*44/12</f>
        <v>#VALUE!</v>
      </c>
      <c r="AX122" s="21" t="e">
        <f t="shared" si="60"/>
        <v>#VALUE!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8.5265128291212022E-14</v>
      </c>
      <c r="O123" s="13">
        <f>N123*VLOOKUP('Données projet'!$B$9,Paramètres!$A$1:$I$89,3,0)*VLOOKUP('Données projet'!$B$9,Paramètres!$A$1:$I$89,5,0)</f>
        <v>7.4487616075202836E-14</v>
      </c>
      <c r="P123" s="13">
        <f t="shared" si="87"/>
        <v>1.1580453144473142E-12</v>
      </c>
      <c r="Q123" s="20">
        <f t="shared" si="107"/>
        <v>2.1466615206600508E-12</v>
      </c>
      <c r="R123" s="59">
        <f t="shared" si="55"/>
        <v>282.10816074347878</v>
      </c>
      <c r="S123" s="59">
        <f ca="1">AVERAGE(OFFSET($R$3,0,0,'Données projet'!$E$9+1,1))-AVERAGE(OFFSET($H$3,0,0,'Données projet'!$E$9+1,1))</f>
        <v>328.99319251806747</v>
      </c>
      <c r="T123" s="59">
        <f t="shared" si="88"/>
        <v>270.36198290276695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8.3836339109750385E-2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3.6228763622788337E-13</v>
      </c>
      <c r="AC123" s="22">
        <f t="shared" si="57"/>
        <v>8.3836339110112679E-2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3.3992364478763198E-14</v>
      </c>
      <c r="AK123" s="13">
        <f t="shared" si="89"/>
        <v>5.790027782444094E-13</v>
      </c>
      <c r="AL123" s="20">
        <f t="shared" si="58"/>
        <v>1.0676332069095257E-12</v>
      </c>
      <c r="AM123" s="59">
        <f t="shared" si="59"/>
        <v>282.1081607434777</v>
      </c>
      <c r="AN123" s="59">
        <f ca="1">AVERAGE(OFFSET($AM$3,0,0,'Données projet'!$E$10+1,1))-AVERAGE(OFFSET($H$3,0,0,'Données projet'!$E$10+1,1))</f>
        <v>274.23303062063621</v>
      </c>
      <c r="AO123" s="59">
        <f t="shared" si="90"/>
        <v>289.08677371938779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#VALUE!</v>
      </c>
      <c r="AV123" s="21" t="e">
        <f>EXP(-LN(2)/25)*AV122+(1-EXP(-LN(2)/25))/(LN(2)/25)*Calculateur!AQ123*Calculateur!AS123*VLOOKUP('Données projet'!$B$10,Paramètres!$A$1:$I$89,3,0)*0.475*44/12</f>
        <v>#VALUE!</v>
      </c>
      <c r="AW123" s="21" t="e">
        <f>EXP(-LN(2)/2)*AW122+(1-EXP(-LN(2)/2))/(LN(2)/2)*AQ123*AT123*VLOOKUP('Données projet'!$B$10,Paramètres!$A$1:$I$89,3,0)*0.475*44/12</f>
        <v>#VALUE!</v>
      </c>
      <c r="AX123" s="21" t="e">
        <f t="shared" si="60"/>
        <v>#VALUE!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8.5265128291212022E-14</v>
      </c>
      <c r="O124" s="13">
        <f>N124*VLOOKUP('Données projet'!$B$9,Paramètres!$A$1:$I$89,3,0)*VLOOKUP('Données projet'!$B$9,Paramètres!$A$1:$I$89,5,0)</f>
        <v>7.4487616075202836E-14</v>
      </c>
      <c r="P124" s="13">
        <f t="shared" si="87"/>
        <v>1.1580453144473142E-12</v>
      </c>
      <c r="Q124" s="20">
        <f t="shared" si="107"/>
        <v>2.1466615206600508E-12</v>
      </c>
      <c r="R124" s="59">
        <f t="shared" si="55"/>
        <v>282.30289239218655</v>
      </c>
      <c r="S124" s="59">
        <f ca="1">AVERAGE(OFFSET($R$3,0,0,'Données projet'!$E$9+1,1))-AVERAGE(OFFSET($H$3,0,0,'Données projet'!$E$9+1,1))</f>
        <v>328.99319251806747</v>
      </c>
      <c r="T124" s="59">
        <f t="shared" si="88"/>
        <v>270.36198290276695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8.2192359634925868E-2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2.5617604431678145E-13</v>
      </c>
      <c r="AC124" s="22">
        <f t="shared" si="57"/>
        <v>8.2192359635182038E-2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3.3992364478763198E-14</v>
      </c>
      <c r="AK124" s="13">
        <f t="shared" si="89"/>
        <v>5.790027782444094E-13</v>
      </c>
      <c r="AL124" s="20">
        <f t="shared" si="58"/>
        <v>1.0676332069095257E-12</v>
      </c>
      <c r="AM124" s="59">
        <f t="shared" si="59"/>
        <v>282.30289239218547</v>
      </c>
      <c r="AN124" s="59">
        <f ca="1">AVERAGE(OFFSET($AM$3,0,0,'Données projet'!$E$10+1,1))-AVERAGE(OFFSET($H$3,0,0,'Données projet'!$E$10+1,1))</f>
        <v>274.23303062063621</v>
      </c>
      <c r="AO124" s="59">
        <f t="shared" si="90"/>
        <v>289.08677371938779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#VALUE!</v>
      </c>
      <c r="AV124" s="21" t="e">
        <f>EXP(-LN(2)/25)*AV123+(1-EXP(-LN(2)/25))/(LN(2)/25)*Calculateur!AQ124*Calculateur!AS124*VLOOKUP('Données projet'!$B$10,Paramètres!$A$1:$I$89,3,0)*0.475*44/12</f>
        <v>#VALUE!</v>
      </c>
      <c r="AW124" s="21" t="e">
        <f>EXP(-LN(2)/2)*AW123+(1-EXP(-LN(2)/2))/(LN(2)/2)*AQ124*AT124*VLOOKUP('Données projet'!$B$10,Paramètres!$A$1:$I$89,3,0)*0.475*44/12</f>
        <v>#VALUE!</v>
      </c>
      <c r="AX124" s="21" t="e">
        <f t="shared" si="60"/>
        <v>#VALUE!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8.5265128291212022E-14</v>
      </c>
      <c r="O125" s="13">
        <f>N125*VLOOKUP('Données projet'!$B$9,Paramètres!$A$1:$I$89,3,0)*VLOOKUP('Données projet'!$B$9,Paramètres!$A$1:$I$89,5,0)</f>
        <v>7.4487616075202836E-14</v>
      </c>
      <c r="P125" s="13">
        <f t="shared" si="87"/>
        <v>1.1580453144473142E-12</v>
      </c>
      <c r="Q125" s="20">
        <f t="shared" si="107"/>
        <v>2.1466615206600508E-12</v>
      </c>
      <c r="R125" s="59">
        <f t="shared" si="55"/>
        <v>282.49424588214396</v>
      </c>
      <c r="S125" s="59">
        <f ca="1">AVERAGE(OFFSET($R$3,0,0,'Données projet'!$E$9+1,1))-AVERAGE(OFFSET($H$3,0,0,'Données projet'!$E$9+1,1))</f>
        <v>328.99319251806747</v>
      </c>
      <c r="T125" s="59">
        <f t="shared" si="88"/>
        <v>270.36198290276695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8.0580617594874185E-2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1.8114381811394169E-13</v>
      </c>
      <c r="AC125" s="22">
        <f t="shared" si="57"/>
        <v>8.0580617595055332E-2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3.3992364478763198E-14</v>
      </c>
      <c r="AK125" s="13">
        <f t="shared" si="89"/>
        <v>5.790027782444094E-13</v>
      </c>
      <c r="AL125" s="20">
        <f t="shared" si="58"/>
        <v>1.0676332069095257E-12</v>
      </c>
      <c r="AM125" s="59">
        <f t="shared" si="59"/>
        <v>282.49424588214288</v>
      </c>
      <c r="AN125" s="59">
        <f ca="1">AVERAGE(OFFSET($AM$3,0,0,'Données projet'!$E$10+1,1))-AVERAGE(OFFSET($H$3,0,0,'Données projet'!$E$10+1,1))</f>
        <v>274.23303062063621</v>
      </c>
      <c r="AO125" s="59">
        <f t="shared" si="90"/>
        <v>289.08677371938779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#VALUE!</v>
      </c>
      <c r="AV125" s="21" t="e">
        <f>EXP(-LN(2)/25)*AV124+(1-EXP(-LN(2)/25))/(LN(2)/25)*Calculateur!AQ125*Calculateur!AS125*VLOOKUP('Données projet'!$B$10,Paramètres!$A$1:$I$89,3,0)*0.475*44/12</f>
        <v>#VALUE!</v>
      </c>
      <c r="AW125" s="21" t="e">
        <f>EXP(-LN(2)/2)*AW124+(1-EXP(-LN(2)/2))/(LN(2)/2)*AQ125*AT125*VLOOKUP('Données projet'!$B$10,Paramètres!$A$1:$I$89,3,0)*0.475*44/12</f>
        <v>#VALUE!</v>
      </c>
      <c r="AX125" s="21" t="e">
        <f t="shared" si="60"/>
        <v>#VALUE!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8.5265128291212022E-14</v>
      </c>
      <c r="O126" s="13">
        <f>N126*VLOOKUP('Données projet'!$B$9,Paramètres!$A$1:$I$89,3,0)*VLOOKUP('Données projet'!$B$9,Paramètres!$A$1:$I$89,5,0)</f>
        <v>7.4487616075202836E-14</v>
      </c>
      <c r="P126" s="13">
        <f t="shared" si="87"/>
        <v>1.1580453144473142E-12</v>
      </c>
      <c r="Q126" s="20">
        <f t="shared" si="107"/>
        <v>2.1466615206600508E-12</v>
      </c>
      <c r="R126" s="59">
        <f t="shared" si="55"/>
        <v>282.68227981685283</v>
      </c>
      <c r="S126" s="59">
        <f ca="1">AVERAGE(OFFSET($R$3,0,0,'Données projet'!$E$9+1,1))-AVERAGE(OFFSET($H$3,0,0,'Données projet'!$E$9+1,1))</f>
        <v>328.99319251806747</v>
      </c>
      <c r="T126" s="59">
        <f t="shared" si="88"/>
        <v>270.36198290276695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7.9000480833162343E-2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1.2808802215839073E-13</v>
      </c>
      <c r="AC126" s="22">
        <f t="shared" si="57"/>
        <v>7.9000480833290435E-2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3.3992364478763198E-14</v>
      </c>
      <c r="AK126" s="13">
        <f t="shared" si="89"/>
        <v>5.790027782444094E-13</v>
      </c>
      <c r="AL126" s="20">
        <f t="shared" si="58"/>
        <v>1.0676332069095257E-12</v>
      </c>
      <c r="AM126" s="59">
        <f t="shared" si="59"/>
        <v>282.68227981685175</v>
      </c>
      <c r="AN126" s="59">
        <f ca="1">AVERAGE(OFFSET($AM$3,0,0,'Données projet'!$E$10+1,1))-AVERAGE(OFFSET($H$3,0,0,'Données projet'!$E$10+1,1))</f>
        <v>274.23303062063621</v>
      </c>
      <c r="AO126" s="59">
        <f t="shared" si="90"/>
        <v>289.08677371938779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#VALUE!</v>
      </c>
      <c r="AV126" s="21" t="e">
        <f>EXP(-LN(2)/25)*AV125+(1-EXP(-LN(2)/25))/(LN(2)/25)*Calculateur!AQ126*Calculateur!AS126*VLOOKUP('Données projet'!$B$10,Paramètres!$A$1:$I$89,3,0)*0.475*44/12</f>
        <v>#VALUE!</v>
      </c>
      <c r="AW126" s="21" t="e">
        <f>EXP(-LN(2)/2)*AW125+(1-EXP(-LN(2)/2))/(LN(2)/2)*AQ126*AT126*VLOOKUP('Données projet'!$B$10,Paramètres!$A$1:$I$89,3,0)*0.475*44/12</f>
        <v>#VALUE!</v>
      </c>
      <c r="AX126" s="21" t="e">
        <f t="shared" si="60"/>
        <v>#VALUE!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8.5265128291212022E-14</v>
      </c>
      <c r="O127" s="13">
        <f>N127*VLOOKUP('Données projet'!$B$9,Paramètres!$A$1:$I$89,3,0)*VLOOKUP('Données projet'!$B$9,Paramètres!$A$1:$I$89,5,0)</f>
        <v>7.4487616075202836E-14</v>
      </c>
      <c r="P127" s="13">
        <f t="shared" si="87"/>
        <v>1.1580453144473142E-12</v>
      </c>
      <c r="Q127" s="20">
        <f t="shared" si="107"/>
        <v>2.1466615206600508E-12</v>
      </c>
      <c r="R127" s="59">
        <f t="shared" si="55"/>
        <v>282.8670517831755</v>
      </c>
      <c r="S127" s="59">
        <f ca="1">AVERAGE(OFFSET($R$3,0,0,'Données projet'!$E$9+1,1))-AVERAGE(OFFSET($H$3,0,0,'Données projet'!$E$9+1,1))</f>
        <v>328.99319251806747</v>
      </c>
      <c r="T127" s="59">
        <f t="shared" si="88"/>
        <v>270.36198290276695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7.7451329589559414E-2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9.0571909056970843E-14</v>
      </c>
      <c r="AC127" s="22">
        <f t="shared" si="57"/>
        <v>7.7451329589649981E-2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3.3992364478763198E-14</v>
      </c>
      <c r="AK127" s="13">
        <f t="shared" si="89"/>
        <v>5.790027782444094E-13</v>
      </c>
      <c r="AL127" s="20">
        <f t="shared" si="58"/>
        <v>1.0676332069095257E-12</v>
      </c>
      <c r="AM127" s="59">
        <f t="shared" si="59"/>
        <v>282.86705178317442</v>
      </c>
      <c r="AN127" s="59">
        <f ca="1">AVERAGE(OFFSET($AM$3,0,0,'Données projet'!$E$10+1,1))-AVERAGE(OFFSET($H$3,0,0,'Données projet'!$E$10+1,1))</f>
        <v>274.23303062063621</v>
      </c>
      <c r="AO127" s="59">
        <f t="shared" si="90"/>
        <v>289.08677371938779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#VALUE!</v>
      </c>
      <c r="AV127" s="21" t="e">
        <f>EXP(-LN(2)/25)*AV126+(1-EXP(-LN(2)/25))/(LN(2)/25)*Calculateur!AQ127*Calculateur!AS127*VLOOKUP('Données projet'!$B$10,Paramètres!$A$1:$I$89,3,0)*0.475*44/12</f>
        <v>#VALUE!</v>
      </c>
      <c r="AW127" s="21" t="e">
        <f>EXP(-LN(2)/2)*AW126+(1-EXP(-LN(2)/2))/(LN(2)/2)*AQ127*AT127*VLOOKUP('Données projet'!$B$10,Paramètres!$A$1:$I$89,3,0)*0.475*44/12</f>
        <v>#VALUE!</v>
      </c>
      <c r="AX127" s="21" t="e">
        <f t="shared" si="60"/>
        <v>#VALUE!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8.5265128291212022E-14</v>
      </c>
      <c r="O128" s="13">
        <f>N128*VLOOKUP('Données projet'!$B$9,Paramètres!$A$1:$I$89,3,0)*VLOOKUP('Données projet'!$B$9,Paramètres!$A$1:$I$89,5,0)</f>
        <v>7.4487616075202836E-14</v>
      </c>
      <c r="P128" s="13">
        <f t="shared" si="87"/>
        <v>1.1580453144473142E-12</v>
      </c>
      <c r="Q128" s="20">
        <f t="shared" si="107"/>
        <v>2.1466615206600508E-12</v>
      </c>
      <c r="R128" s="59">
        <f t="shared" si="55"/>
        <v>283.04861836897066</v>
      </c>
      <c r="S128" s="59">
        <f ca="1">AVERAGE(OFFSET($R$3,0,0,'Données projet'!$E$9+1,1))-AVERAGE(OFFSET($H$3,0,0,'Données projet'!$E$9+1,1))</f>
        <v>328.99319251806747</v>
      </c>
      <c r="T128" s="59">
        <f t="shared" si="88"/>
        <v>270.36198290276695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7.5932556256954581E-2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6.4044011079195363E-14</v>
      </c>
      <c r="AC128" s="22">
        <f t="shared" si="57"/>
        <v>7.5932556257018627E-2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3.3992364478763198E-14</v>
      </c>
      <c r="AK128" s="13">
        <f t="shared" si="89"/>
        <v>5.790027782444094E-13</v>
      </c>
      <c r="AL128" s="20">
        <f t="shared" si="58"/>
        <v>1.0676332069095257E-12</v>
      </c>
      <c r="AM128" s="59">
        <f t="shared" si="59"/>
        <v>283.04861836896958</v>
      </c>
      <c r="AN128" s="59">
        <f ca="1">AVERAGE(OFFSET($AM$3,0,0,'Données projet'!$E$10+1,1))-AVERAGE(OFFSET($H$3,0,0,'Données projet'!$E$10+1,1))</f>
        <v>274.23303062063621</v>
      </c>
      <c r="AO128" s="59">
        <f t="shared" si="90"/>
        <v>289.08677371938779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#VALUE!</v>
      </c>
      <c r="AV128" s="21" t="e">
        <f>EXP(-LN(2)/25)*AV127+(1-EXP(-LN(2)/25))/(LN(2)/25)*Calculateur!AQ128*Calculateur!AS128*VLOOKUP('Données projet'!$B$10,Paramètres!$A$1:$I$89,3,0)*0.475*44/12</f>
        <v>#VALUE!</v>
      </c>
      <c r="AW128" s="21" t="e">
        <f>EXP(-LN(2)/2)*AW127+(1-EXP(-LN(2)/2))/(LN(2)/2)*AQ128*AT128*VLOOKUP('Données projet'!$B$10,Paramètres!$A$1:$I$89,3,0)*0.475*44/12</f>
        <v>#VALUE!</v>
      </c>
      <c r="AX128" s="21" t="e">
        <f t="shared" si="60"/>
        <v>#VALUE!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8.5265128291212022E-14</v>
      </c>
      <c r="O129" s="13">
        <f>N129*VLOOKUP('Données projet'!$B$9,Paramètres!$A$1:$I$89,3,0)*VLOOKUP('Données projet'!$B$9,Paramètres!$A$1:$I$89,5,0)</f>
        <v>7.4487616075202836E-14</v>
      </c>
      <c r="P129" s="13">
        <f t="shared" si="87"/>
        <v>1.1580453144473142E-12</v>
      </c>
      <c r="Q129" s="20">
        <f t="shared" si="107"/>
        <v>2.1466615206600508E-12</v>
      </c>
      <c r="R129" s="59">
        <f t="shared" si="55"/>
        <v>283.22703518042437</v>
      </c>
      <c r="S129" s="59">
        <f ca="1">AVERAGE(OFFSET($R$3,0,0,'Données projet'!$E$9+1,1))-AVERAGE(OFFSET($H$3,0,0,'Données projet'!$E$9+1,1))</f>
        <v>328.99319251806747</v>
      </c>
      <c r="T129" s="59">
        <f t="shared" si="88"/>
        <v>270.36198290276695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7.4443565143041859E-2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4.5285954528485422E-14</v>
      </c>
      <c r="AC129" s="22">
        <f t="shared" si="57"/>
        <v>7.4443565143087143E-2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3.3992364478763198E-14</v>
      </c>
      <c r="AK129" s="13">
        <f t="shared" si="89"/>
        <v>5.790027782444094E-13</v>
      </c>
      <c r="AL129" s="20">
        <f t="shared" si="58"/>
        <v>1.0676332069095257E-12</v>
      </c>
      <c r="AM129" s="59">
        <f t="shared" si="59"/>
        <v>283.22703518042329</v>
      </c>
      <c r="AN129" s="59">
        <f ca="1">AVERAGE(OFFSET($AM$3,0,0,'Données projet'!$E$10+1,1))-AVERAGE(OFFSET($H$3,0,0,'Données projet'!$E$10+1,1))</f>
        <v>274.23303062063621</v>
      </c>
      <c r="AO129" s="59">
        <f t="shared" si="90"/>
        <v>289.08677371938779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#VALUE!</v>
      </c>
      <c r="AV129" s="21" t="e">
        <f>EXP(-LN(2)/25)*AV128+(1-EXP(-LN(2)/25))/(LN(2)/25)*Calculateur!AQ129*Calculateur!AS129*VLOOKUP('Données projet'!$B$10,Paramètres!$A$1:$I$89,3,0)*0.475*44/12</f>
        <v>#VALUE!</v>
      </c>
      <c r="AW129" s="21" t="e">
        <f>EXP(-LN(2)/2)*AW128+(1-EXP(-LN(2)/2))/(LN(2)/2)*AQ129*AT129*VLOOKUP('Données projet'!$B$10,Paramètres!$A$1:$I$89,3,0)*0.475*44/12</f>
        <v>#VALUE!</v>
      </c>
      <c r="AX129" s="21" t="e">
        <f t="shared" si="60"/>
        <v>#VALUE!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8.5265128291212022E-14</v>
      </c>
      <c r="O130" s="13">
        <f>N130*VLOOKUP('Données projet'!$B$9,Paramètres!$A$1:$I$89,3,0)*VLOOKUP('Données projet'!$B$9,Paramètres!$A$1:$I$89,5,0)</f>
        <v>7.4487616075202836E-14</v>
      </c>
      <c r="P130" s="13">
        <f t="shared" si="87"/>
        <v>1.1580453144473142E-12</v>
      </c>
      <c r="Q130" s="20">
        <f t="shared" si="107"/>
        <v>2.1466615206600508E-12</v>
      </c>
      <c r="R130" s="59">
        <f t="shared" si="55"/>
        <v>283.40235685907959</v>
      </c>
      <c r="S130" s="59">
        <f ca="1">AVERAGE(OFFSET($R$3,0,0,'Données projet'!$E$9+1,1))-AVERAGE(OFFSET($H$3,0,0,'Données projet'!$E$9+1,1))</f>
        <v>328.99319251806747</v>
      </c>
      <c r="T130" s="59">
        <f t="shared" si="88"/>
        <v>270.36198290276695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7.2983772236678068E-2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3.2022005539597682E-14</v>
      </c>
      <c r="AC130" s="22">
        <f t="shared" si="57"/>
        <v>7.2983772236710084E-2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3.3992364478763198E-14</v>
      </c>
      <c r="AK130" s="13">
        <f t="shared" si="89"/>
        <v>5.790027782444094E-13</v>
      </c>
      <c r="AL130" s="20">
        <f t="shared" si="58"/>
        <v>1.0676332069095257E-12</v>
      </c>
      <c r="AM130" s="59">
        <f t="shared" si="59"/>
        <v>283.40235685907851</v>
      </c>
      <c r="AN130" s="59">
        <f ca="1">AVERAGE(OFFSET($AM$3,0,0,'Données projet'!$E$10+1,1))-AVERAGE(OFFSET($H$3,0,0,'Données projet'!$E$10+1,1))</f>
        <v>274.23303062063621</v>
      </c>
      <c r="AO130" s="59">
        <f t="shared" si="90"/>
        <v>289.08677371938779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#VALUE!</v>
      </c>
      <c r="AV130" s="21" t="e">
        <f>EXP(-LN(2)/25)*AV129+(1-EXP(-LN(2)/25))/(LN(2)/25)*Calculateur!AQ130*Calculateur!AS130*VLOOKUP('Données projet'!$B$10,Paramètres!$A$1:$I$89,3,0)*0.475*44/12</f>
        <v>#VALUE!</v>
      </c>
      <c r="AW130" s="21" t="e">
        <f>EXP(-LN(2)/2)*AW129+(1-EXP(-LN(2)/2))/(LN(2)/2)*AQ130*AT130*VLOOKUP('Données projet'!$B$10,Paramètres!$A$1:$I$89,3,0)*0.475*44/12</f>
        <v>#VALUE!</v>
      </c>
      <c r="AX130" s="21" t="e">
        <f t="shared" si="60"/>
        <v>#VALUE!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8.5265128291212022E-14</v>
      </c>
      <c r="O131" s="13">
        <f>N131*VLOOKUP('Données projet'!$B$9,Paramètres!$A$1:$I$89,3,0)*VLOOKUP('Données projet'!$B$9,Paramètres!$A$1:$I$89,5,0)</f>
        <v>7.4487616075202836E-14</v>
      </c>
      <c r="P131" s="13">
        <f t="shared" si="87"/>
        <v>1.1580453144473142E-12</v>
      </c>
      <c r="Q131" s="20">
        <f t="shared" ref="Q131:Q153" si="108">(O131+P131)*0.475*44/12</f>
        <v>2.1466615206600508E-12</v>
      </c>
      <c r="R131" s="59">
        <f t="shared" ref="R131:R194" si="109">Q131+(I131+J131)*44/12</f>
        <v>283.57463709857069</v>
      </c>
      <c r="S131" s="59">
        <f ca="1">AVERAGE(OFFSET($R$3,0,0,'Données projet'!$E$9+1,1))-AVERAGE(OFFSET($H$3,0,0,'Données projet'!$E$9+1,1))</f>
        <v>328.99319251806747</v>
      </c>
      <c r="T131" s="59">
        <f t="shared" si="88"/>
        <v>270.36198290276695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7.1552604978822321E-2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2.2642977264242711E-14</v>
      </c>
      <c r="AC131" s="22">
        <f t="shared" si="57"/>
        <v>7.1552604978844969E-2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3.3992364478763198E-14</v>
      </c>
      <c r="AK131" s="13">
        <f t="shared" si="89"/>
        <v>5.790027782444094E-13</v>
      </c>
      <c r="AL131" s="20">
        <f t="shared" si="58"/>
        <v>1.0676332069095257E-12</v>
      </c>
      <c r="AM131" s="59">
        <f t="shared" si="59"/>
        <v>283.57463709856961</v>
      </c>
      <c r="AN131" s="59">
        <f ca="1">AVERAGE(OFFSET($AM$3,0,0,'Données projet'!$E$10+1,1))-AVERAGE(OFFSET($H$3,0,0,'Données projet'!$E$10+1,1))</f>
        <v>274.23303062063621</v>
      </c>
      <c r="AO131" s="59">
        <f t="shared" si="90"/>
        <v>289.08677371938779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#VALUE!</v>
      </c>
      <c r="AV131" s="21" t="e">
        <f>EXP(-LN(2)/25)*AV130+(1-EXP(-LN(2)/25))/(LN(2)/25)*Calculateur!AQ131*Calculateur!AS131*VLOOKUP('Données projet'!$B$10,Paramètres!$A$1:$I$89,3,0)*0.475*44/12</f>
        <v>#VALUE!</v>
      </c>
      <c r="AW131" s="21" t="e">
        <f>EXP(-LN(2)/2)*AW130+(1-EXP(-LN(2)/2))/(LN(2)/2)*AQ131*AT131*VLOOKUP('Données projet'!$B$10,Paramètres!$A$1:$I$89,3,0)*0.475*44/12</f>
        <v>#VALUE!</v>
      </c>
      <c r="AX131" s="21" t="e">
        <f t="shared" si="60"/>
        <v>#VALUE!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8.5265128291212022E-14</v>
      </c>
      <c r="O132" s="13">
        <f>N132*VLOOKUP('Données projet'!$B$9,Paramètres!$A$1:$I$89,3,0)*VLOOKUP('Données projet'!$B$9,Paramètres!$A$1:$I$89,5,0)</f>
        <v>7.4487616075202836E-14</v>
      </c>
      <c r="P132" s="13">
        <f t="shared" si="87"/>
        <v>1.1580453144473142E-12</v>
      </c>
      <c r="Q132" s="20">
        <f t="shared" si="108"/>
        <v>2.1466615206600508E-12</v>
      </c>
      <c r="R132" s="59">
        <f t="shared" si="109"/>
        <v>283.74392866106751</v>
      </c>
      <c r="S132" s="59">
        <f ca="1">AVERAGE(OFFSET($R$3,0,0,'Données projet'!$E$9+1,1))-AVERAGE(OFFSET($H$3,0,0,'Données projet'!$E$9+1,1))</f>
        <v>328.99319251806747</v>
      </c>
      <c r="T132" s="59">
        <f t="shared" si="88"/>
        <v>270.36198290276695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7.0149502037967285E-2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1.6011002769798841E-14</v>
      </c>
      <c r="AC132" s="22">
        <f t="shared" ref="AC132:AC153" si="111">SUM(Z132:AB132)</f>
        <v>7.01495020379833E-2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3.3992364478763198E-14</v>
      </c>
      <c r="AK132" s="13">
        <f t="shared" si="89"/>
        <v>5.790027782444094E-13</v>
      </c>
      <c r="AL132" s="20">
        <f t="shared" ref="AL132:AL153" si="112">(AJ132+AK132)*0.475*44/12</f>
        <v>1.0676332069095257E-12</v>
      </c>
      <c r="AM132" s="59">
        <f t="shared" ref="AM132:AM195" si="113">AL132+(AD132+AE132)*44/12</f>
        <v>283.74392866106643</v>
      </c>
      <c r="AN132" s="59">
        <f ca="1">AVERAGE(OFFSET($AM$3,0,0,'Données projet'!$E$10+1,1))-AVERAGE(OFFSET($H$3,0,0,'Données projet'!$E$10+1,1))</f>
        <v>274.23303062063621</v>
      </c>
      <c r="AO132" s="59">
        <f t="shared" si="90"/>
        <v>289.08677371938779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#VALUE!</v>
      </c>
      <c r="AV132" s="21" t="e">
        <f>EXP(-LN(2)/25)*AV131+(1-EXP(-LN(2)/25))/(LN(2)/25)*Calculateur!AQ132*Calculateur!AS132*VLOOKUP('Données projet'!$B$10,Paramètres!$A$1:$I$89,3,0)*0.475*44/12</f>
        <v>#VALUE!</v>
      </c>
      <c r="AW132" s="21" t="e">
        <f>EXP(-LN(2)/2)*AW131+(1-EXP(-LN(2)/2))/(LN(2)/2)*AQ132*AT132*VLOOKUP('Données projet'!$B$10,Paramètres!$A$1:$I$89,3,0)*0.475*44/12</f>
        <v>#VALUE!</v>
      </c>
      <c r="AX132" s="21" t="e">
        <f t="shared" ref="AX132:AX153" si="114">SUM(AU132:AW132)</f>
        <v>#VALUE!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8.5265128291212022E-14</v>
      </c>
      <c r="O133" s="13">
        <f>N133*VLOOKUP('Données projet'!$B$9,Paramètres!$A$1:$I$89,3,0)*VLOOKUP('Données projet'!$B$9,Paramètres!$A$1:$I$89,5,0)</f>
        <v>7.4487616075202836E-14</v>
      </c>
      <c r="P133" s="13">
        <f t="shared" ref="P133:P196" si="141">EXP(-1.0587+0.8836*LN(O133)+0.284)</f>
        <v>1.1580453144473142E-12</v>
      </c>
      <c r="Q133" s="20">
        <f t="shared" si="108"/>
        <v>2.1466615206600508E-12</v>
      </c>
      <c r="R133" s="59">
        <f t="shared" si="109"/>
        <v>283.91028339343427</v>
      </c>
      <c r="S133" s="59">
        <f ca="1">AVERAGE(OFFSET($R$3,0,0,'Données projet'!$E$9+1,1))-AVERAGE(OFFSET($H$3,0,0,'Données projet'!$E$9+1,1))</f>
        <v>328.99319251806747</v>
      </c>
      <c r="T133" s="59">
        <f t="shared" ref="T133:T196" si="142">$T$3</f>
        <v>270.36198290276695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6.8773913089974131E-2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1.1321488632121355E-14</v>
      </c>
      <c r="AC133" s="22">
        <f t="shared" si="111"/>
        <v>6.8773913089985456E-2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3.3992364478763198E-14</v>
      </c>
      <c r="AK133" s="13">
        <f t="shared" ref="AK133:AK153" si="143">EXP(-1.0587+0.8836*LN(AJ133)+0.284)</f>
        <v>5.790027782444094E-13</v>
      </c>
      <c r="AL133" s="20">
        <f t="shared" si="112"/>
        <v>1.0676332069095257E-12</v>
      </c>
      <c r="AM133" s="59">
        <f t="shared" si="113"/>
        <v>283.91028339343319</v>
      </c>
      <c r="AN133" s="59">
        <f ca="1">AVERAGE(OFFSET($AM$3,0,0,'Données projet'!$E$10+1,1))-AVERAGE(OFFSET($H$3,0,0,'Données projet'!$E$10+1,1))</f>
        <v>274.23303062063621</v>
      </c>
      <c r="AO133" s="59">
        <f t="shared" ref="AO133:AO196" si="144">$AO$3</f>
        <v>289.08677371938779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#VALUE!</v>
      </c>
      <c r="AV133" s="21" t="e">
        <f>EXP(-LN(2)/25)*AV132+(1-EXP(-LN(2)/25))/(LN(2)/25)*Calculateur!AQ133*Calculateur!AS133*VLOOKUP('Données projet'!$B$10,Paramètres!$A$1:$I$89,3,0)*0.475*44/12</f>
        <v>#VALUE!</v>
      </c>
      <c r="AW133" s="21" t="e">
        <f>EXP(-LN(2)/2)*AW132+(1-EXP(-LN(2)/2))/(LN(2)/2)*AQ133*AT133*VLOOKUP('Données projet'!$B$10,Paramètres!$A$1:$I$89,3,0)*0.475*44/12</f>
        <v>#VALUE!</v>
      </c>
      <c r="AX133" s="21" t="e">
        <f t="shared" si="114"/>
        <v>#VALUE!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8.5265128291212022E-14</v>
      </c>
      <c r="O134" s="13">
        <f>N134*VLOOKUP('Données projet'!$B$9,Paramètres!$A$1:$I$89,3,0)*VLOOKUP('Données projet'!$B$9,Paramètres!$A$1:$I$89,5,0)</f>
        <v>7.4487616075202836E-14</v>
      </c>
      <c r="P134" s="13">
        <f t="shared" si="141"/>
        <v>1.1580453144473142E-12</v>
      </c>
      <c r="Q134" s="20">
        <f t="shared" si="108"/>
        <v>2.1466615206600508E-12</v>
      </c>
      <c r="R134" s="59">
        <f t="shared" si="109"/>
        <v>284.07375224310789</v>
      </c>
      <c r="S134" s="59">
        <f ca="1">AVERAGE(OFFSET($R$3,0,0,'Données projet'!$E$9+1,1))-AVERAGE(OFFSET($H$3,0,0,'Données projet'!$E$9+1,1))</f>
        <v>328.99319251806747</v>
      </c>
      <c r="T134" s="59">
        <f t="shared" si="142"/>
        <v>270.36198290276695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6.7425298602224709E-2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8.0055013848994204E-15</v>
      </c>
      <c r="AC134" s="22">
        <f t="shared" si="111"/>
        <v>6.7425298602232717E-2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3.3992364478763198E-14</v>
      </c>
      <c r="AK134" s="13">
        <f t="shared" si="143"/>
        <v>5.790027782444094E-13</v>
      </c>
      <c r="AL134" s="20">
        <f t="shared" si="112"/>
        <v>1.0676332069095257E-12</v>
      </c>
      <c r="AM134" s="59">
        <f t="shared" si="113"/>
        <v>284.07375224310681</v>
      </c>
      <c r="AN134" s="59">
        <f ca="1">AVERAGE(OFFSET($AM$3,0,0,'Données projet'!$E$10+1,1))-AVERAGE(OFFSET($H$3,0,0,'Données projet'!$E$10+1,1))</f>
        <v>274.23303062063621</v>
      </c>
      <c r="AO134" s="59">
        <f t="shared" si="144"/>
        <v>289.08677371938779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#VALUE!</v>
      </c>
      <c r="AV134" s="21" t="e">
        <f>EXP(-LN(2)/25)*AV133+(1-EXP(-LN(2)/25))/(LN(2)/25)*Calculateur!AQ134*Calculateur!AS134*VLOOKUP('Données projet'!$B$10,Paramètres!$A$1:$I$89,3,0)*0.475*44/12</f>
        <v>#VALUE!</v>
      </c>
      <c r="AW134" s="21" t="e">
        <f>EXP(-LN(2)/2)*AW133+(1-EXP(-LN(2)/2))/(LN(2)/2)*AQ134*AT134*VLOOKUP('Données projet'!$B$10,Paramètres!$A$1:$I$89,3,0)*0.475*44/12</f>
        <v>#VALUE!</v>
      </c>
      <c r="AX134" s="21" t="e">
        <f t="shared" si="114"/>
        <v>#VALUE!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8.5265128291212022E-14</v>
      </c>
      <c r="O135" s="13">
        <f>N135*VLOOKUP('Données projet'!$B$9,Paramètres!$A$1:$I$89,3,0)*VLOOKUP('Données projet'!$B$9,Paramètres!$A$1:$I$89,5,0)</f>
        <v>7.4487616075202836E-14</v>
      </c>
      <c r="P135" s="13">
        <f t="shared" si="141"/>
        <v>1.1580453144473142E-12</v>
      </c>
      <c r="Q135" s="20">
        <f t="shared" si="108"/>
        <v>2.1466615206600508E-12</v>
      </c>
      <c r="R135" s="59">
        <f t="shared" si="109"/>
        <v>284.23438527370132</v>
      </c>
      <c r="S135" s="59">
        <f ca="1">AVERAGE(OFFSET($R$3,0,0,'Données projet'!$E$9+1,1))-AVERAGE(OFFSET($H$3,0,0,'Données projet'!$E$9+1,1))</f>
        <v>328.99319251806747</v>
      </c>
      <c r="T135" s="59">
        <f t="shared" si="142"/>
        <v>270.36198290276695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6.6103129622006443E-2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5.6607443160606777E-15</v>
      </c>
      <c r="AC135" s="22">
        <f t="shared" si="111"/>
        <v>6.6103129622012105E-2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3.3992364478763198E-14</v>
      </c>
      <c r="AK135" s="13">
        <f t="shared" si="143"/>
        <v>5.790027782444094E-13</v>
      </c>
      <c r="AL135" s="20">
        <f t="shared" si="112"/>
        <v>1.0676332069095257E-12</v>
      </c>
      <c r="AM135" s="59">
        <f t="shared" si="113"/>
        <v>284.23438527370024</v>
      </c>
      <c r="AN135" s="59">
        <f ca="1">AVERAGE(OFFSET($AM$3,0,0,'Données projet'!$E$10+1,1))-AVERAGE(OFFSET($H$3,0,0,'Données projet'!$E$10+1,1))</f>
        <v>274.23303062063621</v>
      </c>
      <c r="AO135" s="59">
        <f t="shared" si="144"/>
        <v>289.08677371938779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#VALUE!</v>
      </c>
      <c r="AV135" s="21" t="e">
        <f>EXP(-LN(2)/25)*AV134+(1-EXP(-LN(2)/25))/(LN(2)/25)*Calculateur!AQ135*Calculateur!AS135*VLOOKUP('Données projet'!$B$10,Paramètres!$A$1:$I$89,3,0)*0.475*44/12</f>
        <v>#VALUE!</v>
      </c>
      <c r="AW135" s="21" t="e">
        <f>EXP(-LN(2)/2)*AW134+(1-EXP(-LN(2)/2))/(LN(2)/2)*AQ135*AT135*VLOOKUP('Données projet'!$B$10,Paramètres!$A$1:$I$89,3,0)*0.475*44/12</f>
        <v>#VALUE!</v>
      </c>
      <c r="AX135" s="21" t="e">
        <f t="shared" si="114"/>
        <v>#VALUE!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8.5265128291212022E-14</v>
      </c>
      <c r="O136" s="13">
        <f>N136*VLOOKUP('Données projet'!$B$9,Paramètres!$A$1:$I$89,3,0)*VLOOKUP('Données projet'!$B$9,Paramètres!$A$1:$I$89,5,0)</f>
        <v>7.4487616075202836E-14</v>
      </c>
      <c r="P136" s="13">
        <f t="shared" si="141"/>
        <v>1.1580453144473142E-12</v>
      </c>
      <c r="Q136" s="20">
        <f t="shared" si="108"/>
        <v>2.1466615206600508E-12</v>
      </c>
      <c r="R136" s="59">
        <f t="shared" si="109"/>
        <v>284.39223168033556</v>
      </c>
      <c r="S136" s="59">
        <f ca="1">AVERAGE(OFFSET($R$3,0,0,'Données projet'!$E$9+1,1))-AVERAGE(OFFSET($H$3,0,0,'Données projet'!$E$9+1,1))</f>
        <v>328.99319251806747</v>
      </c>
      <c r="T136" s="59">
        <f t="shared" si="142"/>
        <v>270.36198290276695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6.4806887569046803E-2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4.0027506924497102E-15</v>
      </c>
      <c r="AC136" s="22">
        <f t="shared" si="111"/>
        <v>6.48068875690508E-2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3.3992364478763198E-14</v>
      </c>
      <c r="AK136" s="13">
        <f t="shared" si="143"/>
        <v>5.790027782444094E-13</v>
      </c>
      <c r="AL136" s="20">
        <f t="shared" si="112"/>
        <v>1.0676332069095257E-12</v>
      </c>
      <c r="AM136" s="59">
        <f t="shared" si="113"/>
        <v>284.39223168033448</v>
      </c>
      <c r="AN136" s="59">
        <f ca="1">AVERAGE(OFFSET($AM$3,0,0,'Données projet'!$E$10+1,1))-AVERAGE(OFFSET($H$3,0,0,'Données projet'!$E$10+1,1))</f>
        <v>274.23303062063621</v>
      </c>
      <c r="AO136" s="59">
        <f t="shared" si="144"/>
        <v>289.08677371938779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#VALUE!</v>
      </c>
      <c r="AV136" s="21" t="e">
        <f>EXP(-LN(2)/25)*AV135+(1-EXP(-LN(2)/25))/(LN(2)/25)*Calculateur!AQ136*Calculateur!AS136*VLOOKUP('Données projet'!$B$10,Paramètres!$A$1:$I$89,3,0)*0.475*44/12</f>
        <v>#VALUE!</v>
      </c>
      <c r="AW136" s="21" t="e">
        <f>EXP(-LN(2)/2)*AW135+(1-EXP(-LN(2)/2))/(LN(2)/2)*AQ136*AT136*VLOOKUP('Données projet'!$B$10,Paramètres!$A$1:$I$89,3,0)*0.475*44/12</f>
        <v>#VALUE!</v>
      </c>
      <c r="AX136" s="21" t="e">
        <f t="shared" si="114"/>
        <v>#VALUE!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8.5265128291212022E-14</v>
      </c>
      <c r="O137" s="13">
        <f>N137*VLOOKUP('Données projet'!$B$9,Paramètres!$A$1:$I$89,3,0)*VLOOKUP('Données projet'!$B$9,Paramètres!$A$1:$I$89,5,0)</f>
        <v>7.4487616075202836E-14</v>
      </c>
      <c r="P137" s="13">
        <f t="shared" si="141"/>
        <v>1.1580453144473142E-12</v>
      </c>
      <c r="Q137" s="20">
        <f t="shared" si="108"/>
        <v>2.1466615206600508E-12</v>
      </c>
      <c r="R137" s="59">
        <f t="shared" si="109"/>
        <v>284.54733980470644</v>
      </c>
      <c r="S137" s="59">
        <f ca="1">AVERAGE(OFFSET($R$3,0,0,'Données projet'!$E$9+1,1))-AVERAGE(OFFSET($H$3,0,0,'Données projet'!$E$9+1,1))</f>
        <v>328.99319251806747</v>
      </c>
      <c r="T137" s="59">
        <f t="shared" si="142"/>
        <v>270.36198290276695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6.3536064032116119E-2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2.8303721580303388E-15</v>
      </c>
      <c r="AC137" s="22">
        <f t="shared" si="111"/>
        <v>6.353606403211895E-2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3.3992364478763198E-14</v>
      </c>
      <c r="AK137" s="13">
        <f t="shared" si="143"/>
        <v>5.790027782444094E-13</v>
      </c>
      <c r="AL137" s="20">
        <f t="shared" si="112"/>
        <v>1.0676332069095257E-12</v>
      </c>
      <c r="AM137" s="59">
        <f t="shared" si="113"/>
        <v>284.54733980470536</v>
      </c>
      <c r="AN137" s="59">
        <f ca="1">AVERAGE(OFFSET($AM$3,0,0,'Données projet'!$E$10+1,1))-AVERAGE(OFFSET($H$3,0,0,'Données projet'!$E$10+1,1))</f>
        <v>274.23303062063621</v>
      </c>
      <c r="AO137" s="59">
        <f t="shared" si="144"/>
        <v>289.08677371938779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#VALUE!</v>
      </c>
      <c r="AV137" s="21" t="e">
        <f>EXP(-LN(2)/25)*AV136+(1-EXP(-LN(2)/25))/(LN(2)/25)*Calculateur!AQ137*Calculateur!AS137*VLOOKUP('Données projet'!$B$10,Paramètres!$A$1:$I$89,3,0)*0.475*44/12</f>
        <v>#VALUE!</v>
      </c>
      <c r="AW137" s="21" t="e">
        <f>EXP(-LN(2)/2)*AW136+(1-EXP(-LN(2)/2))/(LN(2)/2)*AQ137*AT137*VLOOKUP('Données projet'!$B$10,Paramètres!$A$1:$I$89,3,0)*0.475*44/12</f>
        <v>#VALUE!</v>
      </c>
      <c r="AX137" s="21" t="e">
        <f t="shared" si="114"/>
        <v>#VALUE!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8.5265128291212022E-14</v>
      </c>
      <c r="O138" s="13">
        <f>N138*VLOOKUP('Données projet'!$B$9,Paramètres!$A$1:$I$89,3,0)*VLOOKUP('Données projet'!$B$9,Paramètres!$A$1:$I$89,5,0)</f>
        <v>7.4487616075202836E-14</v>
      </c>
      <c r="P138" s="13">
        <f t="shared" si="141"/>
        <v>1.1580453144473142E-12</v>
      </c>
      <c r="Q138" s="20">
        <f t="shared" si="108"/>
        <v>2.1466615206600508E-12</v>
      </c>
      <c r="R138" s="59">
        <f t="shared" si="109"/>
        <v>284.69975714988931</v>
      </c>
      <c r="S138" s="59">
        <f ca="1">AVERAGE(OFFSET($R$3,0,0,'Données projet'!$E$9+1,1))-AVERAGE(OFFSET($H$3,0,0,'Données projet'!$E$9+1,1))</f>
        <v>328.99319251806747</v>
      </c>
      <c r="T138" s="59">
        <f t="shared" si="142"/>
        <v>270.36198290276695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6.2290160569618822E-2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2.0013753462248551E-15</v>
      </c>
      <c r="AC138" s="22">
        <f t="shared" si="111"/>
        <v>6.229016056962082E-2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3.3992364478763198E-14</v>
      </c>
      <c r="AK138" s="13">
        <f t="shared" si="143"/>
        <v>5.790027782444094E-13</v>
      </c>
      <c r="AL138" s="20">
        <f t="shared" si="112"/>
        <v>1.0676332069095257E-12</v>
      </c>
      <c r="AM138" s="59">
        <f t="shared" si="113"/>
        <v>284.69975714988823</v>
      </c>
      <c r="AN138" s="59">
        <f ca="1">AVERAGE(OFFSET($AM$3,0,0,'Données projet'!$E$10+1,1))-AVERAGE(OFFSET($H$3,0,0,'Données projet'!$E$10+1,1))</f>
        <v>274.23303062063621</v>
      </c>
      <c r="AO138" s="59">
        <f t="shared" si="144"/>
        <v>289.08677371938779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#VALUE!</v>
      </c>
      <c r="AV138" s="21" t="e">
        <f>EXP(-LN(2)/25)*AV137+(1-EXP(-LN(2)/25))/(LN(2)/25)*Calculateur!AQ138*Calculateur!AS138*VLOOKUP('Données projet'!$B$10,Paramètres!$A$1:$I$89,3,0)*0.475*44/12</f>
        <v>#VALUE!</v>
      </c>
      <c r="AW138" s="21" t="e">
        <f>EXP(-LN(2)/2)*AW137+(1-EXP(-LN(2)/2))/(LN(2)/2)*AQ138*AT138*VLOOKUP('Données projet'!$B$10,Paramètres!$A$1:$I$89,3,0)*0.475*44/12</f>
        <v>#VALUE!</v>
      </c>
      <c r="AX138" s="21" t="e">
        <f t="shared" si="114"/>
        <v>#VALUE!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8.5265128291212022E-14</v>
      </c>
      <c r="O139" s="13">
        <f>N139*VLOOKUP('Données projet'!$B$9,Paramètres!$A$1:$I$89,3,0)*VLOOKUP('Données projet'!$B$9,Paramètres!$A$1:$I$89,5,0)</f>
        <v>7.4487616075202836E-14</v>
      </c>
      <c r="P139" s="13">
        <f t="shared" si="141"/>
        <v>1.1580453144473142E-12</v>
      </c>
      <c r="Q139" s="20">
        <f t="shared" si="108"/>
        <v>2.1466615206600508E-12</v>
      </c>
      <c r="R139" s="59">
        <f t="shared" si="109"/>
        <v>284.84953039488738</v>
      </c>
      <c r="S139" s="59">
        <f ca="1">AVERAGE(OFFSET($R$3,0,0,'Données projet'!$E$9+1,1))-AVERAGE(OFFSET($H$3,0,0,'Données projet'!$E$9+1,1))</f>
        <v>328.99319251806747</v>
      </c>
      <c r="T139" s="59">
        <f t="shared" si="142"/>
        <v>270.36198290276695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6.1068688514095019E-2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1.4151860790151694E-15</v>
      </c>
      <c r="AC139" s="22">
        <f t="shared" si="111"/>
        <v>6.1068688514096435E-2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3.3992364478763198E-14</v>
      </c>
      <c r="AK139" s="13">
        <f t="shared" si="143"/>
        <v>5.790027782444094E-13</v>
      </c>
      <c r="AL139" s="20">
        <f t="shared" si="112"/>
        <v>1.0676332069095257E-12</v>
      </c>
      <c r="AM139" s="59">
        <f t="shared" si="113"/>
        <v>284.8495303948863</v>
      </c>
      <c r="AN139" s="59">
        <f ca="1">AVERAGE(OFFSET($AM$3,0,0,'Données projet'!$E$10+1,1))-AVERAGE(OFFSET($H$3,0,0,'Données projet'!$E$10+1,1))</f>
        <v>274.23303062063621</v>
      </c>
      <c r="AO139" s="59">
        <f t="shared" si="144"/>
        <v>289.08677371938779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#VALUE!</v>
      </c>
      <c r="AV139" s="21" t="e">
        <f>EXP(-LN(2)/25)*AV138+(1-EXP(-LN(2)/25))/(LN(2)/25)*Calculateur!AQ139*Calculateur!AS139*VLOOKUP('Données projet'!$B$10,Paramètres!$A$1:$I$89,3,0)*0.475*44/12</f>
        <v>#VALUE!</v>
      </c>
      <c r="AW139" s="21" t="e">
        <f>EXP(-LN(2)/2)*AW138+(1-EXP(-LN(2)/2))/(LN(2)/2)*AQ139*AT139*VLOOKUP('Données projet'!$B$10,Paramètres!$A$1:$I$89,3,0)*0.475*44/12</f>
        <v>#VALUE!</v>
      </c>
      <c r="AX139" s="21" t="e">
        <f t="shared" si="114"/>
        <v>#VALUE!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8.5265128291212022E-14</v>
      </c>
      <c r="O140" s="13">
        <f>N140*VLOOKUP('Données projet'!$B$9,Paramètres!$A$1:$I$89,3,0)*VLOOKUP('Données projet'!$B$9,Paramètres!$A$1:$I$89,5,0)</f>
        <v>7.4487616075202836E-14</v>
      </c>
      <c r="P140" s="13">
        <f t="shared" si="141"/>
        <v>1.1580453144473142E-12</v>
      </c>
      <c r="Q140" s="20">
        <f t="shared" si="108"/>
        <v>2.1466615206600508E-12</v>
      </c>
      <c r="R140" s="59">
        <f t="shared" si="109"/>
        <v>284.99670540892754</v>
      </c>
      <c r="S140" s="59">
        <f ca="1">AVERAGE(OFFSET($R$3,0,0,'Données projet'!$E$9+1,1))-AVERAGE(OFFSET($H$3,0,0,'Données projet'!$E$9+1,1))</f>
        <v>328.99319251806747</v>
      </c>
      <c r="T140" s="59">
        <f t="shared" si="142"/>
        <v>270.36198290276695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5.987116878055565E-2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1.0006876731124276E-15</v>
      </c>
      <c r="AC140" s="22">
        <f t="shared" si="111"/>
        <v>5.9871168780556649E-2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3.3992364478763198E-14</v>
      </c>
      <c r="AK140" s="13">
        <f t="shared" si="143"/>
        <v>5.790027782444094E-13</v>
      </c>
      <c r="AL140" s="20">
        <f t="shared" si="112"/>
        <v>1.0676332069095257E-12</v>
      </c>
      <c r="AM140" s="59">
        <f t="shared" si="113"/>
        <v>284.99670540892646</v>
      </c>
      <c r="AN140" s="59">
        <f ca="1">AVERAGE(OFFSET($AM$3,0,0,'Données projet'!$E$10+1,1))-AVERAGE(OFFSET($H$3,0,0,'Données projet'!$E$10+1,1))</f>
        <v>274.23303062063621</v>
      </c>
      <c r="AO140" s="59">
        <f t="shared" si="144"/>
        <v>289.08677371938779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#VALUE!</v>
      </c>
      <c r="AV140" s="21" t="e">
        <f>EXP(-LN(2)/25)*AV139+(1-EXP(-LN(2)/25))/(LN(2)/25)*Calculateur!AQ140*Calculateur!AS140*VLOOKUP('Données projet'!$B$10,Paramètres!$A$1:$I$89,3,0)*0.475*44/12</f>
        <v>#VALUE!</v>
      </c>
      <c r="AW140" s="21" t="e">
        <f>EXP(-LN(2)/2)*AW139+(1-EXP(-LN(2)/2))/(LN(2)/2)*AQ140*AT140*VLOOKUP('Données projet'!$B$10,Paramètres!$A$1:$I$89,3,0)*0.475*44/12</f>
        <v>#VALUE!</v>
      </c>
      <c r="AX140" s="21" t="e">
        <f t="shared" si="114"/>
        <v>#VALUE!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8.5265128291212022E-14</v>
      </c>
      <c r="O141" s="13">
        <f>N141*VLOOKUP('Données projet'!$B$9,Paramètres!$A$1:$I$89,3,0)*VLOOKUP('Données projet'!$B$9,Paramètres!$A$1:$I$89,5,0)</f>
        <v>7.4487616075202836E-14</v>
      </c>
      <c r="P141" s="13">
        <f t="shared" si="141"/>
        <v>1.1580453144473142E-12</v>
      </c>
      <c r="Q141" s="20">
        <f t="shared" si="108"/>
        <v>2.1466615206600508E-12</v>
      </c>
      <c r="R141" s="59">
        <f t="shared" si="109"/>
        <v>285.1413272655081</v>
      </c>
      <c r="S141" s="59">
        <f ca="1">AVERAGE(OFFSET($R$3,0,0,'Données projet'!$E$9+1,1))-AVERAGE(OFFSET($H$3,0,0,'Données projet'!$E$9+1,1))</f>
        <v>328.99319251806747</v>
      </c>
      <c r="T141" s="59">
        <f t="shared" si="142"/>
        <v>270.36198290276695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5.8697131678576077E-2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7.0759303950758471E-16</v>
      </c>
      <c r="AC141" s="22">
        <f t="shared" si="111"/>
        <v>5.8697131678576785E-2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3.3992364478763198E-14</v>
      </c>
      <c r="AK141" s="13">
        <f t="shared" si="143"/>
        <v>5.790027782444094E-13</v>
      </c>
      <c r="AL141" s="20">
        <f t="shared" si="112"/>
        <v>1.0676332069095257E-12</v>
      </c>
      <c r="AM141" s="59">
        <f t="shared" si="113"/>
        <v>285.14132726550702</v>
      </c>
      <c r="AN141" s="59">
        <f ca="1">AVERAGE(OFFSET($AM$3,0,0,'Données projet'!$E$10+1,1))-AVERAGE(OFFSET($H$3,0,0,'Données projet'!$E$10+1,1))</f>
        <v>274.23303062063621</v>
      </c>
      <c r="AO141" s="59">
        <f t="shared" si="144"/>
        <v>289.08677371938779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#VALUE!</v>
      </c>
      <c r="AV141" s="21" t="e">
        <f>EXP(-LN(2)/25)*AV140+(1-EXP(-LN(2)/25))/(LN(2)/25)*Calculateur!AQ141*Calculateur!AS141*VLOOKUP('Données projet'!$B$10,Paramètres!$A$1:$I$89,3,0)*0.475*44/12</f>
        <v>#VALUE!</v>
      </c>
      <c r="AW141" s="21" t="e">
        <f>EXP(-LN(2)/2)*AW140+(1-EXP(-LN(2)/2))/(LN(2)/2)*AQ141*AT141*VLOOKUP('Données projet'!$B$10,Paramètres!$A$1:$I$89,3,0)*0.475*44/12</f>
        <v>#VALUE!</v>
      </c>
      <c r="AX141" s="21" t="e">
        <f t="shared" si="114"/>
        <v>#VALUE!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8.5265128291212022E-14</v>
      </c>
      <c r="O142" s="13">
        <f>N142*VLOOKUP('Données projet'!$B$9,Paramètres!$A$1:$I$89,3,0)*VLOOKUP('Données projet'!$B$9,Paramètres!$A$1:$I$89,5,0)</f>
        <v>7.4487616075202836E-14</v>
      </c>
      <c r="P142" s="13">
        <f t="shared" si="141"/>
        <v>1.1580453144473142E-12</v>
      </c>
      <c r="Q142" s="20">
        <f t="shared" si="108"/>
        <v>2.1466615206600508E-12</v>
      </c>
      <c r="R142" s="59">
        <f t="shared" si="109"/>
        <v>285.28344025620305</v>
      </c>
      <c r="S142" s="59">
        <f ca="1">AVERAGE(OFFSET($R$3,0,0,'Données projet'!$E$9+1,1))-AVERAGE(OFFSET($H$3,0,0,'Données projet'!$E$9+1,1))</f>
        <v>328.99319251806747</v>
      </c>
      <c r="T142" s="59">
        <f t="shared" si="142"/>
        <v>270.36198290276695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5.7546116728074401E-2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5.0034383655621378E-16</v>
      </c>
      <c r="AC142" s="22">
        <f t="shared" si="111"/>
        <v>5.75461167280749E-2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3.3992364478763198E-14</v>
      </c>
      <c r="AK142" s="13">
        <f t="shared" si="143"/>
        <v>5.790027782444094E-13</v>
      </c>
      <c r="AL142" s="20">
        <f t="shared" si="112"/>
        <v>1.0676332069095257E-12</v>
      </c>
      <c r="AM142" s="59">
        <f t="shared" si="113"/>
        <v>285.28344025620197</v>
      </c>
      <c r="AN142" s="59">
        <f ca="1">AVERAGE(OFFSET($AM$3,0,0,'Données projet'!$E$10+1,1))-AVERAGE(OFFSET($H$3,0,0,'Données projet'!$E$10+1,1))</f>
        <v>274.23303062063621</v>
      </c>
      <c r="AO142" s="59">
        <f t="shared" si="144"/>
        <v>289.08677371938779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#VALUE!</v>
      </c>
      <c r="AV142" s="21" t="e">
        <f>EXP(-LN(2)/25)*AV141+(1-EXP(-LN(2)/25))/(LN(2)/25)*Calculateur!AQ142*Calculateur!AS142*VLOOKUP('Données projet'!$B$10,Paramètres!$A$1:$I$89,3,0)*0.475*44/12</f>
        <v>#VALUE!</v>
      </c>
      <c r="AW142" s="21" t="e">
        <f>EXP(-LN(2)/2)*AW141+(1-EXP(-LN(2)/2))/(LN(2)/2)*AQ142*AT142*VLOOKUP('Données projet'!$B$10,Paramètres!$A$1:$I$89,3,0)*0.475*44/12</f>
        <v>#VALUE!</v>
      </c>
      <c r="AX142" s="21" t="e">
        <f t="shared" si="114"/>
        <v>#VALUE!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8.5265128291212022E-14</v>
      </c>
      <c r="O143" s="13">
        <f>N143*VLOOKUP('Données projet'!$B$9,Paramètres!$A$1:$I$89,3,0)*VLOOKUP('Données projet'!$B$9,Paramètres!$A$1:$I$89,5,0)</f>
        <v>7.4487616075202836E-14</v>
      </c>
      <c r="P143" s="13">
        <f t="shared" si="141"/>
        <v>1.1580453144473142E-12</v>
      </c>
      <c r="Q143" s="20">
        <f t="shared" si="108"/>
        <v>2.1466615206600508E-12</v>
      </c>
      <c r="R143" s="59">
        <f t="shared" si="109"/>
        <v>285.42308790422652</v>
      </c>
      <c r="S143" s="59">
        <f ca="1">AVERAGE(OFFSET($R$3,0,0,'Données projet'!$E$9+1,1))-AVERAGE(OFFSET($H$3,0,0,'Données projet'!$E$9+1,1))</f>
        <v>328.99319251806747</v>
      </c>
      <c r="T143" s="59">
        <f t="shared" si="142"/>
        <v>270.36198290276695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5.641767247870226E-2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3.5379651975379236E-16</v>
      </c>
      <c r="AC143" s="22">
        <f t="shared" si="111"/>
        <v>5.6417672478702614E-2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3.3992364478763198E-14</v>
      </c>
      <c r="AK143" s="13">
        <f t="shared" si="143"/>
        <v>5.790027782444094E-13</v>
      </c>
      <c r="AL143" s="20">
        <f t="shared" si="112"/>
        <v>1.0676332069095257E-12</v>
      </c>
      <c r="AM143" s="59">
        <f t="shared" si="113"/>
        <v>285.42308790422544</v>
      </c>
      <c r="AN143" s="59">
        <f ca="1">AVERAGE(OFFSET($AM$3,0,0,'Données projet'!$E$10+1,1))-AVERAGE(OFFSET($H$3,0,0,'Données projet'!$E$10+1,1))</f>
        <v>274.23303062063621</v>
      </c>
      <c r="AO143" s="59">
        <f t="shared" si="144"/>
        <v>289.08677371938779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#VALUE!</v>
      </c>
      <c r="AV143" s="21" t="e">
        <f>EXP(-LN(2)/25)*AV142+(1-EXP(-LN(2)/25))/(LN(2)/25)*Calculateur!AQ143*Calculateur!AS143*VLOOKUP('Données projet'!$B$10,Paramètres!$A$1:$I$89,3,0)*0.475*44/12</f>
        <v>#VALUE!</v>
      </c>
      <c r="AW143" s="21" t="e">
        <f>EXP(-LN(2)/2)*AW142+(1-EXP(-LN(2)/2))/(LN(2)/2)*AQ143*AT143*VLOOKUP('Données projet'!$B$10,Paramètres!$A$1:$I$89,3,0)*0.475*44/12</f>
        <v>#VALUE!</v>
      </c>
      <c r="AX143" s="21" t="e">
        <f t="shared" si="114"/>
        <v>#VALUE!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8.5265128291212022E-14</v>
      </c>
      <c r="O144" s="13">
        <f>N144*VLOOKUP('Données projet'!$B$9,Paramètres!$A$1:$I$89,3,0)*VLOOKUP('Données projet'!$B$9,Paramètres!$A$1:$I$89,5,0)</f>
        <v>7.4487616075202836E-14</v>
      </c>
      <c r="P144" s="13">
        <f t="shared" si="141"/>
        <v>1.1580453144473142E-12</v>
      </c>
      <c r="Q144" s="20">
        <f t="shared" si="108"/>
        <v>2.1466615206600508E-12</v>
      </c>
      <c r="R144" s="59">
        <f t="shared" si="109"/>
        <v>285.56031297776218</v>
      </c>
      <c r="S144" s="59">
        <f ca="1">AVERAGE(OFFSET($R$3,0,0,'Données projet'!$E$9+1,1))-AVERAGE(OFFSET($H$3,0,0,'Données projet'!$E$9+1,1))</f>
        <v>328.99319251806747</v>
      </c>
      <c r="T144" s="59">
        <f t="shared" si="142"/>
        <v>270.36198290276695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5.5311356332777277E-2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2.5017191827810689E-16</v>
      </c>
      <c r="AC144" s="22">
        <f t="shared" si="111"/>
        <v>5.5311356332777527E-2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3.3992364478763198E-14</v>
      </c>
      <c r="AK144" s="13">
        <f t="shared" si="143"/>
        <v>5.790027782444094E-13</v>
      </c>
      <c r="AL144" s="20">
        <f t="shared" si="112"/>
        <v>1.0676332069095257E-12</v>
      </c>
      <c r="AM144" s="59">
        <f t="shared" si="113"/>
        <v>285.5603129777611</v>
      </c>
      <c r="AN144" s="59">
        <f ca="1">AVERAGE(OFFSET($AM$3,0,0,'Données projet'!$E$10+1,1))-AVERAGE(OFFSET($H$3,0,0,'Données projet'!$E$10+1,1))</f>
        <v>274.23303062063621</v>
      </c>
      <c r="AO144" s="59">
        <f t="shared" si="144"/>
        <v>289.08677371938779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#VALUE!</v>
      </c>
      <c r="AV144" s="21" t="e">
        <f>EXP(-LN(2)/25)*AV143+(1-EXP(-LN(2)/25))/(LN(2)/25)*Calculateur!AQ144*Calculateur!AS144*VLOOKUP('Données projet'!$B$10,Paramètres!$A$1:$I$89,3,0)*0.475*44/12</f>
        <v>#VALUE!</v>
      </c>
      <c r="AW144" s="21" t="e">
        <f>EXP(-LN(2)/2)*AW143+(1-EXP(-LN(2)/2))/(LN(2)/2)*AQ144*AT144*VLOOKUP('Données projet'!$B$10,Paramètres!$A$1:$I$89,3,0)*0.475*44/12</f>
        <v>#VALUE!</v>
      </c>
      <c r="AX144" s="21" t="e">
        <f t="shared" si="114"/>
        <v>#VALUE!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8.5265128291212022E-14</v>
      </c>
      <c r="O145" s="13">
        <f>N145*VLOOKUP('Données projet'!$B$9,Paramètres!$A$1:$I$89,3,0)*VLOOKUP('Données projet'!$B$9,Paramètres!$A$1:$I$89,5,0)</f>
        <v>7.4487616075202836E-14</v>
      </c>
      <c r="P145" s="13">
        <f t="shared" si="141"/>
        <v>1.1580453144473142E-12</v>
      </c>
      <c r="Q145" s="20">
        <f t="shared" si="108"/>
        <v>2.1466615206600508E-12</v>
      </c>
      <c r="R145" s="59">
        <f t="shared" si="109"/>
        <v>285.69515750306124</v>
      </c>
      <c r="S145" s="59">
        <f ca="1">AVERAGE(OFFSET($R$3,0,0,'Données projet'!$E$9+1,1))-AVERAGE(OFFSET($H$3,0,0,'Données projet'!$E$9+1,1))</f>
        <v>328.99319251806747</v>
      </c>
      <c r="T145" s="59">
        <f t="shared" si="142"/>
        <v>270.36198290276695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5.4226734371687665E-2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1.7689825987689618E-16</v>
      </c>
      <c r="AC145" s="22">
        <f t="shared" si="111"/>
        <v>5.4226734371687839E-2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3.3992364478763198E-14</v>
      </c>
      <c r="AK145" s="13">
        <f t="shared" si="143"/>
        <v>5.790027782444094E-13</v>
      </c>
      <c r="AL145" s="20">
        <f t="shared" si="112"/>
        <v>1.0676332069095257E-12</v>
      </c>
      <c r="AM145" s="59">
        <f t="shared" si="113"/>
        <v>285.69515750306016</v>
      </c>
      <c r="AN145" s="59">
        <f ca="1">AVERAGE(OFFSET($AM$3,0,0,'Données projet'!$E$10+1,1))-AVERAGE(OFFSET($H$3,0,0,'Données projet'!$E$10+1,1))</f>
        <v>274.23303062063621</v>
      </c>
      <c r="AO145" s="59">
        <f t="shared" si="144"/>
        <v>289.08677371938779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#VALUE!</v>
      </c>
      <c r="AV145" s="21" t="e">
        <f>EXP(-LN(2)/25)*AV144+(1-EXP(-LN(2)/25))/(LN(2)/25)*Calculateur!AQ145*Calculateur!AS145*VLOOKUP('Données projet'!$B$10,Paramètres!$A$1:$I$89,3,0)*0.475*44/12</f>
        <v>#VALUE!</v>
      </c>
      <c r="AW145" s="21" t="e">
        <f>EXP(-LN(2)/2)*AW144+(1-EXP(-LN(2)/2))/(LN(2)/2)*AQ145*AT145*VLOOKUP('Données projet'!$B$10,Paramètres!$A$1:$I$89,3,0)*0.475*44/12</f>
        <v>#VALUE!</v>
      </c>
      <c r="AX145" s="21" t="e">
        <f t="shared" si="114"/>
        <v>#VALUE!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8.5265128291212022E-14</v>
      </c>
      <c r="O146" s="13">
        <f>N146*VLOOKUP('Données projet'!$B$9,Paramètres!$A$1:$I$89,3,0)*VLOOKUP('Données projet'!$B$9,Paramètres!$A$1:$I$89,5,0)</f>
        <v>7.4487616075202836E-14</v>
      </c>
      <c r="P146" s="13">
        <f t="shared" si="141"/>
        <v>1.1580453144473142E-12</v>
      </c>
      <c r="Q146" s="20">
        <f t="shared" si="108"/>
        <v>2.1466615206600508E-12</v>
      </c>
      <c r="R146" s="59">
        <f t="shared" si="109"/>
        <v>285.82766277731361</v>
      </c>
      <c r="S146" s="59">
        <f ca="1">AVERAGE(OFFSET($R$3,0,0,'Données projet'!$E$9+1,1))-AVERAGE(OFFSET($H$3,0,0,'Données projet'!$E$9+1,1))</f>
        <v>328.99319251806747</v>
      </c>
      <c r="T146" s="59">
        <f t="shared" si="142"/>
        <v>270.36198290276695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5.316338118570095E-2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1.2508595913905344E-16</v>
      </c>
      <c r="AC146" s="22">
        <f t="shared" si="111"/>
        <v>5.3163381185701075E-2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3.3992364478763198E-14</v>
      </c>
      <c r="AK146" s="13">
        <f t="shared" si="143"/>
        <v>5.790027782444094E-13</v>
      </c>
      <c r="AL146" s="20">
        <f t="shared" si="112"/>
        <v>1.0676332069095257E-12</v>
      </c>
      <c r="AM146" s="59">
        <f t="shared" si="113"/>
        <v>285.82766277731253</v>
      </c>
      <c r="AN146" s="59">
        <f ca="1">AVERAGE(OFFSET($AM$3,0,0,'Données projet'!$E$10+1,1))-AVERAGE(OFFSET($H$3,0,0,'Données projet'!$E$10+1,1))</f>
        <v>274.23303062063621</v>
      </c>
      <c r="AO146" s="59">
        <f t="shared" si="144"/>
        <v>289.08677371938779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#VALUE!</v>
      </c>
      <c r="AV146" s="21" t="e">
        <f>EXP(-LN(2)/25)*AV145+(1-EXP(-LN(2)/25))/(LN(2)/25)*Calculateur!AQ146*Calculateur!AS146*VLOOKUP('Données projet'!$B$10,Paramètres!$A$1:$I$89,3,0)*0.475*44/12</f>
        <v>#VALUE!</v>
      </c>
      <c r="AW146" s="21" t="e">
        <f>EXP(-LN(2)/2)*AW145+(1-EXP(-LN(2)/2))/(LN(2)/2)*AQ146*AT146*VLOOKUP('Données projet'!$B$10,Paramètres!$A$1:$I$89,3,0)*0.475*44/12</f>
        <v>#VALUE!</v>
      </c>
      <c r="AX146" s="21" t="e">
        <f t="shared" si="114"/>
        <v>#VALUE!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8.5265128291212022E-14</v>
      </c>
      <c r="O147" s="13">
        <f>N147*VLOOKUP('Données projet'!$B$9,Paramètres!$A$1:$I$89,3,0)*VLOOKUP('Données projet'!$B$9,Paramètres!$A$1:$I$89,5,0)</f>
        <v>7.4487616075202836E-14</v>
      </c>
      <c r="P147" s="13">
        <f t="shared" si="141"/>
        <v>1.1580453144473142E-12</v>
      </c>
      <c r="Q147" s="20">
        <f t="shared" si="108"/>
        <v>2.1466615206600508E-12</v>
      </c>
      <c r="R147" s="59">
        <f t="shared" si="109"/>
        <v>285.95786938129504</v>
      </c>
      <c r="S147" s="59">
        <f ca="1">AVERAGE(OFFSET($R$3,0,0,'Données projet'!$E$9+1,1))-AVERAGE(OFFSET($H$3,0,0,'Données projet'!$E$9+1,1))</f>
        <v>328.99319251806747</v>
      </c>
      <c r="T147" s="59">
        <f t="shared" si="142"/>
        <v>270.36198290276695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5.2120879707110032E-2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8.8449129938448089E-17</v>
      </c>
      <c r="AC147" s="22">
        <f t="shared" si="111"/>
        <v>5.2120879707110122E-2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3.3992364478763198E-14</v>
      </c>
      <c r="AK147" s="13">
        <f t="shared" si="143"/>
        <v>5.790027782444094E-13</v>
      </c>
      <c r="AL147" s="20">
        <f t="shared" si="112"/>
        <v>1.0676332069095257E-12</v>
      </c>
      <c r="AM147" s="59">
        <f t="shared" si="113"/>
        <v>285.95786938129396</v>
      </c>
      <c r="AN147" s="59">
        <f ca="1">AVERAGE(OFFSET($AM$3,0,0,'Données projet'!$E$10+1,1))-AVERAGE(OFFSET($H$3,0,0,'Données projet'!$E$10+1,1))</f>
        <v>274.23303062063621</v>
      </c>
      <c r="AO147" s="59">
        <f t="shared" si="144"/>
        <v>289.08677371938779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#VALUE!</v>
      </c>
      <c r="AV147" s="21" t="e">
        <f>EXP(-LN(2)/25)*AV146+(1-EXP(-LN(2)/25))/(LN(2)/25)*Calculateur!AQ147*Calculateur!AS147*VLOOKUP('Données projet'!$B$10,Paramètres!$A$1:$I$89,3,0)*0.475*44/12</f>
        <v>#VALUE!</v>
      </c>
      <c r="AW147" s="21" t="e">
        <f>EXP(-LN(2)/2)*AW146+(1-EXP(-LN(2)/2))/(LN(2)/2)*AQ147*AT147*VLOOKUP('Données projet'!$B$10,Paramètres!$A$1:$I$89,3,0)*0.475*44/12</f>
        <v>#VALUE!</v>
      </c>
      <c r="AX147" s="21" t="e">
        <f t="shared" si="114"/>
        <v>#VALUE!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8.5265128291212022E-14</v>
      </c>
      <c r="O148" s="13">
        <f>N148*VLOOKUP('Données projet'!$B$9,Paramètres!$A$1:$I$89,3,0)*VLOOKUP('Données projet'!$B$9,Paramètres!$A$1:$I$89,5,0)</f>
        <v>7.4487616075202836E-14</v>
      </c>
      <c r="P148" s="13">
        <f t="shared" si="141"/>
        <v>1.1580453144473142E-12</v>
      </c>
      <c r="Q148" s="20">
        <f t="shared" si="108"/>
        <v>2.1466615206600508E-12</v>
      </c>
      <c r="R148" s="59">
        <f t="shared" si="109"/>
        <v>286.08581719179574</v>
      </c>
      <c r="S148" s="59">
        <f ca="1">AVERAGE(OFFSET($R$3,0,0,'Données projet'!$E$9+1,1))-AVERAGE(OFFSET($H$3,0,0,'Données projet'!$E$9+1,1))</f>
        <v>328.99319251806747</v>
      </c>
      <c r="T148" s="59">
        <f t="shared" si="142"/>
        <v>270.36198290276695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5.1098821046651165E-2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6.2542979569526722E-17</v>
      </c>
      <c r="AC148" s="22">
        <f t="shared" si="111"/>
        <v>5.1098821046651227E-2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3.3992364478763198E-14</v>
      </c>
      <c r="AK148" s="13">
        <f t="shared" si="143"/>
        <v>5.790027782444094E-13</v>
      </c>
      <c r="AL148" s="20">
        <f t="shared" si="112"/>
        <v>1.0676332069095257E-12</v>
      </c>
      <c r="AM148" s="59">
        <f t="shared" si="113"/>
        <v>286.08581719179466</v>
      </c>
      <c r="AN148" s="59">
        <f ca="1">AVERAGE(OFFSET($AM$3,0,0,'Données projet'!$E$10+1,1))-AVERAGE(OFFSET($H$3,0,0,'Données projet'!$E$10+1,1))</f>
        <v>274.23303062063621</v>
      </c>
      <c r="AO148" s="59">
        <f t="shared" si="144"/>
        <v>289.08677371938779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#VALUE!</v>
      </c>
      <c r="AV148" s="21" t="e">
        <f>EXP(-LN(2)/25)*AV147+(1-EXP(-LN(2)/25))/(LN(2)/25)*Calculateur!AQ148*Calculateur!AS148*VLOOKUP('Données projet'!$B$10,Paramètres!$A$1:$I$89,3,0)*0.475*44/12</f>
        <v>#VALUE!</v>
      </c>
      <c r="AW148" s="21" t="e">
        <f>EXP(-LN(2)/2)*AW147+(1-EXP(-LN(2)/2))/(LN(2)/2)*AQ148*AT148*VLOOKUP('Données projet'!$B$10,Paramètres!$A$1:$I$89,3,0)*0.475*44/12</f>
        <v>#VALUE!</v>
      </c>
      <c r="AX148" s="21" t="e">
        <f t="shared" si="114"/>
        <v>#VALUE!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8.5265128291212022E-14</v>
      </c>
      <c r="O149" s="13">
        <f>N149*VLOOKUP('Données projet'!$B$9,Paramètres!$A$1:$I$89,3,0)*VLOOKUP('Données projet'!$B$9,Paramètres!$A$1:$I$89,5,0)</f>
        <v>7.4487616075202836E-14</v>
      </c>
      <c r="P149" s="13">
        <f t="shared" si="141"/>
        <v>1.1580453144473142E-12</v>
      </c>
      <c r="Q149" s="20">
        <f t="shared" si="108"/>
        <v>2.1466615206600508E-12</v>
      </c>
      <c r="R149" s="59">
        <f t="shared" si="109"/>
        <v>286.21154539383281</v>
      </c>
      <c r="S149" s="59">
        <f ca="1">AVERAGE(OFFSET($R$3,0,0,'Données projet'!$E$9+1,1))-AVERAGE(OFFSET($H$3,0,0,'Données projet'!$E$9+1,1))</f>
        <v>328.99319251806747</v>
      </c>
      <c r="T149" s="59">
        <f t="shared" si="142"/>
        <v>270.36198290276695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5.0096804333129671E-2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4.4224564969224044E-17</v>
      </c>
      <c r="AC149" s="22">
        <f t="shared" si="111"/>
        <v>5.0096804333129713E-2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3.3992364478763198E-14</v>
      </c>
      <c r="AK149" s="13">
        <f t="shared" si="143"/>
        <v>5.790027782444094E-13</v>
      </c>
      <c r="AL149" s="20">
        <f t="shared" si="112"/>
        <v>1.0676332069095257E-12</v>
      </c>
      <c r="AM149" s="59">
        <f t="shared" si="113"/>
        <v>286.21154539383173</v>
      </c>
      <c r="AN149" s="59">
        <f ca="1">AVERAGE(OFFSET($AM$3,0,0,'Données projet'!$E$10+1,1))-AVERAGE(OFFSET($H$3,0,0,'Données projet'!$E$10+1,1))</f>
        <v>274.23303062063621</v>
      </c>
      <c r="AO149" s="59">
        <f t="shared" si="144"/>
        <v>289.08677371938779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#VALUE!</v>
      </c>
      <c r="AV149" s="21" t="e">
        <f>EXP(-LN(2)/25)*AV148+(1-EXP(-LN(2)/25))/(LN(2)/25)*Calculateur!AQ149*Calculateur!AS149*VLOOKUP('Données projet'!$B$10,Paramètres!$A$1:$I$89,3,0)*0.475*44/12</f>
        <v>#VALUE!</v>
      </c>
      <c r="AW149" s="21" t="e">
        <f>EXP(-LN(2)/2)*AW148+(1-EXP(-LN(2)/2))/(LN(2)/2)*AQ149*AT149*VLOOKUP('Données projet'!$B$10,Paramètres!$A$1:$I$89,3,0)*0.475*44/12</f>
        <v>#VALUE!</v>
      </c>
      <c r="AX149" s="21" t="e">
        <f t="shared" si="114"/>
        <v>#VALUE!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8.5265128291212022E-14</v>
      </c>
      <c r="O150" s="13">
        <f>N150*VLOOKUP('Données projet'!$B$9,Paramètres!$A$1:$I$89,3,0)*VLOOKUP('Données projet'!$B$9,Paramètres!$A$1:$I$89,5,0)</f>
        <v>7.4487616075202836E-14</v>
      </c>
      <c r="P150" s="13">
        <f t="shared" si="141"/>
        <v>1.1580453144473142E-12</v>
      </c>
      <c r="Q150" s="20">
        <f t="shared" si="108"/>
        <v>2.1466615206600508E-12</v>
      </c>
      <c r="R150" s="59">
        <f t="shared" si="109"/>
        <v>286.33509249265057</v>
      </c>
      <c r="S150" s="59">
        <f ca="1">AVERAGE(OFFSET($R$3,0,0,'Données projet'!$E$9+1,1))-AVERAGE(OFFSET($H$3,0,0,'Données projet'!$E$9+1,1))</f>
        <v>328.99319251806747</v>
      </c>
      <c r="T150" s="59">
        <f t="shared" si="142"/>
        <v>270.36198290276695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4.9114436556190487E-2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3.1271489784763361E-17</v>
      </c>
      <c r="AC150" s="22">
        <f t="shared" si="111"/>
        <v>4.9114436556190522E-2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3.3992364478763198E-14</v>
      </c>
      <c r="AK150" s="13">
        <f t="shared" si="143"/>
        <v>5.790027782444094E-13</v>
      </c>
      <c r="AL150" s="20">
        <f t="shared" si="112"/>
        <v>1.0676332069095257E-12</v>
      </c>
      <c r="AM150" s="59">
        <f t="shared" si="113"/>
        <v>286.33509249264949</v>
      </c>
      <c r="AN150" s="59">
        <f ca="1">AVERAGE(OFFSET($AM$3,0,0,'Données projet'!$E$10+1,1))-AVERAGE(OFFSET($H$3,0,0,'Données projet'!$E$10+1,1))</f>
        <v>274.23303062063621</v>
      </c>
      <c r="AO150" s="59">
        <f t="shared" si="144"/>
        <v>289.08677371938779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#VALUE!</v>
      </c>
      <c r="AV150" s="21" t="e">
        <f>EXP(-LN(2)/25)*AV149+(1-EXP(-LN(2)/25))/(LN(2)/25)*Calculateur!AQ150*Calculateur!AS150*VLOOKUP('Données projet'!$B$10,Paramètres!$A$1:$I$89,3,0)*0.475*44/12</f>
        <v>#VALUE!</v>
      </c>
      <c r="AW150" s="21" t="e">
        <f>EXP(-LN(2)/2)*AW149+(1-EXP(-LN(2)/2))/(LN(2)/2)*AQ150*AT150*VLOOKUP('Données projet'!$B$10,Paramètres!$A$1:$I$89,3,0)*0.475*44/12</f>
        <v>#VALUE!</v>
      </c>
      <c r="AX150" s="21" t="e">
        <f t="shared" si="114"/>
        <v>#VALUE!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8.5265128291212022E-14</v>
      </c>
      <c r="O151" s="13">
        <f>N151*VLOOKUP('Données projet'!$B$9,Paramètres!$A$1:$I$89,3,0)*VLOOKUP('Données projet'!$B$9,Paramètres!$A$1:$I$89,5,0)</f>
        <v>7.4487616075202836E-14</v>
      </c>
      <c r="P151" s="13">
        <f t="shared" si="141"/>
        <v>1.1580453144473142E-12</v>
      </c>
      <c r="Q151" s="20">
        <f t="shared" si="108"/>
        <v>2.1466615206600508E-12</v>
      </c>
      <c r="R151" s="59">
        <f t="shared" si="109"/>
        <v>286.45649632551385</v>
      </c>
      <c r="S151" s="59">
        <f ca="1">AVERAGE(OFFSET($R$3,0,0,'Données projet'!$E$9+1,1))-AVERAGE(OFFSET($H$3,0,0,'Données projet'!$E$9+1,1))</f>
        <v>328.99319251806747</v>
      </c>
      <c r="T151" s="59">
        <f t="shared" si="142"/>
        <v>270.36198290276695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4.8151332412171899E-2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2.2112282484612022E-17</v>
      </c>
      <c r="AC151" s="22">
        <f t="shared" si="111"/>
        <v>4.815133241217192E-2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3.3992364478763198E-14</v>
      </c>
      <c r="AK151" s="13">
        <f t="shared" si="143"/>
        <v>5.790027782444094E-13</v>
      </c>
      <c r="AL151" s="20">
        <f t="shared" si="112"/>
        <v>1.0676332069095257E-12</v>
      </c>
      <c r="AM151" s="59">
        <f t="shared" si="113"/>
        <v>286.45649632551277</v>
      </c>
      <c r="AN151" s="59">
        <f ca="1">AVERAGE(OFFSET($AM$3,0,0,'Données projet'!$E$10+1,1))-AVERAGE(OFFSET($H$3,0,0,'Données projet'!$E$10+1,1))</f>
        <v>274.23303062063621</v>
      </c>
      <c r="AO151" s="59">
        <f t="shared" si="144"/>
        <v>289.08677371938779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#VALUE!</v>
      </c>
      <c r="AV151" s="21" t="e">
        <f>EXP(-LN(2)/25)*AV150+(1-EXP(-LN(2)/25))/(LN(2)/25)*Calculateur!AQ151*Calculateur!AS151*VLOOKUP('Données projet'!$B$10,Paramètres!$A$1:$I$89,3,0)*0.475*44/12</f>
        <v>#VALUE!</v>
      </c>
      <c r="AW151" s="21" t="e">
        <f>EXP(-LN(2)/2)*AW150+(1-EXP(-LN(2)/2))/(LN(2)/2)*AQ151*AT151*VLOOKUP('Données projet'!$B$10,Paramètres!$A$1:$I$89,3,0)*0.475*44/12</f>
        <v>#VALUE!</v>
      </c>
      <c r="AX151" s="21" t="e">
        <f t="shared" si="114"/>
        <v>#VALUE!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8.5265128291212022E-14</v>
      </c>
      <c r="O152" s="13">
        <f>N152*VLOOKUP('Données projet'!$B$9,Paramètres!$A$1:$I$89,3,0)*VLOOKUP('Données projet'!$B$9,Paramètres!$A$1:$I$89,5,0)</f>
        <v>7.4487616075202836E-14</v>
      </c>
      <c r="P152" s="13">
        <f t="shared" si="141"/>
        <v>1.1580453144473142E-12</v>
      </c>
      <c r="Q152" s="20">
        <f t="shared" si="108"/>
        <v>2.1466615206600508E-12</v>
      </c>
      <c r="R152" s="59">
        <f t="shared" si="109"/>
        <v>286.57579407329524</v>
      </c>
      <c r="S152" s="59">
        <f ca="1">AVERAGE(OFFSET($R$3,0,0,'Données projet'!$E$9+1,1))-AVERAGE(OFFSET($H$3,0,0,'Données projet'!$E$9+1,1))</f>
        <v>328.99319251806747</v>
      </c>
      <c r="T152" s="59">
        <f t="shared" si="142"/>
        <v>270.36198290276695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4.720711415298199E-2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1.563574489238168E-17</v>
      </c>
      <c r="AC152" s="22">
        <f t="shared" si="111"/>
        <v>4.7207114152982003E-2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3.3992364478763198E-14</v>
      </c>
      <c r="AK152" s="13">
        <f t="shared" si="143"/>
        <v>5.790027782444094E-13</v>
      </c>
      <c r="AL152" s="20">
        <f t="shared" si="112"/>
        <v>1.0676332069095257E-12</v>
      </c>
      <c r="AM152" s="59">
        <f t="shared" si="113"/>
        <v>286.57579407329416</v>
      </c>
      <c r="AN152" s="59">
        <f ca="1">AVERAGE(OFFSET($AM$3,0,0,'Données projet'!$E$10+1,1))-AVERAGE(OFFSET($H$3,0,0,'Données projet'!$E$10+1,1))</f>
        <v>274.23303062063621</v>
      </c>
      <c r="AO152" s="59">
        <f t="shared" si="144"/>
        <v>289.08677371938779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#VALUE!</v>
      </c>
      <c r="AV152" s="21" t="e">
        <f>EXP(-LN(2)/25)*AV151+(1-EXP(-LN(2)/25))/(LN(2)/25)*Calculateur!AQ152*Calculateur!AS152*VLOOKUP('Données projet'!$B$10,Paramètres!$A$1:$I$89,3,0)*0.475*44/12</f>
        <v>#VALUE!</v>
      </c>
      <c r="AW152" s="21" t="e">
        <f>EXP(-LN(2)/2)*AW151+(1-EXP(-LN(2)/2))/(LN(2)/2)*AQ152*AT152*VLOOKUP('Données projet'!$B$10,Paramètres!$A$1:$I$89,3,0)*0.475*44/12</f>
        <v>#VALUE!</v>
      </c>
      <c r="AX152" s="21" t="e">
        <f t="shared" si="114"/>
        <v>#VALUE!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8.5265128291212022E-14</v>
      </c>
      <c r="O153" s="13">
        <f>N153*VLOOKUP('Données projet'!$B$9,Paramètres!$A$1:$I$89,3,0)*VLOOKUP('Données projet'!$B$9,Paramètres!$A$1:$I$89,5,0)</f>
        <v>7.4487616075202836E-14</v>
      </c>
      <c r="P153" s="13">
        <f t="shared" si="141"/>
        <v>1.1580453144473142E-12</v>
      </c>
      <c r="Q153" s="20">
        <f t="shared" si="108"/>
        <v>2.1466615206600508E-12</v>
      </c>
      <c r="R153" s="59">
        <f t="shared" si="109"/>
        <v>286.6930222718625</v>
      </c>
      <c r="S153" s="59">
        <f ca="1">AVERAGE(OFFSET($R$3,0,0,'Données projet'!$E$9+1,1))-AVERAGE(OFFSET($H$3,0,0,'Données projet'!$E$9+1,1))</f>
        <v>328.99319251806747</v>
      </c>
      <c r="T153" s="59">
        <f t="shared" si="142"/>
        <v>270.36198290276695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4.6281411437938527E-2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1.1056141242306011E-17</v>
      </c>
      <c r="AC153" s="22">
        <f t="shared" si="111"/>
        <v>4.6281411437938541E-2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3.3992364478763198E-14</v>
      </c>
      <c r="AK153" s="13">
        <f t="shared" si="143"/>
        <v>5.790027782444094E-13</v>
      </c>
      <c r="AL153" s="20">
        <f t="shared" si="112"/>
        <v>1.0676332069095257E-12</v>
      </c>
      <c r="AM153" s="59">
        <f t="shared" si="113"/>
        <v>286.69302227186142</v>
      </c>
      <c r="AN153" s="59">
        <f ca="1">AVERAGE(OFFSET($AM$3,0,0,'Données projet'!$E$10+1,1))-AVERAGE(OFFSET($H$3,0,0,'Données projet'!$E$10+1,1))</f>
        <v>274.23303062063621</v>
      </c>
      <c r="AO153" s="59">
        <f t="shared" si="144"/>
        <v>289.08677371938779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#VALUE!</v>
      </c>
      <c r="AV153" s="21" t="e">
        <f>EXP(-LN(2)/25)*AV152+(1-EXP(-LN(2)/25))/(LN(2)/25)*Calculateur!AQ153*Calculateur!AS153*VLOOKUP('Données projet'!$B$10,Paramètres!$A$1:$I$89,3,0)*0.475*44/12</f>
        <v>#VALUE!</v>
      </c>
      <c r="AW153" s="21" t="e">
        <f>EXP(-LN(2)/2)*AW152+(1-EXP(-LN(2)/2))/(LN(2)/2)*AQ153*AT153*VLOOKUP('Données projet'!$B$10,Paramètres!$A$1:$I$89,3,0)*0.475*44/12</f>
        <v>#VALUE!</v>
      </c>
      <c r="AX153" s="21" t="e">
        <f t="shared" si="114"/>
        <v>#VALUE!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8.5265128291212022E-14</v>
      </c>
      <c r="O154" s="13">
        <f>N154*VLOOKUP('Données projet'!$B$9,Paramètres!$A$1:$I$89,3,0)*VLOOKUP('Données projet'!$B$9,Paramètres!$A$1:$I$89,5,0)</f>
        <v>7.4487616075202836E-14</v>
      </c>
      <c r="P154" s="13">
        <f t="shared" si="141"/>
        <v>1.1580453144473142E-12</v>
      </c>
      <c r="Q154" s="20">
        <f t="shared" ref="Q154:Q203" si="162">(O154+P154)*0.475*44/12</f>
        <v>2.1466615206600508E-12</v>
      </c>
      <c r="R154" s="59">
        <f t="shared" si="109"/>
        <v>286.80821682326751</v>
      </c>
      <c r="S154" s="59">
        <f ca="1">AVERAGE(OFFSET($R$3,0,0,'Données projet'!$E$9+1,1))-AVERAGE(OFFSET($H$3,0,0,'Données projet'!$E$9+1,1))</f>
        <v>328.99319251806747</v>
      </c>
      <c r="T154" s="59">
        <f t="shared" si="142"/>
        <v>270.36198290276695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4.5373861188514157E-2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7.8178724461908402E-18</v>
      </c>
      <c r="AC154" s="22">
        <f t="shared" ref="AC154:AC203" si="163">SUM(Z154:AB154)</f>
        <v>4.5373861188514164E-2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3.3992364478763198E-14</v>
      </c>
      <c r="AK154" s="13">
        <f t="shared" ref="AK154:AK203" si="164">EXP(-1.0587+0.8836*LN(AJ154)+0.284)</f>
        <v>5.790027782444094E-13</v>
      </c>
      <c r="AL154" s="20">
        <f t="shared" ref="AL154:AL203" si="165">(AJ154+AK154)*0.475*44/12</f>
        <v>1.0676332069095257E-12</v>
      </c>
      <c r="AM154" s="59">
        <f t="shared" si="113"/>
        <v>286.80821682326643</v>
      </c>
      <c r="AN154" s="59">
        <f ca="1">AVERAGE(OFFSET($AM$3,0,0,'Données projet'!$E$10+1,1))-AVERAGE(OFFSET($H$3,0,0,'Données projet'!$E$10+1,1))</f>
        <v>274.23303062063621</v>
      </c>
      <c r="AO154" s="59">
        <f t="shared" si="144"/>
        <v>289.08677371938779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#VALUE!</v>
      </c>
      <c r="AV154" s="21" t="e">
        <f>EXP(-LN(2)/25)*AV153+(1-EXP(-LN(2)/25))/(LN(2)/25)*Calculateur!AQ154*Calculateur!AS154*VLOOKUP('Données projet'!$B$10,Paramètres!$A$1:$I$89,3,0)*0.475*44/12</f>
        <v>#VALUE!</v>
      </c>
      <c r="AW154" s="21" t="e">
        <f>EXP(-LN(2)/2)*AW153+(1-EXP(-LN(2)/2))/(LN(2)/2)*AQ154*AT154*VLOOKUP('Données projet'!$B$10,Paramètres!$A$1:$I$89,3,0)*0.475*44/12</f>
        <v>#VALUE!</v>
      </c>
      <c r="AX154" s="21" t="e">
        <f t="shared" ref="AX154:AX203" si="166">SUM(AU154:AW154)</f>
        <v>#VALUE!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8.5265128291212022E-14</v>
      </c>
      <c r="O155" s="13">
        <f>N155*VLOOKUP('Données projet'!$B$9,Paramètres!$A$1:$I$89,3,0)*VLOOKUP('Données projet'!$B$9,Paramètres!$A$1:$I$89,5,0)</f>
        <v>7.4487616075202836E-14</v>
      </c>
      <c r="P155" s="13">
        <f t="shared" si="141"/>
        <v>1.1580453144473142E-12</v>
      </c>
      <c r="Q155" s="20">
        <f t="shared" si="162"/>
        <v>2.1466615206600508E-12</v>
      </c>
      <c r="R155" s="59">
        <f t="shared" si="109"/>
        <v>286.92141300674206</v>
      </c>
      <c r="S155" s="59">
        <f ca="1">AVERAGE(OFFSET($R$3,0,0,'Données projet'!$E$9+1,1))-AVERAGE(OFFSET($H$3,0,0,'Données projet'!$E$9+1,1))</f>
        <v>328.99319251806747</v>
      </c>
      <c r="T155" s="59">
        <f t="shared" si="142"/>
        <v>270.36198290276695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4.448410744593001E-2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5.5280706211530056E-18</v>
      </c>
      <c r="AC155" s="22">
        <f t="shared" si="163"/>
        <v>4.4484107445930017E-2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3.3992364478763198E-14</v>
      </c>
      <c r="AK155" s="13">
        <f t="shared" si="164"/>
        <v>5.790027782444094E-13</v>
      </c>
      <c r="AL155" s="20">
        <f t="shared" si="165"/>
        <v>1.0676332069095257E-12</v>
      </c>
      <c r="AM155" s="59">
        <f t="shared" si="113"/>
        <v>286.92141300674098</v>
      </c>
      <c r="AN155" s="59">
        <f ca="1">AVERAGE(OFFSET($AM$3,0,0,'Données projet'!$E$10+1,1))-AVERAGE(OFFSET($H$3,0,0,'Données projet'!$E$10+1,1))</f>
        <v>274.23303062063621</v>
      </c>
      <c r="AO155" s="59">
        <f t="shared" si="144"/>
        <v>289.08677371938779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#VALUE!</v>
      </c>
      <c r="AV155" s="21" t="e">
        <f>EXP(-LN(2)/25)*AV154+(1-EXP(-LN(2)/25))/(LN(2)/25)*Calculateur!AQ155*Calculateur!AS155*VLOOKUP('Données projet'!$B$10,Paramètres!$A$1:$I$89,3,0)*0.475*44/12</f>
        <v>#VALUE!</v>
      </c>
      <c r="AW155" s="21" t="e">
        <f>EXP(-LN(2)/2)*AW154+(1-EXP(-LN(2)/2))/(LN(2)/2)*AQ155*AT155*VLOOKUP('Données projet'!$B$10,Paramètres!$A$1:$I$89,3,0)*0.475*44/12</f>
        <v>#VALUE!</v>
      </c>
      <c r="AX155" s="21" t="e">
        <f t="shared" si="166"/>
        <v>#VALUE!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8.5265128291212022E-14</v>
      </c>
      <c r="O156" s="13">
        <f>N156*VLOOKUP('Données projet'!$B$9,Paramètres!$A$1:$I$89,3,0)*VLOOKUP('Données projet'!$B$9,Paramètres!$A$1:$I$89,5,0)</f>
        <v>7.4487616075202836E-14</v>
      </c>
      <c r="P156" s="13">
        <f t="shared" si="141"/>
        <v>1.1580453144473142E-12</v>
      </c>
      <c r="Q156" s="20">
        <f t="shared" si="162"/>
        <v>2.1466615206600508E-12</v>
      </c>
      <c r="R156" s="59">
        <f t="shared" si="109"/>
        <v>287.03264548950216</v>
      </c>
      <c r="S156" s="59">
        <f ca="1">AVERAGE(OFFSET($R$3,0,0,'Données projet'!$E$9+1,1))-AVERAGE(OFFSET($H$3,0,0,'Données projet'!$E$9+1,1))</f>
        <v>328.99319251806747</v>
      </c>
      <c r="T156" s="59">
        <f t="shared" si="142"/>
        <v>270.36198290276695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4.3611801231541743E-2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3.9089362230954201E-18</v>
      </c>
      <c r="AC156" s="22">
        <f t="shared" si="163"/>
        <v>4.361180123154175E-2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3.3992364478763198E-14</v>
      </c>
      <c r="AK156" s="13">
        <f t="shared" si="164"/>
        <v>5.790027782444094E-13</v>
      </c>
      <c r="AL156" s="20">
        <f t="shared" si="165"/>
        <v>1.0676332069095257E-12</v>
      </c>
      <c r="AM156" s="59">
        <f t="shared" si="113"/>
        <v>287.03264548950108</v>
      </c>
      <c r="AN156" s="59">
        <f ca="1">AVERAGE(OFFSET($AM$3,0,0,'Données projet'!$E$10+1,1))-AVERAGE(OFFSET($H$3,0,0,'Données projet'!$E$10+1,1))</f>
        <v>274.23303062063621</v>
      </c>
      <c r="AO156" s="59">
        <f t="shared" si="144"/>
        <v>289.08677371938779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#VALUE!</v>
      </c>
      <c r="AV156" s="21" t="e">
        <f>EXP(-LN(2)/25)*AV155+(1-EXP(-LN(2)/25))/(LN(2)/25)*Calculateur!AQ156*Calculateur!AS156*VLOOKUP('Données projet'!$B$10,Paramètres!$A$1:$I$89,3,0)*0.475*44/12</f>
        <v>#VALUE!</v>
      </c>
      <c r="AW156" s="21" t="e">
        <f>EXP(-LN(2)/2)*AW155+(1-EXP(-LN(2)/2))/(LN(2)/2)*AQ156*AT156*VLOOKUP('Données projet'!$B$10,Paramètres!$A$1:$I$89,3,0)*0.475*44/12</f>
        <v>#VALUE!</v>
      </c>
      <c r="AX156" s="21" t="e">
        <f t="shared" si="166"/>
        <v>#VALUE!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8.5265128291212022E-14</v>
      </c>
      <c r="O157" s="13">
        <f>N157*VLOOKUP('Données projet'!$B$9,Paramètres!$A$1:$I$89,3,0)*VLOOKUP('Données projet'!$B$9,Paramètres!$A$1:$I$89,5,0)</f>
        <v>7.4487616075202836E-14</v>
      </c>
      <c r="P157" s="13">
        <f t="shared" si="141"/>
        <v>1.1580453144473142E-12</v>
      </c>
      <c r="Q157" s="20">
        <f t="shared" si="162"/>
        <v>2.1466615206600508E-12</v>
      </c>
      <c r="R157" s="59">
        <f t="shared" si="109"/>
        <v>287.14194833736491</v>
      </c>
      <c r="S157" s="59">
        <f ca="1">AVERAGE(OFFSET($R$3,0,0,'Données projet'!$E$9+1,1))-AVERAGE(OFFSET($H$3,0,0,'Données projet'!$E$9+1,1))</f>
        <v>328.99319251806747</v>
      </c>
      <c r="T157" s="59">
        <f t="shared" si="142"/>
        <v>270.36198290276695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4.2756600409963375E-2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2.7640353105765028E-18</v>
      </c>
      <c r="AC157" s="22">
        <f t="shared" si="163"/>
        <v>4.2756600409963375E-2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3.3992364478763198E-14</v>
      </c>
      <c r="AK157" s="13">
        <f t="shared" si="164"/>
        <v>5.790027782444094E-13</v>
      </c>
      <c r="AL157" s="20">
        <f t="shared" si="165"/>
        <v>1.0676332069095257E-12</v>
      </c>
      <c r="AM157" s="59">
        <f t="shared" si="113"/>
        <v>287.14194833736383</v>
      </c>
      <c r="AN157" s="59">
        <f ca="1">AVERAGE(OFFSET($AM$3,0,0,'Données projet'!$E$10+1,1))-AVERAGE(OFFSET($H$3,0,0,'Données projet'!$E$10+1,1))</f>
        <v>274.23303062063621</v>
      </c>
      <c r="AO157" s="59">
        <f t="shared" si="144"/>
        <v>289.08677371938779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#VALUE!</v>
      </c>
      <c r="AV157" s="21" t="e">
        <f>EXP(-LN(2)/25)*AV156+(1-EXP(-LN(2)/25))/(LN(2)/25)*Calculateur!AQ157*Calculateur!AS157*VLOOKUP('Données projet'!$B$10,Paramètres!$A$1:$I$89,3,0)*0.475*44/12</f>
        <v>#VALUE!</v>
      </c>
      <c r="AW157" s="21" t="e">
        <f>EXP(-LN(2)/2)*AW156+(1-EXP(-LN(2)/2))/(LN(2)/2)*AQ157*AT157*VLOOKUP('Données projet'!$B$10,Paramètres!$A$1:$I$89,3,0)*0.475*44/12</f>
        <v>#VALUE!</v>
      </c>
      <c r="AX157" s="21" t="e">
        <f t="shared" si="166"/>
        <v>#VALUE!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8.5265128291212022E-14</v>
      </c>
      <c r="O158" s="13">
        <f>N158*VLOOKUP('Données projet'!$B$9,Paramètres!$A$1:$I$89,3,0)*VLOOKUP('Données projet'!$B$9,Paramètres!$A$1:$I$89,5,0)</f>
        <v>7.4487616075202836E-14</v>
      </c>
      <c r="P158" s="13">
        <f t="shared" si="141"/>
        <v>1.1580453144473142E-12</v>
      </c>
      <c r="Q158" s="20">
        <f t="shared" si="162"/>
        <v>2.1466615206600508E-12</v>
      </c>
      <c r="R158" s="59">
        <f t="shared" si="109"/>
        <v>287.24935502518184</v>
      </c>
      <c r="S158" s="59">
        <f ca="1">AVERAGE(OFFSET($R$3,0,0,'Données projet'!$E$9+1,1))-AVERAGE(OFFSET($H$3,0,0,'Données projet'!$E$9+1,1))</f>
        <v>328.99319251806747</v>
      </c>
      <c r="T158" s="59">
        <f t="shared" si="142"/>
        <v>270.36198290276695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4.1918169554875158E-2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1.9544681115477101E-18</v>
      </c>
      <c r="AC158" s="22">
        <f t="shared" si="163"/>
        <v>4.1918169554875158E-2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3.3992364478763198E-14</v>
      </c>
      <c r="AK158" s="13">
        <f t="shared" si="164"/>
        <v>5.790027782444094E-13</v>
      </c>
      <c r="AL158" s="20">
        <f t="shared" si="165"/>
        <v>1.0676332069095257E-12</v>
      </c>
      <c r="AM158" s="59">
        <f t="shared" si="113"/>
        <v>287.24935502518076</v>
      </c>
      <c r="AN158" s="59">
        <f ca="1">AVERAGE(OFFSET($AM$3,0,0,'Données projet'!$E$10+1,1))-AVERAGE(OFFSET($H$3,0,0,'Données projet'!$E$10+1,1))</f>
        <v>274.23303062063621</v>
      </c>
      <c r="AO158" s="59">
        <f t="shared" si="144"/>
        <v>289.08677371938779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#VALUE!</v>
      </c>
      <c r="AV158" s="21" t="e">
        <f>EXP(-LN(2)/25)*AV157+(1-EXP(-LN(2)/25))/(LN(2)/25)*Calculateur!AQ158*Calculateur!AS158*VLOOKUP('Données projet'!$B$10,Paramètres!$A$1:$I$89,3,0)*0.475*44/12</f>
        <v>#VALUE!</v>
      </c>
      <c r="AW158" s="21" t="e">
        <f>EXP(-LN(2)/2)*AW157+(1-EXP(-LN(2)/2))/(LN(2)/2)*AQ158*AT158*VLOOKUP('Données projet'!$B$10,Paramètres!$A$1:$I$89,3,0)*0.475*44/12</f>
        <v>#VALUE!</v>
      </c>
      <c r="AX158" s="21" t="e">
        <f t="shared" si="166"/>
        <v>#VALUE!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8.5265128291212022E-14</v>
      </c>
      <c r="O159" s="13">
        <f>N159*VLOOKUP('Données projet'!$B$9,Paramètres!$A$1:$I$89,3,0)*VLOOKUP('Données projet'!$B$9,Paramètres!$A$1:$I$89,5,0)</f>
        <v>7.4487616075202836E-14</v>
      </c>
      <c r="P159" s="13">
        <f t="shared" si="141"/>
        <v>1.1580453144473142E-12</v>
      </c>
      <c r="Q159" s="20">
        <f t="shared" si="162"/>
        <v>2.1466615206600508E-12</v>
      </c>
      <c r="R159" s="59">
        <f t="shared" si="109"/>
        <v>287.35489844709048</v>
      </c>
      <c r="S159" s="59">
        <f ca="1">AVERAGE(OFFSET($R$3,0,0,'Données projet'!$E$9+1,1))-AVERAGE(OFFSET($H$3,0,0,'Données projet'!$E$9+1,1))</f>
        <v>328.99319251806747</v>
      </c>
      <c r="T159" s="59">
        <f t="shared" si="142"/>
        <v>270.36198290276695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4.1096179817462899E-2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1.3820176552882514E-18</v>
      </c>
      <c r="AC159" s="22">
        <f t="shared" si="163"/>
        <v>4.1096179817462899E-2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3.3992364478763198E-14</v>
      </c>
      <c r="AK159" s="13">
        <f t="shared" si="164"/>
        <v>5.790027782444094E-13</v>
      </c>
      <c r="AL159" s="20">
        <f t="shared" si="165"/>
        <v>1.0676332069095257E-12</v>
      </c>
      <c r="AM159" s="59">
        <f t="shared" si="113"/>
        <v>287.3548984470894</v>
      </c>
      <c r="AN159" s="59">
        <f ca="1">AVERAGE(OFFSET($AM$3,0,0,'Données projet'!$E$10+1,1))-AVERAGE(OFFSET($H$3,0,0,'Données projet'!$E$10+1,1))</f>
        <v>274.23303062063621</v>
      </c>
      <c r="AO159" s="59">
        <f t="shared" si="144"/>
        <v>289.08677371938779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#VALUE!</v>
      </c>
      <c r="AV159" s="21" t="e">
        <f>EXP(-LN(2)/25)*AV158+(1-EXP(-LN(2)/25))/(LN(2)/25)*Calculateur!AQ159*Calculateur!AS159*VLOOKUP('Données projet'!$B$10,Paramètres!$A$1:$I$89,3,0)*0.475*44/12</f>
        <v>#VALUE!</v>
      </c>
      <c r="AW159" s="21" t="e">
        <f>EXP(-LN(2)/2)*AW158+(1-EXP(-LN(2)/2))/(LN(2)/2)*AQ159*AT159*VLOOKUP('Données projet'!$B$10,Paramètres!$A$1:$I$89,3,0)*0.475*44/12</f>
        <v>#VALUE!</v>
      </c>
      <c r="AX159" s="21" t="e">
        <f t="shared" si="166"/>
        <v>#VALUE!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8.5265128291212022E-14</v>
      </c>
      <c r="O160" s="13">
        <f>N160*VLOOKUP('Données projet'!$B$9,Paramètres!$A$1:$I$89,3,0)*VLOOKUP('Données projet'!$B$9,Paramètres!$A$1:$I$89,5,0)</f>
        <v>7.4487616075202836E-14</v>
      </c>
      <c r="P160" s="13">
        <f t="shared" si="141"/>
        <v>1.1580453144473142E-12</v>
      </c>
      <c r="Q160" s="20">
        <f t="shared" si="162"/>
        <v>2.1466615206600508E-12</v>
      </c>
      <c r="R160" s="59">
        <f t="shared" si="109"/>
        <v>287.45861092658873</v>
      </c>
      <c r="S160" s="59">
        <f ca="1">AVERAGE(OFFSET($R$3,0,0,'Données projet'!$E$9+1,1))-AVERAGE(OFFSET($H$3,0,0,'Données projet'!$E$9+1,1))</f>
        <v>328.99319251806747</v>
      </c>
      <c r="T160" s="59">
        <f t="shared" si="142"/>
        <v>270.36198290276695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4.0290308797437058E-2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9.7723405577385503E-19</v>
      </c>
      <c r="AC160" s="22">
        <f t="shared" si="163"/>
        <v>4.0290308797437058E-2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3.3992364478763198E-14</v>
      </c>
      <c r="AK160" s="13">
        <f t="shared" si="164"/>
        <v>5.790027782444094E-13</v>
      </c>
      <c r="AL160" s="20">
        <f t="shared" si="165"/>
        <v>1.0676332069095257E-12</v>
      </c>
      <c r="AM160" s="59">
        <f t="shared" si="113"/>
        <v>287.45861092658765</v>
      </c>
      <c r="AN160" s="59">
        <f ca="1">AVERAGE(OFFSET($AM$3,0,0,'Données projet'!$E$10+1,1))-AVERAGE(OFFSET($H$3,0,0,'Données projet'!$E$10+1,1))</f>
        <v>274.23303062063621</v>
      </c>
      <c r="AO160" s="59">
        <f t="shared" si="144"/>
        <v>289.08677371938779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#VALUE!</v>
      </c>
      <c r="AV160" s="21" t="e">
        <f>EXP(-LN(2)/25)*AV159+(1-EXP(-LN(2)/25))/(LN(2)/25)*Calculateur!AQ160*Calculateur!AS160*VLOOKUP('Données projet'!$B$10,Paramètres!$A$1:$I$89,3,0)*0.475*44/12</f>
        <v>#VALUE!</v>
      </c>
      <c r="AW160" s="21" t="e">
        <f>EXP(-LN(2)/2)*AW159+(1-EXP(-LN(2)/2))/(LN(2)/2)*AQ160*AT160*VLOOKUP('Données projet'!$B$10,Paramètres!$A$1:$I$89,3,0)*0.475*44/12</f>
        <v>#VALUE!</v>
      </c>
      <c r="AX160" s="21" t="e">
        <f t="shared" si="166"/>
        <v>#VALUE!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8.5265128291212022E-14</v>
      </c>
      <c r="O161" s="13">
        <f>N161*VLOOKUP('Données projet'!$B$9,Paramètres!$A$1:$I$89,3,0)*VLOOKUP('Données projet'!$B$9,Paramètres!$A$1:$I$89,5,0)</f>
        <v>7.4487616075202836E-14</v>
      </c>
      <c r="P161" s="13">
        <f t="shared" si="141"/>
        <v>1.1580453144473142E-12</v>
      </c>
      <c r="Q161" s="20">
        <f t="shared" si="162"/>
        <v>2.1466615206600508E-12</v>
      </c>
      <c r="R161" s="59">
        <f t="shared" si="109"/>
        <v>287.56052422643415</v>
      </c>
      <c r="S161" s="59">
        <f ca="1">AVERAGE(OFFSET($R$3,0,0,'Données projet'!$E$9+1,1))-AVERAGE(OFFSET($H$3,0,0,'Données projet'!$E$9+1,1))</f>
        <v>328.99319251806747</v>
      </c>
      <c r="T161" s="59">
        <f t="shared" si="142"/>
        <v>270.36198290276695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3.9500240416581137E-2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6.9100882764412569E-19</v>
      </c>
      <c r="AC161" s="22">
        <f t="shared" si="163"/>
        <v>3.9500240416581137E-2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3.3992364478763198E-14</v>
      </c>
      <c r="AK161" s="13">
        <f t="shared" si="164"/>
        <v>5.790027782444094E-13</v>
      </c>
      <c r="AL161" s="20">
        <f t="shared" si="165"/>
        <v>1.0676332069095257E-12</v>
      </c>
      <c r="AM161" s="59">
        <f t="shared" si="113"/>
        <v>287.56052422643307</v>
      </c>
      <c r="AN161" s="59">
        <f ca="1">AVERAGE(OFFSET($AM$3,0,0,'Données projet'!$E$10+1,1))-AVERAGE(OFFSET($H$3,0,0,'Données projet'!$E$10+1,1))</f>
        <v>274.23303062063621</v>
      </c>
      <c r="AO161" s="59">
        <f t="shared" si="144"/>
        <v>289.08677371938779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#VALUE!</v>
      </c>
      <c r="AV161" s="21" t="e">
        <f>EXP(-LN(2)/25)*AV160+(1-EXP(-LN(2)/25))/(LN(2)/25)*Calculateur!AQ161*Calculateur!AS161*VLOOKUP('Données projet'!$B$10,Paramètres!$A$1:$I$89,3,0)*0.475*44/12</f>
        <v>#VALUE!</v>
      </c>
      <c r="AW161" s="21" t="e">
        <f>EXP(-LN(2)/2)*AW160+(1-EXP(-LN(2)/2))/(LN(2)/2)*AQ161*AT161*VLOOKUP('Données projet'!$B$10,Paramètres!$A$1:$I$89,3,0)*0.475*44/12</f>
        <v>#VALUE!</v>
      </c>
      <c r="AX161" s="21" t="e">
        <f t="shared" si="166"/>
        <v>#VALUE!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8.5265128291212022E-14</v>
      </c>
      <c r="O162" s="13">
        <f>N162*VLOOKUP('Données projet'!$B$9,Paramètres!$A$1:$I$89,3,0)*VLOOKUP('Données projet'!$B$9,Paramètres!$A$1:$I$89,5,0)</f>
        <v>7.4487616075202836E-14</v>
      </c>
      <c r="P162" s="13">
        <f t="shared" si="141"/>
        <v>1.1580453144473142E-12</v>
      </c>
      <c r="Q162" s="20">
        <f t="shared" si="162"/>
        <v>2.1466615206600508E-12</v>
      </c>
      <c r="R162" s="59">
        <f t="shared" si="109"/>
        <v>287.66066955837113</v>
      </c>
      <c r="S162" s="59">
        <f ca="1">AVERAGE(OFFSET($R$3,0,0,'Données projet'!$E$9+1,1))-AVERAGE(OFFSET($H$3,0,0,'Données projet'!$E$9+1,1))</f>
        <v>328.99319251806747</v>
      </c>
      <c r="T162" s="59">
        <f t="shared" si="142"/>
        <v>270.36198290276695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3.8725664794779673E-2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4.8861702788692751E-19</v>
      </c>
      <c r="AC162" s="22">
        <f t="shared" si="163"/>
        <v>3.8725664794779673E-2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3.3992364478763198E-14</v>
      </c>
      <c r="AK162" s="13">
        <f t="shared" si="164"/>
        <v>5.790027782444094E-13</v>
      </c>
      <c r="AL162" s="20">
        <f t="shared" si="165"/>
        <v>1.0676332069095257E-12</v>
      </c>
      <c r="AM162" s="59">
        <f t="shared" si="113"/>
        <v>287.66066955837005</v>
      </c>
      <c r="AN162" s="59">
        <f ca="1">AVERAGE(OFFSET($AM$3,0,0,'Données projet'!$E$10+1,1))-AVERAGE(OFFSET($H$3,0,0,'Données projet'!$E$10+1,1))</f>
        <v>274.23303062063621</v>
      </c>
      <c r="AO162" s="59">
        <f t="shared" si="144"/>
        <v>289.08677371938779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#VALUE!</v>
      </c>
      <c r="AV162" s="21" t="e">
        <f>EXP(-LN(2)/25)*AV161+(1-EXP(-LN(2)/25))/(LN(2)/25)*Calculateur!AQ162*Calculateur!AS162*VLOOKUP('Données projet'!$B$10,Paramètres!$A$1:$I$89,3,0)*0.475*44/12</f>
        <v>#VALUE!</v>
      </c>
      <c r="AW162" s="21" t="e">
        <f>EXP(-LN(2)/2)*AW161+(1-EXP(-LN(2)/2))/(LN(2)/2)*AQ162*AT162*VLOOKUP('Données projet'!$B$10,Paramètres!$A$1:$I$89,3,0)*0.475*44/12</f>
        <v>#VALUE!</v>
      </c>
      <c r="AX162" s="21" t="e">
        <f t="shared" si="166"/>
        <v>#VALUE!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8.5265128291212022E-14</v>
      </c>
      <c r="O163" s="13">
        <f>N163*VLOOKUP('Données projet'!$B$9,Paramètres!$A$1:$I$89,3,0)*VLOOKUP('Données projet'!$B$9,Paramètres!$A$1:$I$89,5,0)</f>
        <v>7.4487616075202836E-14</v>
      </c>
      <c r="P163" s="13">
        <f t="shared" si="141"/>
        <v>1.1580453144473142E-12</v>
      </c>
      <c r="Q163" s="20">
        <f t="shared" si="162"/>
        <v>2.1466615206600508E-12</v>
      </c>
      <c r="R163" s="59">
        <f t="shared" si="109"/>
        <v>287.75907759269052</v>
      </c>
      <c r="S163" s="59">
        <f ca="1">AVERAGE(OFFSET($R$3,0,0,'Données projet'!$E$9+1,1))-AVERAGE(OFFSET($H$3,0,0,'Données projet'!$E$9+1,1))</f>
        <v>328.99319251806747</v>
      </c>
      <c r="T163" s="59">
        <f t="shared" si="142"/>
        <v>270.36198290276695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3.7966278128477256E-2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3.4550441382206285E-19</v>
      </c>
      <c r="AC163" s="22">
        <f t="shared" si="163"/>
        <v>3.7966278128477256E-2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3.3992364478763198E-14</v>
      </c>
      <c r="AK163" s="13">
        <f t="shared" si="164"/>
        <v>5.790027782444094E-13</v>
      </c>
      <c r="AL163" s="20">
        <f t="shared" si="165"/>
        <v>1.0676332069095257E-12</v>
      </c>
      <c r="AM163" s="59">
        <f t="shared" si="113"/>
        <v>287.75907759268944</v>
      </c>
      <c r="AN163" s="59">
        <f ca="1">AVERAGE(OFFSET($AM$3,0,0,'Données projet'!$E$10+1,1))-AVERAGE(OFFSET($H$3,0,0,'Données projet'!$E$10+1,1))</f>
        <v>274.23303062063621</v>
      </c>
      <c r="AO163" s="59">
        <f t="shared" si="144"/>
        <v>289.08677371938779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#VALUE!</v>
      </c>
      <c r="AV163" s="21" t="e">
        <f>EXP(-LN(2)/25)*AV162+(1-EXP(-LN(2)/25))/(LN(2)/25)*Calculateur!AQ163*Calculateur!AS163*VLOOKUP('Données projet'!$B$10,Paramètres!$A$1:$I$89,3,0)*0.475*44/12</f>
        <v>#VALUE!</v>
      </c>
      <c r="AW163" s="21" t="e">
        <f>EXP(-LN(2)/2)*AW162+(1-EXP(-LN(2)/2))/(LN(2)/2)*AQ163*AT163*VLOOKUP('Données projet'!$B$10,Paramètres!$A$1:$I$89,3,0)*0.475*44/12</f>
        <v>#VALUE!</v>
      </c>
      <c r="AX163" s="21" t="e">
        <f t="shared" si="166"/>
        <v>#VALUE!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8.5265128291212022E-14</v>
      </c>
      <c r="O164" s="13">
        <f>N164*VLOOKUP('Données projet'!$B$9,Paramètres!$A$1:$I$89,3,0)*VLOOKUP('Données projet'!$B$9,Paramètres!$A$1:$I$89,5,0)</f>
        <v>7.4487616075202836E-14</v>
      </c>
      <c r="P164" s="13">
        <f t="shared" si="141"/>
        <v>1.1580453144473142E-12</v>
      </c>
      <c r="Q164" s="20">
        <f t="shared" si="162"/>
        <v>2.1466615206600508E-12</v>
      </c>
      <c r="R164" s="59">
        <f t="shared" si="109"/>
        <v>287.85577846762186</v>
      </c>
      <c r="S164" s="59">
        <f ca="1">AVERAGE(OFFSET($R$3,0,0,'Données projet'!$E$9+1,1))-AVERAGE(OFFSET($H$3,0,0,'Données projet'!$E$9+1,1))</f>
        <v>328.99319251806747</v>
      </c>
      <c r="T164" s="59">
        <f t="shared" si="142"/>
        <v>270.36198290276695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3.7221782571520895E-2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2.4430851394346376E-19</v>
      </c>
      <c r="AC164" s="22">
        <f t="shared" si="163"/>
        <v>3.7221782571520895E-2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3.3992364478763198E-14</v>
      </c>
      <c r="AK164" s="13">
        <f t="shared" si="164"/>
        <v>5.790027782444094E-13</v>
      </c>
      <c r="AL164" s="20">
        <f t="shared" si="165"/>
        <v>1.0676332069095257E-12</v>
      </c>
      <c r="AM164" s="59">
        <f t="shared" si="113"/>
        <v>287.85577846762078</v>
      </c>
      <c r="AN164" s="59">
        <f ca="1">AVERAGE(OFFSET($AM$3,0,0,'Données projet'!$E$10+1,1))-AVERAGE(OFFSET($H$3,0,0,'Données projet'!$E$10+1,1))</f>
        <v>274.23303062063621</v>
      </c>
      <c r="AO164" s="59">
        <f t="shared" si="144"/>
        <v>289.08677371938779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#VALUE!</v>
      </c>
      <c r="AV164" s="21" t="e">
        <f>EXP(-LN(2)/25)*AV163+(1-EXP(-LN(2)/25))/(LN(2)/25)*Calculateur!AQ164*Calculateur!AS164*VLOOKUP('Données projet'!$B$10,Paramètres!$A$1:$I$89,3,0)*0.475*44/12</f>
        <v>#VALUE!</v>
      </c>
      <c r="AW164" s="21" t="e">
        <f>EXP(-LN(2)/2)*AW163+(1-EXP(-LN(2)/2))/(LN(2)/2)*AQ164*AT164*VLOOKUP('Données projet'!$B$10,Paramètres!$A$1:$I$89,3,0)*0.475*44/12</f>
        <v>#VALUE!</v>
      </c>
      <c r="AX164" s="21" t="e">
        <f t="shared" si="166"/>
        <v>#VALUE!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8.5265128291212022E-14</v>
      </c>
      <c r="O165" s="13">
        <f>N165*VLOOKUP('Données projet'!$B$9,Paramètres!$A$1:$I$89,3,0)*VLOOKUP('Données projet'!$B$9,Paramètres!$A$1:$I$89,5,0)</f>
        <v>7.4487616075202836E-14</v>
      </c>
      <c r="P165" s="13">
        <f t="shared" si="141"/>
        <v>1.1580453144473142E-12</v>
      </c>
      <c r="Q165" s="20">
        <f t="shared" si="162"/>
        <v>2.1466615206600508E-12</v>
      </c>
      <c r="R165" s="59">
        <f t="shared" si="109"/>
        <v>287.95080179856387</v>
      </c>
      <c r="S165" s="59">
        <f ca="1">AVERAGE(OFFSET($R$3,0,0,'Données projet'!$E$9+1,1))-AVERAGE(OFFSET($H$3,0,0,'Données projet'!$E$9+1,1))</f>
        <v>328.99319251806747</v>
      </c>
      <c r="T165" s="59">
        <f t="shared" si="142"/>
        <v>270.36198290276695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3.6491886118338999E-2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1.7275220691103142E-19</v>
      </c>
      <c r="AC165" s="22">
        <f t="shared" si="163"/>
        <v>3.6491886118338999E-2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3.3992364478763198E-14</v>
      </c>
      <c r="AK165" s="13">
        <f t="shared" si="164"/>
        <v>5.790027782444094E-13</v>
      </c>
      <c r="AL165" s="20">
        <f t="shared" si="165"/>
        <v>1.0676332069095257E-12</v>
      </c>
      <c r="AM165" s="59">
        <f t="shared" si="113"/>
        <v>287.95080179856279</v>
      </c>
      <c r="AN165" s="59">
        <f ca="1">AVERAGE(OFFSET($AM$3,0,0,'Données projet'!$E$10+1,1))-AVERAGE(OFFSET($H$3,0,0,'Données projet'!$E$10+1,1))</f>
        <v>274.23303062063621</v>
      </c>
      <c r="AO165" s="59">
        <f t="shared" si="144"/>
        <v>289.08677371938779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#VALUE!</v>
      </c>
      <c r="AV165" s="21" t="e">
        <f>EXP(-LN(2)/25)*AV164+(1-EXP(-LN(2)/25))/(LN(2)/25)*Calculateur!AQ165*Calculateur!AS165*VLOOKUP('Données projet'!$B$10,Paramètres!$A$1:$I$89,3,0)*0.475*44/12</f>
        <v>#VALUE!</v>
      </c>
      <c r="AW165" s="21" t="e">
        <f>EXP(-LN(2)/2)*AW164+(1-EXP(-LN(2)/2))/(LN(2)/2)*AQ165*AT165*VLOOKUP('Données projet'!$B$10,Paramètres!$A$1:$I$89,3,0)*0.475*44/12</f>
        <v>#VALUE!</v>
      </c>
      <c r="AX165" s="21" t="e">
        <f t="shared" si="166"/>
        <v>#VALUE!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8.5265128291212022E-14</v>
      </c>
      <c r="O166" s="13">
        <f>N166*VLOOKUP('Données projet'!$B$9,Paramètres!$A$1:$I$89,3,0)*VLOOKUP('Données projet'!$B$9,Paramètres!$A$1:$I$89,5,0)</f>
        <v>7.4487616075202836E-14</v>
      </c>
      <c r="P166" s="13">
        <f t="shared" si="141"/>
        <v>1.1580453144473142E-12</v>
      </c>
      <c r="Q166" s="20">
        <f t="shared" si="162"/>
        <v>2.1466615206600508E-12</v>
      </c>
      <c r="R166" s="59">
        <f t="shared" si="109"/>
        <v>288.04417668715439</v>
      </c>
      <c r="S166" s="59">
        <f ca="1">AVERAGE(OFFSET($R$3,0,0,'Données projet'!$E$9+1,1))-AVERAGE(OFFSET($H$3,0,0,'Données projet'!$E$9+1,1))</f>
        <v>328.99319251806747</v>
      </c>
      <c r="T166" s="59">
        <f t="shared" si="142"/>
        <v>270.36198290276695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3.5776302489411126E-2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1.2215425697173188E-19</v>
      </c>
      <c r="AC166" s="22">
        <f t="shared" si="163"/>
        <v>3.5776302489411126E-2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3.3992364478763198E-14</v>
      </c>
      <c r="AK166" s="13">
        <f t="shared" si="164"/>
        <v>5.790027782444094E-13</v>
      </c>
      <c r="AL166" s="20">
        <f t="shared" si="165"/>
        <v>1.0676332069095257E-12</v>
      </c>
      <c r="AM166" s="59">
        <f t="shared" si="113"/>
        <v>288.04417668715331</v>
      </c>
      <c r="AN166" s="59">
        <f ca="1">AVERAGE(OFFSET($AM$3,0,0,'Données projet'!$E$10+1,1))-AVERAGE(OFFSET($H$3,0,0,'Données projet'!$E$10+1,1))</f>
        <v>274.23303062063621</v>
      </c>
      <c r="AO166" s="59">
        <f t="shared" si="144"/>
        <v>289.08677371938779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#VALUE!</v>
      </c>
      <c r="AV166" s="21" t="e">
        <f>EXP(-LN(2)/25)*AV165+(1-EXP(-LN(2)/25))/(LN(2)/25)*Calculateur!AQ166*Calculateur!AS166*VLOOKUP('Données projet'!$B$10,Paramètres!$A$1:$I$89,3,0)*0.475*44/12</f>
        <v>#VALUE!</v>
      </c>
      <c r="AW166" s="21" t="e">
        <f>EXP(-LN(2)/2)*AW165+(1-EXP(-LN(2)/2))/(LN(2)/2)*AQ166*AT166*VLOOKUP('Données projet'!$B$10,Paramètres!$A$1:$I$89,3,0)*0.475*44/12</f>
        <v>#VALUE!</v>
      </c>
      <c r="AX166" s="21" t="e">
        <f t="shared" si="166"/>
        <v>#VALUE!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8.5265128291212022E-14</v>
      </c>
      <c r="O167" s="13">
        <f>N167*VLOOKUP('Données projet'!$B$9,Paramètres!$A$1:$I$89,3,0)*VLOOKUP('Données projet'!$B$9,Paramètres!$A$1:$I$89,5,0)</f>
        <v>7.4487616075202836E-14</v>
      </c>
      <c r="P167" s="13">
        <f t="shared" si="141"/>
        <v>1.1580453144473142E-12</v>
      </c>
      <c r="Q167" s="20">
        <f t="shared" si="162"/>
        <v>2.1466615206600508E-12</v>
      </c>
      <c r="R167" s="59">
        <f t="shared" si="109"/>
        <v>288.13593173018285</v>
      </c>
      <c r="S167" s="59">
        <f ca="1">AVERAGE(OFFSET($R$3,0,0,'Données projet'!$E$9+1,1))-AVERAGE(OFFSET($H$3,0,0,'Données projet'!$E$9+1,1))</f>
        <v>328.99319251806747</v>
      </c>
      <c r="T167" s="59">
        <f t="shared" si="142"/>
        <v>270.36198290276695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3.5074751018983608E-2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8.6376103455515712E-20</v>
      </c>
      <c r="AC167" s="22">
        <f t="shared" si="163"/>
        <v>3.5074751018983608E-2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3.3992364478763198E-14</v>
      </c>
      <c r="AK167" s="13">
        <f t="shared" si="164"/>
        <v>5.790027782444094E-13</v>
      </c>
      <c r="AL167" s="20">
        <f t="shared" si="165"/>
        <v>1.0676332069095257E-12</v>
      </c>
      <c r="AM167" s="59">
        <f t="shared" si="113"/>
        <v>288.13593173018177</v>
      </c>
      <c r="AN167" s="59">
        <f ca="1">AVERAGE(OFFSET($AM$3,0,0,'Données projet'!$E$10+1,1))-AVERAGE(OFFSET($H$3,0,0,'Données projet'!$E$10+1,1))</f>
        <v>274.23303062063621</v>
      </c>
      <c r="AO167" s="59">
        <f t="shared" si="144"/>
        <v>289.08677371938779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#VALUE!</v>
      </c>
      <c r="AV167" s="21" t="e">
        <f>EXP(-LN(2)/25)*AV166+(1-EXP(-LN(2)/25))/(LN(2)/25)*Calculateur!AQ167*Calculateur!AS167*VLOOKUP('Données projet'!$B$10,Paramètres!$A$1:$I$89,3,0)*0.475*44/12</f>
        <v>#VALUE!</v>
      </c>
      <c r="AW167" s="21" t="e">
        <f>EXP(-LN(2)/2)*AW166+(1-EXP(-LN(2)/2))/(LN(2)/2)*AQ167*AT167*VLOOKUP('Données projet'!$B$10,Paramètres!$A$1:$I$89,3,0)*0.475*44/12</f>
        <v>#VALUE!</v>
      </c>
      <c r="AX167" s="21" t="e">
        <f t="shared" si="166"/>
        <v>#VALUE!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8.5265128291212022E-14</v>
      </c>
      <c r="O168" s="13">
        <f>N168*VLOOKUP('Données projet'!$B$9,Paramètres!$A$1:$I$89,3,0)*VLOOKUP('Données projet'!$B$9,Paramètres!$A$1:$I$89,5,0)</f>
        <v>7.4487616075202836E-14</v>
      </c>
      <c r="P168" s="13">
        <f t="shared" si="141"/>
        <v>1.1580453144473142E-12</v>
      </c>
      <c r="Q168" s="20">
        <f t="shared" si="162"/>
        <v>2.1466615206600508E-12</v>
      </c>
      <c r="R168" s="59">
        <f t="shared" si="109"/>
        <v>288.22609502834831</v>
      </c>
      <c r="S168" s="59">
        <f ca="1">AVERAGE(OFFSET($R$3,0,0,'Données projet'!$E$9+1,1))-AVERAGE(OFFSET($H$3,0,0,'Données projet'!$E$9+1,1))</f>
        <v>328.99319251806747</v>
      </c>
      <c r="T168" s="59">
        <f t="shared" si="142"/>
        <v>270.36198290276695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3.4386956544987031E-2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6.1077128485865939E-20</v>
      </c>
      <c r="AC168" s="22">
        <f t="shared" si="163"/>
        <v>3.4386956544987031E-2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3.3992364478763198E-14</v>
      </c>
      <c r="AK168" s="13">
        <f t="shared" si="164"/>
        <v>5.790027782444094E-13</v>
      </c>
      <c r="AL168" s="20">
        <f t="shared" si="165"/>
        <v>1.0676332069095257E-12</v>
      </c>
      <c r="AM168" s="59">
        <f t="shared" si="113"/>
        <v>288.22609502834723</v>
      </c>
      <c r="AN168" s="59">
        <f ca="1">AVERAGE(OFFSET($AM$3,0,0,'Données projet'!$E$10+1,1))-AVERAGE(OFFSET($H$3,0,0,'Données projet'!$E$10+1,1))</f>
        <v>274.23303062063621</v>
      </c>
      <c r="AO168" s="59">
        <f t="shared" si="144"/>
        <v>289.08677371938779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#VALUE!</v>
      </c>
      <c r="AV168" s="21" t="e">
        <f>EXP(-LN(2)/25)*AV167+(1-EXP(-LN(2)/25))/(LN(2)/25)*Calculateur!AQ168*Calculateur!AS168*VLOOKUP('Données projet'!$B$10,Paramètres!$A$1:$I$89,3,0)*0.475*44/12</f>
        <v>#VALUE!</v>
      </c>
      <c r="AW168" s="21" t="e">
        <f>EXP(-LN(2)/2)*AW167+(1-EXP(-LN(2)/2))/(LN(2)/2)*AQ168*AT168*VLOOKUP('Données projet'!$B$10,Paramètres!$A$1:$I$89,3,0)*0.475*44/12</f>
        <v>#VALUE!</v>
      </c>
      <c r="AX168" s="21" t="e">
        <f t="shared" si="166"/>
        <v>#VALUE!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8.5265128291212022E-14</v>
      </c>
      <c r="O169" s="13">
        <f>N169*VLOOKUP('Données projet'!$B$9,Paramètres!$A$1:$I$89,3,0)*VLOOKUP('Données projet'!$B$9,Paramètres!$A$1:$I$89,5,0)</f>
        <v>7.4487616075202836E-14</v>
      </c>
      <c r="P169" s="13">
        <f t="shared" si="141"/>
        <v>1.1580453144473142E-12</v>
      </c>
      <c r="Q169" s="20">
        <f t="shared" si="162"/>
        <v>2.1466615206600508E-12</v>
      </c>
      <c r="R169" s="59">
        <f t="shared" si="109"/>
        <v>288.31469419486558</v>
      </c>
      <c r="S169" s="59">
        <f ca="1">AVERAGE(OFFSET($R$3,0,0,'Données projet'!$E$9+1,1))-AVERAGE(OFFSET($H$3,0,0,'Données projet'!$E$9+1,1))</f>
        <v>328.99319251806747</v>
      </c>
      <c r="T169" s="59">
        <f t="shared" si="142"/>
        <v>270.36198290276695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3.371264930111232E-2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4.3188051727757856E-20</v>
      </c>
      <c r="AC169" s="22">
        <f t="shared" si="163"/>
        <v>3.371264930111232E-2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3.3992364478763198E-14</v>
      </c>
      <c r="AK169" s="13">
        <f t="shared" si="164"/>
        <v>5.790027782444094E-13</v>
      </c>
      <c r="AL169" s="20">
        <f t="shared" si="165"/>
        <v>1.0676332069095257E-12</v>
      </c>
      <c r="AM169" s="59">
        <f t="shared" si="113"/>
        <v>288.3146941948645</v>
      </c>
      <c r="AN169" s="59">
        <f ca="1">AVERAGE(OFFSET($AM$3,0,0,'Données projet'!$E$10+1,1))-AVERAGE(OFFSET($H$3,0,0,'Données projet'!$E$10+1,1))</f>
        <v>274.23303062063621</v>
      </c>
      <c r="AO169" s="59">
        <f t="shared" si="144"/>
        <v>289.08677371938779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#VALUE!</v>
      </c>
      <c r="AV169" s="21" t="e">
        <f>EXP(-LN(2)/25)*AV168+(1-EXP(-LN(2)/25))/(LN(2)/25)*Calculateur!AQ169*Calculateur!AS169*VLOOKUP('Données projet'!$B$10,Paramètres!$A$1:$I$89,3,0)*0.475*44/12</f>
        <v>#VALUE!</v>
      </c>
      <c r="AW169" s="21" t="e">
        <f>EXP(-LN(2)/2)*AW168+(1-EXP(-LN(2)/2))/(LN(2)/2)*AQ169*AT169*VLOOKUP('Données projet'!$B$10,Paramètres!$A$1:$I$89,3,0)*0.475*44/12</f>
        <v>#VALUE!</v>
      </c>
      <c r="AX169" s="21" t="e">
        <f t="shared" si="166"/>
        <v>#VALUE!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8.5265128291212022E-14</v>
      </c>
      <c r="O170" s="13">
        <f>N170*VLOOKUP('Données projet'!$B$9,Paramètres!$A$1:$I$89,3,0)*VLOOKUP('Données projet'!$B$9,Paramètres!$A$1:$I$89,5,0)</f>
        <v>7.4487616075202836E-14</v>
      </c>
      <c r="P170" s="13">
        <f t="shared" si="141"/>
        <v>1.1580453144473142E-12</v>
      </c>
      <c r="Q170" s="20">
        <f t="shared" si="162"/>
        <v>2.1466615206600508E-12</v>
      </c>
      <c r="R170" s="59">
        <f t="shared" si="109"/>
        <v>288.40175636392178</v>
      </c>
      <c r="S170" s="59">
        <f ca="1">AVERAGE(OFFSET($R$3,0,0,'Données projet'!$E$9+1,1))-AVERAGE(OFFSET($H$3,0,0,'Données projet'!$E$9+1,1))</f>
        <v>328.99319251806747</v>
      </c>
      <c r="T170" s="59">
        <f t="shared" si="142"/>
        <v>270.36198290276695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3.3051564811003187E-2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3.053856424293297E-20</v>
      </c>
      <c r="AC170" s="22">
        <f t="shared" si="163"/>
        <v>3.3051564811003187E-2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3.3992364478763198E-14</v>
      </c>
      <c r="AK170" s="13">
        <f t="shared" si="164"/>
        <v>5.790027782444094E-13</v>
      </c>
      <c r="AL170" s="20">
        <f t="shared" si="165"/>
        <v>1.0676332069095257E-12</v>
      </c>
      <c r="AM170" s="59">
        <f t="shared" si="113"/>
        <v>288.4017563639207</v>
      </c>
      <c r="AN170" s="59">
        <f ca="1">AVERAGE(OFFSET($AM$3,0,0,'Données projet'!$E$10+1,1))-AVERAGE(OFFSET($H$3,0,0,'Données projet'!$E$10+1,1))</f>
        <v>274.23303062063621</v>
      </c>
      <c r="AO170" s="59">
        <f t="shared" si="144"/>
        <v>289.08677371938779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#VALUE!</v>
      </c>
      <c r="AV170" s="21" t="e">
        <f>EXP(-LN(2)/25)*AV169+(1-EXP(-LN(2)/25))/(LN(2)/25)*Calculateur!AQ170*Calculateur!AS170*VLOOKUP('Données projet'!$B$10,Paramètres!$A$1:$I$89,3,0)*0.475*44/12</f>
        <v>#VALUE!</v>
      </c>
      <c r="AW170" s="21" t="e">
        <f>EXP(-LN(2)/2)*AW169+(1-EXP(-LN(2)/2))/(LN(2)/2)*AQ170*AT170*VLOOKUP('Données projet'!$B$10,Paramètres!$A$1:$I$89,3,0)*0.475*44/12</f>
        <v>#VALUE!</v>
      </c>
      <c r="AX170" s="21" t="e">
        <f t="shared" si="166"/>
        <v>#VALUE!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8.5265128291212022E-14</v>
      </c>
      <c r="O171" s="13">
        <f>N171*VLOOKUP('Données projet'!$B$9,Paramètres!$A$1:$I$89,3,0)*VLOOKUP('Données projet'!$B$9,Paramètres!$A$1:$I$89,5,0)</f>
        <v>7.4487616075202836E-14</v>
      </c>
      <c r="P171" s="13">
        <f t="shared" si="141"/>
        <v>1.1580453144473142E-12</v>
      </c>
      <c r="Q171" s="20">
        <f t="shared" si="162"/>
        <v>2.1466615206600508E-12</v>
      </c>
      <c r="R171" s="59">
        <f t="shared" si="109"/>
        <v>288.48730819898668</v>
      </c>
      <c r="S171" s="59">
        <f ca="1">AVERAGE(OFFSET($R$3,0,0,'Données projet'!$E$9+1,1))-AVERAGE(OFFSET($H$3,0,0,'Données projet'!$E$9+1,1))</f>
        <v>328.99319251806747</v>
      </c>
      <c r="T171" s="59">
        <f t="shared" si="142"/>
        <v>270.36198290276695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3.2403443784523367E-2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2.1594025863878928E-20</v>
      </c>
      <c r="AC171" s="22">
        <f t="shared" si="163"/>
        <v>3.2403443784523367E-2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3.3992364478763198E-14</v>
      </c>
      <c r="AK171" s="13">
        <f t="shared" si="164"/>
        <v>5.790027782444094E-13</v>
      </c>
      <c r="AL171" s="20">
        <f t="shared" si="165"/>
        <v>1.0676332069095257E-12</v>
      </c>
      <c r="AM171" s="59">
        <f t="shared" si="113"/>
        <v>288.4873081989856</v>
      </c>
      <c r="AN171" s="59">
        <f ca="1">AVERAGE(OFFSET($AM$3,0,0,'Données projet'!$E$10+1,1))-AVERAGE(OFFSET($H$3,0,0,'Données projet'!$E$10+1,1))</f>
        <v>274.23303062063621</v>
      </c>
      <c r="AO171" s="59">
        <f t="shared" si="144"/>
        <v>289.08677371938779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#VALUE!</v>
      </c>
      <c r="AV171" s="21" t="e">
        <f>EXP(-LN(2)/25)*AV170+(1-EXP(-LN(2)/25))/(LN(2)/25)*Calculateur!AQ171*Calculateur!AS171*VLOOKUP('Données projet'!$B$10,Paramètres!$A$1:$I$89,3,0)*0.475*44/12</f>
        <v>#VALUE!</v>
      </c>
      <c r="AW171" s="21" t="e">
        <f>EXP(-LN(2)/2)*AW170+(1-EXP(-LN(2)/2))/(LN(2)/2)*AQ171*AT171*VLOOKUP('Données projet'!$B$10,Paramètres!$A$1:$I$89,3,0)*0.475*44/12</f>
        <v>#VALUE!</v>
      </c>
      <c r="AX171" s="21" t="e">
        <f t="shared" si="166"/>
        <v>#VALUE!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8.5265128291212022E-14</v>
      </c>
      <c r="O172" s="13">
        <f>N172*VLOOKUP('Données projet'!$B$9,Paramètres!$A$1:$I$89,3,0)*VLOOKUP('Données projet'!$B$9,Paramètres!$A$1:$I$89,5,0)</f>
        <v>7.4487616075202836E-14</v>
      </c>
      <c r="P172" s="13">
        <f t="shared" si="141"/>
        <v>1.1580453144473142E-12</v>
      </c>
      <c r="Q172" s="20">
        <f t="shared" si="162"/>
        <v>2.1466615206600508E-12</v>
      </c>
      <c r="R172" s="59">
        <f t="shared" si="109"/>
        <v>288.57137590097858</v>
      </c>
      <c r="S172" s="59">
        <f ca="1">AVERAGE(OFFSET($R$3,0,0,'Données projet'!$E$9+1,1))-AVERAGE(OFFSET($H$3,0,0,'Données projet'!$E$9+1,1))</f>
        <v>328.99319251806747</v>
      </c>
      <c r="T172" s="59">
        <f t="shared" si="142"/>
        <v>270.36198290276695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3.1768032016058025E-2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1.5269282121466485E-20</v>
      </c>
      <c r="AC172" s="22">
        <f t="shared" si="163"/>
        <v>3.1768032016058025E-2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3.3992364478763198E-14</v>
      </c>
      <c r="AK172" s="13">
        <f t="shared" si="164"/>
        <v>5.790027782444094E-13</v>
      </c>
      <c r="AL172" s="20">
        <f t="shared" si="165"/>
        <v>1.0676332069095257E-12</v>
      </c>
      <c r="AM172" s="59">
        <f t="shared" si="113"/>
        <v>288.5713759009775</v>
      </c>
      <c r="AN172" s="59">
        <f ca="1">AVERAGE(OFFSET($AM$3,0,0,'Données projet'!$E$10+1,1))-AVERAGE(OFFSET($H$3,0,0,'Données projet'!$E$10+1,1))</f>
        <v>274.23303062063621</v>
      </c>
      <c r="AO172" s="59">
        <f t="shared" si="144"/>
        <v>289.08677371938779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#VALUE!</v>
      </c>
      <c r="AV172" s="21" t="e">
        <f>EXP(-LN(2)/25)*AV171+(1-EXP(-LN(2)/25))/(LN(2)/25)*Calculateur!AQ172*Calculateur!AS172*VLOOKUP('Données projet'!$B$10,Paramètres!$A$1:$I$89,3,0)*0.475*44/12</f>
        <v>#VALUE!</v>
      </c>
      <c r="AW172" s="21" t="e">
        <f>EXP(-LN(2)/2)*AW171+(1-EXP(-LN(2)/2))/(LN(2)/2)*AQ172*AT172*VLOOKUP('Données projet'!$B$10,Paramètres!$A$1:$I$89,3,0)*0.475*44/12</f>
        <v>#VALUE!</v>
      </c>
      <c r="AX172" s="21" t="e">
        <f t="shared" si="166"/>
        <v>#VALUE!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8.5265128291212022E-14</v>
      </c>
      <c r="O173" s="13">
        <f>N173*VLOOKUP('Données projet'!$B$9,Paramètres!$A$1:$I$89,3,0)*VLOOKUP('Données projet'!$B$9,Paramètres!$A$1:$I$89,5,0)</f>
        <v>7.4487616075202836E-14</v>
      </c>
      <c r="P173" s="13">
        <f t="shared" si="141"/>
        <v>1.1580453144473142E-12</v>
      </c>
      <c r="Q173" s="20">
        <f t="shared" si="162"/>
        <v>2.1466615206600508E-12</v>
      </c>
      <c r="R173" s="59">
        <f t="shared" si="109"/>
        <v>288.65398521628805</v>
      </c>
      <c r="S173" s="59">
        <f ca="1">AVERAGE(OFFSET($R$3,0,0,'Données projet'!$E$9+1,1))-AVERAGE(OFFSET($H$3,0,0,'Données projet'!$E$9+1,1))</f>
        <v>328.99319251806747</v>
      </c>
      <c r="T173" s="59">
        <f t="shared" si="142"/>
        <v>270.36198290276695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3.1145080284809376E-2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1.0797012931939464E-20</v>
      </c>
      <c r="AC173" s="22">
        <f t="shared" si="163"/>
        <v>3.1145080284809376E-2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3.3992364478763198E-14</v>
      </c>
      <c r="AK173" s="13">
        <f t="shared" si="164"/>
        <v>5.790027782444094E-13</v>
      </c>
      <c r="AL173" s="20">
        <f t="shared" si="165"/>
        <v>1.0676332069095257E-12</v>
      </c>
      <c r="AM173" s="59">
        <f t="shared" si="113"/>
        <v>288.65398521628697</v>
      </c>
      <c r="AN173" s="59">
        <f ca="1">AVERAGE(OFFSET($AM$3,0,0,'Données projet'!$E$10+1,1))-AVERAGE(OFFSET($H$3,0,0,'Données projet'!$E$10+1,1))</f>
        <v>274.23303062063621</v>
      </c>
      <c r="AO173" s="59">
        <f t="shared" si="144"/>
        <v>289.08677371938779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#VALUE!</v>
      </c>
      <c r="AV173" s="21" t="e">
        <f>EXP(-LN(2)/25)*AV172+(1-EXP(-LN(2)/25))/(LN(2)/25)*Calculateur!AQ173*Calculateur!AS173*VLOOKUP('Données projet'!$B$10,Paramètres!$A$1:$I$89,3,0)*0.475*44/12</f>
        <v>#VALUE!</v>
      </c>
      <c r="AW173" s="21" t="e">
        <f>EXP(-LN(2)/2)*AW172+(1-EXP(-LN(2)/2))/(LN(2)/2)*AQ173*AT173*VLOOKUP('Données projet'!$B$10,Paramètres!$A$1:$I$89,3,0)*0.475*44/12</f>
        <v>#VALUE!</v>
      </c>
      <c r="AX173" s="21" t="e">
        <f t="shared" si="166"/>
        <v>#VALUE!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8.5265128291212022E-14</v>
      </c>
      <c r="O174" s="13">
        <f>N174*VLOOKUP('Données projet'!$B$9,Paramètres!$A$1:$I$89,3,0)*VLOOKUP('Données projet'!$B$9,Paramètres!$A$1:$I$89,5,0)</f>
        <v>7.4487616075202836E-14</v>
      </c>
      <c r="P174" s="13">
        <f t="shared" si="141"/>
        <v>1.1580453144473142E-12</v>
      </c>
      <c r="Q174" s="20">
        <f t="shared" si="162"/>
        <v>2.1466615206600508E-12</v>
      </c>
      <c r="R174" s="59">
        <f t="shared" si="109"/>
        <v>288.73516144466367</v>
      </c>
      <c r="S174" s="59">
        <f ca="1">AVERAGE(OFFSET($R$3,0,0,'Données projet'!$E$9+1,1))-AVERAGE(OFFSET($H$3,0,0,'Données projet'!$E$9+1,1))</f>
        <v>328.99319251806747</v>
      </c>
      <c r="T174" s="59">
        <f t="shared" si="142"/>
        <v>270.36198290276695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3.0534344257047479E-2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7.6346410607332424E-21</v>
      </c>
      <c r="AC174" s="22">
        <f t="shared" si="163"/>
        <v>3.0534344257047479E-2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3.3992364478763198E-14</v>
      </c>
      <c r="AK174" s="13">
        <f t="shared" si="164"/>
        <v>5.790027782444094E-13</v>
      </c>
      <c r="AL174" s="20">
        <f t="shared" si="165"/>
        <v>1.0676332069095257E-12</v>
      </c>
      <c r="AM174" s="59">
        <f t="shared" si="113"/>
        <v>288.73516144466259</v>
      </c>
      <c r="AN174" s="59">
        <f ca="1">AVERAGE(OFFSET($AM$3,0,0,'Données projet'!$E$10+1,1))-AVERAGE(OFFSET($H$3,0,0,'Données projet'!$E$10+1,1))</f>
        <v>274.23303062063621</v>
      </c>
      <c r="AO174" s="59">
        <f t="shared" si="144"/>
        <v>289.08677371938779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#VALUE!</v>
      </c>
      <c r="AV174" s="21" t="e">
        <f>EXP(-LN(2)/25)*AV173+(1-EXP(-LN(2)/25))/(LN(2)/25)*Calculateur!AQ174*Calculateur!AS174*VLOOKUP('Données projet'!$B$10,Paramètres!$A$1:$I$89,3,0)*0.475*44/12</f>
        <v>#VALUE!</v>
      </c>
      <c r="AW174" s="21" t="e">
        <f>EXP(-LN(2)/2)*AW173+(1-EXP(-LN(2)/2))/(LN(2)/2)*AQ174*AT174*VLOOKUP('Données projet'!$B$10,Paramètres!$A$1:$I$89,3,0)*0.475*44/12</f>
        <v>#VALUE!</v>
      </c>
      <c r="AX174" s="21" t="e">
        <f t="shared" si="166"/>
        <v>#VALUE!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8.5265128291212022E-14</v>
      </c>
      <c r="O175" s="13">
        <f>N175*VLOOKUP('Données projet'!$B$9,Paramètres!$A$1:$I$89,3,0)*VLOOKUP('Données projet'!$B$9,Paramètres!$A$1:$I$89,5,0)</f>
        <v>7.4487616075202836E-14</v>
      </c>
      <c r="P175" s="13">
        <f t="shared" si="141"/>
        <v>1.1580453144473142E-12</v>
      </c>
      <c r="Q175" s="20">
        <f t="shared" si="162"/>
        <v>2.1466615206600508E-12</v>
      </c>
      <c r="R175" s="59">
        <f t="shared" si="109"/>
        <v>288.81492944695981</v>
      </c>
      <c r="S175" s="59">
        <f ca="1">AVERAGE(OFFSET($R$3,0,0,'Données projet'!$E$9+1,1))-AVERAGE(OFFSET($H$3,0,0,'Données projet'!$E$9+1,1))</f>
        <v>328.99319251806747</v>
      </c>
      <c r="T175" s="59">
        <f t="shared" si="142"/>
        <v>270.36198290276695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2.9935584390277797E-2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5.398506465969732E-21</v>
      </c>
      <c r="AC175" s="22">
        <f t="shared" si="163"/>
        <v>2.9935584390277797E-2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3.3992364478763198E-14</v>
      </c>
      <c r="AK175" s="13">
        <f t="shared" si="164"/>
        <v>5.790027782444094E-13</v>
      </c>
      <c r="AL175" s="20">
        <f t="shared" si="165"/>
        <v>1.0676332069095257E-12</v>
      </c>
      <c r="AM175" s="59">
        <f t="shared" si="113"/>
        <v>288.81492944695873</v>
      </c>
      <c r="AN175" s="59">
        <f ca="1">AVERAGE(OFFSET($AM$3,0,0,'Données projet'!$E$10+1,1))-AVERAGE(OFFSET($H$3,0,0,'Données projet'!$E$10+1,1))</f>
        <v>274.23303062063621</v>
      </c>
      <c r="AO175" s="59">
        <f t="shared" si="144"/>
        <v>289.08677371938779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#VALUE!</v>
      </c>
      <c r="AV175" s="21" t="e">
        <f>EXP(-LN(2)/25)*AV174+(1-EXP(-LN(2)/25))/(LN(2)/25)*Calculateur!AQ175*Calculateur!AS175*VLOOKUP('Données projet'!$B$10,Paramètres!$A$1:$I$89,3,0)*0.475*44/12</f>
        <v>#VALUE!</v>
      </c>
      <c r="AW175" s="21" t="e">
        <f>EXP(-LN(2)/2)*AW174+(1-EXP(-LN(2)/2))/(LN(2)/2)*AQ175*AT175*VLOOKUP('Données projet'!$B$10,Paramètres!$A$1:$I$89,3,0)*0.475*44/12</f>
        <v>#VALUE!</v>
      </c>
      <c r="AX175" s="21" t="e">
        <f t="shared" si="166"/>
        <v>#VALUE!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8.5265128291212022E-14</v>
      </c>
      <c r="O176" s="13">
        <f>N176*VLOOKUP('Données projet'!$B$9,Paramètres!$A$1:$I$89,3,0)*VLOOKUP('Données projet'!$B$9,Paramètres!$A$1:$I$89,5,0)</f>
        <v>7.4487616075202836E-14</v>
      </c>
      <c r="P176" s="13">
        <f t="shared" si="141"/>
        <v>1.1580453144473142E-12</v>
      </c>
      <c r="Q176" s="20">
        <f t="shared" si="162"/>
        <v>2.1466615206600508E-12</v>
      </c>
      <c r="R176" s="59">
        <f t="shared" si="109"/>
        <v>288.89331365275063</v>
      </c>
      <c r="S176" s="59">
        <f ca="1">AVERAGE(OFFSET($R$3,0,0,'Données projet'!$E$9+1,1))-AVERAGE(OFFSET($H$3,0,0,'Données projet'!$E$9+1,1))</f>
        <v>328.99319251806747</v>
      </c>
      <c r="T176" s="59">
        <f t="shared" si="142"/>
        <v>270.36198290276695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2.9348565839288011E-2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3.8173205303666212E-21</v>
      </c>
      <c r="AC176" s="22">
        <f t="shared" si="163"/>
        <v>2.9348565839288011E-2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3.3992364478763198E-14</v>
      </c>
      <c r="AK176" s="13">
        <f t="shared" si="164"/>
        <v>5.790027782444094E-13</v>
      </c>
      <c r="AL176" s="20">
        <f t="shared" si="165"/>
        <v>1.0676332069095257E-12</v>
      </c>
      <c r="AM176" s="59">
        <f t="shared" si="113"/>
        <v>288.89331365274955</v>
      </c>
      <c r="AN176" s="59">
        <f ca="1">AVERAGE(OFFSET($AM$3,0,0,'Données projet'!$E$10+1,1))-AVERAGE(OFFSET($H$3,0,0,'Données projet'!$E$10+1,1))</f>
        <v>274.23303062063621</v>
      </c>
      <c r="AO176" s="59">
        <f t="shared" si="144"/>
        <v>289.08677371938779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#VALUE!</v>
      </c>
      <c r="AV176" s="21" t="e">
        <f>EXP(-LN(2)/25)*AV175+(1-EXP(-LN(2)/25))/(LN(2)/25)*Calculateur!AQ176*Calculateur!AS176*VLOOKUP('Données projet'!$B$10,Paramètres!$A$1:$I$89,3,0)*0.475*44/12</f>
        <v>#VALUE!</v>
      </c>
      <c r="AW176" s="21" t="e">
        <f>EXP(-LN(2)/2)*AW175+(1-EXP(-LN(2)/2))/(LN(2)/2)*AQ176*AT176*VLOOKUP('Données projet'!$B$10,Paramètres!$A$1:$I$89,3,0)*0.475*44/12</f>
        <v>#VALUE!</v>
      </c>
      <c r="AX176" s="21" t="e">
        <f t="shared" si="166"/>
        <v>#VALUE!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8.5265128291212022E-14</v>
      </c>
      <c r="O177" s="13">
        <f>N177*VLOOKUP('Données projet'!$B$9,Paramètres!$A$1:$I$89,3,0)*VLOOKUP('Données projet'!$B$9,Paramètres!$A$1:$I$89,5,0)</f>
        <v>7.4487616075202836E-14</v>
      </c>
      <c r="P177" s="13">
        <f t="shared" si="141"/>
        <v>1.1580453144473142E-12</v>
      </c>
      <c r="Q177" s="20">
        <f t="shared" si="162"/>
        <v>2.1466615206600508E-12</v>
      </c>
      <c r="R177" s="59">
        <f t="shared" si="109"/>
        <v>288.97033806781189</v>
      </c>
      <c r="S177" s="59">
        <f ca="1">AVERAGE(OFFSET($R$3,0,0,'Données projet'!$E$9+1,1))-AVERAGE(OFFSET($H$3,0,0,'Données projet'!$E$9+1,1))</f>
        <v>328.99319251806747</v>
      </c>
      <c r="T177" s="59">
        <f t="shared" si="142"/>
        <v>270.36198290276695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2.8773058364037173E-2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2.699253232984866E-21</v>
      </c>
      <c r="AC177" s="22">
        <f t="shared" si="163"/>
        <v>2.8773058364037173E-2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3.3992364478763198E-14</v>
      </c>
      <c r="AK177" s="13">
        <f t="shared" si="164"/>
        <v>5.790027782444094E-13</v>
      </c>
      <c r="AL177" s="20">
        <f t="shared" si="165"/>
        <v>1.0676332069095257E-12</v>
      </c>
      <c r="AM177" s="59">
        <f t="shared" si="113"/>
        <v>288.97033806781081</v>
      </c>
      <c r="AN177" s="59">
        <f ca="1">AVERAGE(OFFSET($AM$3,0,0,'Données projet'!$E$10+1,1))-AVERAGE(OFFSET($H$3,0,0,'Données projet'!$E$10+1,1))</f>
        <v>274.23303062063621</v>
      </c>
      <c r="AO177" s="59">
        <f t="shared" si="144"/>
        <v>289.08677371938779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#VALUE!</v>
      </c>
      <c r="AV177" s="21" t="e">
        <f>EXP(-LN(2)/25)*AV176+(1-EXP(-LN(2)/25))/(LN(2)/25)*Calculateur!AQ177*Calculateur!AS177*VLOOKUP('Données projet'!$B$10,Paramètres!$A$1:$I$89,3,0)*0.475*44/12</f>
        <v>#VALUE!</v>
      </c>
      <c r="AW177" s="21" t="e">
        <f>EXP(-LN(2)/2)*AW176+(1-EXP(-LN(2)/2))/(LN(2)/2)*AQ177*AT177*VLOOKUP('Données projet'!$B$10,Paramètres!$A$1:$I$89,3,0)*0.475*44/12</f>
        <v>#VALUE!</v>
      </c>
      <c r="AX177" s="21" t="e">
        <f t="shared" si="166"/>
        <v>#VALUE!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8.5265128291212022E-14</v>
      </c>
      <c r="O178" s="13">
        <f>N178*VLOOKUP('Données projet'!$B$9,Paramètres!$A$1:$I$89,3,0)*VLOOKUP('Données projet'!$B$9,Paramètres!$A$1:$I$89,5,0)</f>
        <v>7.4487616075202836E-14</v>
      </c>
      <c r="P178" s="13">
        <f t="shared" si="141"/>
        <v>1.1580453144473142E-12</v>
      </c>
      <c r="Q178" s="20">
        <f t="shared" si="162"/>
        <v>2.1466615206600508E-12</v>
      </c>
      <c r="R178" s="59">
        <f t="shared" si="109"/>
        <v>289.04602628147256</v>
      </c>
      <c r="S178" s="59">
        <f ca="1">AVERAGE(OFFSET($R$3,0,0,'Données projet'!$E$9+1,1))-AVERAGE(OFFSET($H$3,0,0,'Données projet'!$E$9+1,1))</f>
        <v>328.99319251806747</v>
      </c>
      <c r="T178" s="59">
        <f t="shared" si="142"/>
        <v>270.36198290276695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2.8208836239351102E-2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1.9086602651833106E-21</v>
      </c>
      <c r="AC178" s="22">
        <f t="shared" si="163"/>
        <v>2.8208836239351102E-2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3.3992364478763198E-14</v>
      </c>
      <c r="AK178" s="13">
        <f t="shared" si="164"/>
        <v>5.790027782444094E-13</v>
      </c>
      <c r="AL178" s="20">
        <f t="shared" si="165"/>
        <v>1.0676332069095257E-12</v>
      </c>
      <c r="AM178" s="59">
        <f t="shared" si="113"/>
        <v>289.04602628147148</v>
      </c>
      <c r="AN178" s="59">
        <f ca="1">AVERAGE(OFFSET($AM$3,0,0,'Données projet'!$E$10+1,1))-AVERAGE(OFFSET($H$3,0,0,'Données projet'!$E$10+1,1))</f>
        <v>274.23303062063621</v>
      </c>
      <c r="AO178" s="59">
        <f t="shared" si="144"/>
        <v>289.08677371938779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#VALUE!</v>
      </c>
      <c r="AV178" s="21" t="e">
        <f>EXP(-LN(2)/25)*AV177+(1-EXP(-LN(2)/25))/(LN(2)/25)*Calculateur!AQ178*Calculateur!AS178*VLOOKUP('Données projet'!$B$10,Paramètres!$A$1:$I$89,3,0)*0.475*44/12</f>
        <v>#VALUE!</v>
      </c>
      <c r="AW178" s="21" t="e">
        <f>EXP(-LN(2)/2)*AW177+(1-EXP(-LN(2)/2))/(LN(2)/2)*AQ178*AT178*VLOOKUP('Données projet'!$B$10,Paramètres!$A$1:$I$89,3,0)*0.475*44/12</f>
        <v>#VALUE!</v>
      </c>
      <c r="AX178" s="21" t="e">
        <f t="shared" si="166"/>
        <v>#VALUE!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8.5265128291212022E-14</v>
      </c>
      <c r="O179" s="13">
        <f>N179*VLOOKUP('Données projet'!$B$9,Paramètres!$A$1:$I$89,3,0)*VLOOKUP('Données projet'!$B$9,Paramètres!$A$1:$I$89,5,0)</f>
        <v>7.4487616075202836E-14</v>
      </c>
      <c r="P179" s="13">
        <f t="shared" si="141"/>
        <v>1.1580453144473142E-12</v>
      </c>
      <c r="Q179" s="20">
        <f t="shared" si="162"/>
        <v>2.1466615206600508E-12</v>
      </c>
      <c r="R179" s="59">
        <f t="shared" si="109"/>
        <v>289.12040147383976</v>
      </c>
      <c r="S179" s="59">
        <f ca="1">AVERAGE(OFFSET($R$3,0,0,'Données projet'!$E$9+1,1))-AVERAGE(OFFSET($H$3,0,0,'Données projet'!$E$9+1,1))</f>
        <v>328.99319251806747</v>
      </c>
      <c r="T179" s="59">
        <f t="shared" si="142"/>
        <v>270.36198290276695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2.7655678166388611E-2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1.349626616492433E-21</v>
      </c>
      <c r="AC179" s="22">
        <f t="shared" si="163"/>
        <v>2.7655678166388611E-2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3.3992364478763198E-14</v>
      </c>
      <c r="AK179" s="13">
        <f t="shared" si="164"/>
        <v>5.790027782444094E-13</v>
      </c>
      <c r="AL179" s="20">
        <f t="shared" si="165"/>
        <v>1.0676332069095257E-12</v>
      </c>
      <c r="AM179" s="59">
        <f t="shared" si="113"/>
        <v>289.12040147383868</v>
      </c>
      <c r="AN179" s="59">
        <f ca="1">AVERAGE(OFFSET($AM$3,0,0,'Données projet'!$E$10+1,1))-AVERAGE(OFFSET($H$3,0,0,'Données projet'!$E$10+1,1))</f>
        <v>274.23303062063621</v>
      </c>
      <c r="AO179" s="59">
        <f t="shared" si="144"/>
        <v>289.08677371938779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#VALUE!</v>
      </c>
      <c r="AV179" s="21" t="e">
        <f>EXP(-LN(2)/25)*AV178+(1-EXP(-LN(2)/25))/(LN(2)/25)*Calculateur!AQ179*Calculateur!AS179*VLOOKUP('Données projet'!$B$10,Paramètres!$A$1:$I$89,3,0)*0.475*44/12</f>
        <v>#VALUE!</v>
      </c>
      <c r="AW179" s="21" t="e">
        <f>EXP(-LN(2)/2)*AW178+(1-EXP(-LN(2)/2))/(LN(2)/2)*AQ179*AT179*VLOOKUP('Données projet'!$B$10,Paramètres!$A$1:$I$89,3,0)*0.475*44/12</f>
        <v>#VALUE!</v>
      </c>
      <c r="AX179" s="21" t="e">
        <f t="shared" si="166"/>
        <v>#VALUE!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8.5265128291212022E-14</v>
      </c>
      <c r="O180" s="13">
        <f>N180*VLOOKUP('Données projet'!$B$9,Paramètres!$A$1:$I$89,3,0)*VLOOKUP('Données projet'!$B$9,Paramètres!$A$1:$I$89,5,0)</f>
        <v>7.4487616075202836E-14</v>
      </c>
      <c r="P180" s="13">
        <f t="shared" si="141"/>
        <v>1.1580453144473142E-12</v>
      </c>
      <c r="Q180" s="20">
        <f t="shared" si="162"/>
        <v>2.1466615206600508E-12</v>
      </c>
      <c r="R180" s="59">
        <f t="shared" si="109"/>
        <v>289.19348642289742</v>
      </c>
      <c r="S180" s="59">
        <f ca="1">AVERAGE(OFFSET($R$3,0,0,'Données projet'!$E$9+1,1))-AVERAGE(OFFSET($H$3,0,0,'Données projet'!$E$9+1,1))</f>
        <v>328.99319251806747</v>
      </c>
      <c r="T180" s="59">
        <f t="shared" si="142"/>
        <v>270.36198290276695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2.7113367185843805E-2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9.543301325916553E-22</v>
      </c>
      <c r="AC180" s="22">
        <f t="shared" si="163"/>
        <v>2.7113367185843805E-2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3.3992364478763198E-14</v>
      </c>
      <c r="AK180" s="13">
        <f t="shared" si="164"/>
        <v>5.790027782444094E-13</v>
      </c>
      <c r="AL180" s="20">
        <f t="shared" si="165"/>
        <v>1.0676332069095257E-12</v>
      </c>
      <c r="AM180" s="59">
        <f t="shared" si="113"/>
        <v>289.19348642289634</v>
      </c>
      <c r="AN180" s="59">
        <f ca="1">AVERAGE(OFFSET($AM$3,0,0,'Données projet'!$E$10+1,1))-AVERAGE(OFFSET($H$3,0,0,'Données projet'!$E$10+1,1))</f>
        <v>274.23303062063621</v>
      </c>
      <c r="AO180" s="59">
        <f t="shared" si="144"/>
        <v>289.08677371938779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#VALUE!</v>
      </c>
      <c r="AV180" s="21" t="e">
        <f>EXP(-LN(2)/25)*AV179+(1-EXP(-LN(2)/25))/(LN(2)/25)*Calculateur!AQ180*Calculateur!AS180*VLOOKUP('Données projet'!$B$10,Paramètres!$A$1:$I$89,3,0)*0.475*44/12</f>
        <v>#VALUE!</v>
      </c>
      <c r="AW180" s="21" t="e">
        <f>EXP(-LN(2)/2)*AW179+(1-EXP(-LN(2)/2))/(LN(2)/2)*AQ180*AT180*VLOOKUP('Données projet'!$B$10,Paramètres!$A$1:$I$89,3,0)*0.475*44/12</f>
        <v>#VALUE!</v>
      </c>
      <c r="AX180" s="21" t="e">
        <f t="shared" si="166"/>
        <v>#VALUE!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8.5265128291212022E-14</v>
      </c>
      <c r="O181" s="13">
        <f>N181*VLOOKUP('Données projet'!$B$9,Paramètres!$A$1:$I$89,3,0)*VLOOKUP('Données projet'!$B$9,Paramètres!$A$1:$I$89,5,0)</f>
        <v>7.4487616075202836E-14</v>
      </c>
      <c r="P181" s="13">
        <f t="shared" si="141"/>
        <v>1.1580453144473142E-12</v>
      </c>
      <c r="Q181" s="20">
        <f t="shared" si="162"/>
        <v>2.1466615206600508E-12</v>
      </c>
      <c r="R181" s="59">
        <f t="shared" si="109"/>
        <v>289.26530351148233</v>
      </c>
      <c r="S181" s="59">
        <f ca="1">AVERAGE(OFFSET($R$3,0,0,'Données projet'!$E$9+1,1))-AVERAGE(OFFSET($H$3,0,0,'Données projet'!$E$9+1,1))</f>
        <v>328.99319251806747</v>
      </c>
      <c r="T181" s="59">
        <f t="shared" si="142"/>
        <v>270.36198290276695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2.6581690592850447E-2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6.748133082462165E-22</v>
      </c>
      <c r="AC181" s="22">
        <f t="shared" si="163"/>
        <v>2.6581690592850447E-2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3.3992364478763198E-14</v>
      </c>
      <c r="AK181" s="13">
        <f t="shared" si="164"/>
        <v>5.790027782444094E-13</v>
      </c>
      <c r="AL181" s="20">
        <f t="shared" si="165"/>
        <v>1.0676332069095257E-12</v>
      </c>
      <c r="AM181" s="59">
        <f t="shared" si="113"/>
        <v>289.26530351148125</v>
      </c>
      <c r="AN181" s="59">
        <f ca="1">AVERAGE(OFFSET($AM$3,0,0,'Données projet'!$E$10+1,1))-AVERAGE(OFFSET($H$3,0,0,'Données projet'!$E$10+1,1))</f>
        <v>274.23303062063621</v>
      </c>
      <c r="AO181" s="59">
        <f t="shared" si="144"/>
        <v>289.08677371938779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#VALUE!</v>
      </c>
      <c r="AV181" s="21" t="e">
        <f>EXP(-LN(2)/25)*AV180+(1-EXP(-LN(2)/25))/(LN(2)/25)*Calculateur!AQ181*Calculateur!AS181*VLOOKUP('Données projet'!$B$10,Paramètres!$A$1:$I$89,3,0)*0.475*44/12</f>
        <v>#VALUE!</v>
      </c>
      <c r="AW181" s="21" t="e">
        <f>EXP(-LN(2)/2)*AW180+(1-EXP(-LN(2)/2))/(LN(2)/2)*AQ181*AT181*VLOOKUP('Données projet'!$B$10,Paramètres!$A$1:$I$89,3,0)*0.475*44/12</f>
        <v>#VALUE!</v>
      </c>
      <c r="AX181" s="21" t="e">
        <f t="shared" si="166"/>
        <v>#VALUE!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8.5265128291212022E-14</v>
      </c>
      <c r="O182" s="13">
        <f>N182*VLOOKUP('Données projet'!$B$9,Paramètres!$A$1:$I$89,3,0)*VLOOKUP('Données projet'!$B$9,Paramètres!$A$1:$I$89,5,0)</f>
        <v>7.4487616075202836E-14</v>
      </c>
      <c r="P182" s="13">
        <f t="shared" si="141"/>
        <v>1.1580453144473142E-12</v>
      </c>
      <c r="Q182" s="20">
        <f t="shared" si="162"/>
        <v>2.1466615206600508E-12</v>
      </c>
      <c r="R182" s="59">
        <f t="shared" si="109"/>
        <v>289.33587473413928</v>
      </c>
      <c r="S182" s="59">
        <f ca="1">AVERAGE(OFFSET($R$3,0,0,'Données projet'!$E$9+1,1))-AVERAGE(OFFSET($H$3,0,0,'Données projet'!$E$9+1,1))</f>
        <v>328.99319251806747</v>
      </c>
      <c r="T182" s="59">
        <f t="shared" si="142"/>
        <v>270.36198290276695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2.6060439853554988E-2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4.7716506629582765E-22</v>
      </c>
      <c r="AC182" s="22">
        <f t="shared" si="163"/>
        <v>2.6060439853554988E-2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3.3992364478763198E-14</v>
      </c>
      <c r="AK182" s="13">
        <f t="shared" si="164"/>
        <v>5.790027782444094E-13</v>
      </c>
      <c r="AL182" s="20">
        <f t="shared" si="165"/>
        <v>1.0676332069095257E-12</v>
      </c>
      <c r="AM182" s="59">
        <f t="shared" si="113"/>
        <v>289.3358747341382</v>
      </c>
      <c r="AN182" s="59">
        <f ca="1">AVERAGE(OFFSET($AM$3,0,0,'Données projet'!$E$10+1,1))-AVERAGE(OFFSET($H$3,0,0,'Données projet'!$E$10+1,1))</f>
        <v>274.23303062063621</v>
      </c>
      <c r="AO182" s="59">
        <f t="shared" si="144"/>
        <v>289.08677371938779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#VALUE!</v>
      </c>
      <c r="AV182" s="21" t="e">
        <f>EXP(-LN(2)/25)*AV181+(1-EXP(-LN(2)/25))/(LN(2)/25)*Calculateur!AQ182*Calculateur!AS182*VLOOKUP('Données projet'!$B$10,Paramètres!$A$1:$I$89,3,0)*0.475*44/12</f>
        <v>#VALUE!</v>
      </c>
      <c r="AW182" s="21" t="e">
        <f>EXP(-LN(2)/2)*AW181+(1-EXP(-LN(2)/2))/(LN(2)/2)*AQ182*AT182*VLOOKUP('Données projet'!$B$10,Paramètres!$A$1:$I$89,3,0)*0.475*44/12</f>
        <v>#VALUE!</v>
      </c>
      <c r="AX182" s="21" t="e">
        <f t="shared" si="166"/>
        <v>#VALUE!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8.5265128291212022E-14</v>
      </c>
      <c r="O183" s="13">
        <f>N183*VLOOKUP('Données projet'!$B$9,Paramètres!$A$1:$I$89,3,0)*VLOOKUP('Données projet'!$B$9,Paramètres!$A$1:$I$89,5,0)</f>
        <v>7.4487616075202836E-14</v>
      </c>
      <c r="P183" s="13">
        <f t="shared" si="141"/>
        <v>1.1580453144473142E-12</v>
      </c>
      <c r="Q183" s="20">
        <f t="shared" si="162"/>
        <v>2.1466615206600508E-12</v>
      </c>
      <c r="R183" s="59">
        <f t="shared" si="109"/>
        <v>289.4052217038568</v>
      </c>
      <c r="S183" s="59">
        <f ca="1">AVERAGE(OFFSET($R$3,0,0,'Données projet'!$E$9+1,1))-AVERAGE(OFFSET($H$3,0,0,'Données projet'!$E$9+1,1))</f>
        <v>328.99319251806747</v>
      </c>
      <c r="T183" s="59">
        <f t="shared" si="142"/>
        <v>270.36198290276695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2.5549410523325555E-2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3.3740665412310825E-22</v>
      </c>
      <c r="AC183" s="22">
        <f t="shared" si="163"/>
        <v>2.5549410523325555E-2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3.3992364478763198E-14</v>
      </c>
      <c r="AK183" s="13">
        <f t="shared" si="164"/>
        <v>5.790027782444094E-13</v>
      </c>
      <c r="AL183" s="20">
        <f t="shared" si="165"/>
        <v>1.0676332069095257E-12</v>
      </c>
      <c r="AM183" s="59">
        <f t="shared" si="113"/>
        <v>289.40522170385572</v>
      </c>
      <c r="AN183" s="59">
        <f ca="1">AVERAGE(OFFSET($AM$3,0,0,'Données projet'!$E$10+1,1))-AVERAGE(OFFSET($H$3,0,0,'Données projet'!$E$10+1,1))</f>
        <v>274.23303062063621</v>
      </c>
      <c r="AO183" s="59">
        <f t="shared" si="144"/>
        <v>289.08677371938779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#VALUE!</v>
      </c>
      <c r="AV183" s="21" t="e">
        <f>EXP(-LN(2)/25)*AV182+(1-EXP(-LN(2)/25))/(LN(2)/25)*Calculateur!AQ183*Calculateur!AS183*VLOOKUP('Données projet'!$B$10,Paramètres!$A$1:$I$89,3,0)*0.475*44/12</f>
        <v>#VALUE!</v>
      </c>
      <c r="AW183" s="21" t="e">
        <f>EXP(-LN(2)/2)*AW182+(1-EXP(-LN(2)/2))/(LN(2)/2)*AQ183*AT183*VLOOKUP('Données projet'!$B$10,Paramètres!$A$1:$I$89,3,0)*0.475*44/12</f>
        <v>#VALUE!</v>
      </c>
      <c r="AX183" s="21" t="e">
        <f t="shared" si="166"/>
        <v>#VALUE!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8.5265128291212022E-14</v>
      </c>
      <c r="O184" s="13">
        <f>N184*VLOOKUP('Données projet'!$B$9,Paramètres!$A$1:$I$89,3,0)*VLOOKUP('Données projet'!$B$9,Paramètres!$A$1:$I$89,5,0)</f>
        <v>7.4487616075202836E-14</v>
      </c>
      <c r="P184" s="13">
        <f t="shared" si="141"/>
        <v>1.1580453144473142E-12</v>
      </c>
      <c r="Q184" s="20">
        <f t="shared" si="162"/>
        <v>2.1466615206600508E-12</v>
      </c>
      <c r="R184" s="59">
        <f t="shared" si="109"/>
        <v>289.47336565868625</v>
      </c>
      <c r="S184" s="59">
        <f ca="1">AVERAGE(OFFSET($R$3,0,0,'Données projet'!$E$9+1,1))-AVERAGE(OFFSET($H$3,0,0,'Données projet'!$E$9+1,1))</f>
        <v>328.99319251806747</v>
      </c>
      <c r="T184" s="59">
        <f t="shared" si="142"/>
        <v>270.36198290276695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2.5048402166564808E-2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2.3858253314791383E-22</v>
      </c>
      <c r="AC184" s="22">
        <f t="shared" si="163"/>
        <v>2.5048402166564808E-2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3.3992364478763198E-14</v>
      </c>
      <c r="AK184" s="13">
        <f t="shared" si="164"/>
        <v>5.790027782444094E-13</v>
      </c>
      <c r="AL184" s="20">
        <f t="shared" si="165"/>
        <v>1.0676332069095257E-12</v>
      </c>
      <c r="AM184" s="59">
        <f t="shared" si="113"/>
        <v>289.47336565868517</v>
      </c>
      <c r="AN184" s="59">
        <f ca="1">AVERAGE(OFFSET($AM$3,0,0,'Données projet'!$E$10+1,1))-AVERAGE(OFFSET($H$3,0,0,'Données projet'!$E$10+1,1))</f>
        <v>274.23303062063621</v>
      </c>
      <c r="AO184" s="59">
        <f t="shared" si="144"/>
        <v>289.08677371938779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#VALUE!</v>
      </c>
      <c r="AV184" s="21" t="e">
        <f>EXP(-LN(2)/25)*AV183+(1-EXP(-LN(2)/25))/(LN(2)/25)*Calculateur!AQ184*Calculateur!AS184*VLOOKUP('Données projet'!$B$10,Paramètres!$A$1:$I$89,3,0)*0.475*44/12</f>
        <v>#VALUE!</v>
      </c>
      <c r="AW184" s="21" t="e">
        <f>EXP(-LN(2)/2)*AW183+(1-EXP(-LN(2)/2))/(LN(2)/2)*AQ184*AT184*VLOOKUP('Données projet'!$B$10,Paramètres!$A$1:$I$89,3,0)*0.475*44/12</f>
        <v>#VALUE!</v>
      </c>
      <c r="AX184" s="21" t="e">
        <f t="shared" si="166"/>
        <v>#VALUE!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8.5265128291212022E-14</v>
      </c>
      <c r="O185" s="13">
        <f>N185*VLOOKUP('Données projet'!$B$9,Paramètres!$A$1:$I$89,3,0)*VLOOKUP('Données projet'!$B$9,Paramètres!$A$1:$I$89,5,0)</f>
        <v>7.4487616075202836E-14</v>
      </c>
      <c r="P185" s="13">
        <f t="shared" si="141"/>
        <v>1.1580453144473142E-12</v>
      </c>
      <c r="Q185" s="20">
        <f t="shared" si="162"/>
        <v>2.1466615206600508E-12</v>
      </c>
      <c r="R185" s="59">
        <f t="shared" si="109"/>
        <v>289.54032746824657</v>
      </c>
      <c r="S185" s="59">
        <f ca="1">AVERAGE(OFFSET($R$3,0,0,'Données projet'!$E$9+1,1))-AVERAGE(OFFSET($H$3,0,0,'Données projet'!$E$9+1,1))</f>
        <v>328.99319251806747</v>
      </c>
      <c r="T185" s="59">
        <f t="shared" si="142"/>
        <v>270.36198290276695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2.4557218278095216E-2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1.6870332706155412E-22</v>
      </c>
      <c r="AC185" s="22">
        <f t="shared" si="163"/>
        <v>2.4557218278095216E-2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3.3992364478763198E-14</v>
      </c>
      <c r="AK185" s="13">
        <f t="shared" si="164"/>
        <v>5.790027782444094E-13</v>
      </c>
      <c r="AL185" s="20">
        <f t="shared" si="165"/>
        <v>1.0676332069095257E-12</v>
      </c>
      <c r="AM185" s="59">
        <f t="shared" si="113"/>
        <v>289.54032746824549</v>
      </c>
      <c r="AN185" s="59">
        <f ca="1">AVERAGE(OFFSET($AM$3,0,0,'Données projet'!$E$10+1,1))-AVERAGE(OFFSET($H$3,0,0,'Données projet'!$E$10+1,1))</f>
        <v>274.23303062063621</v>
      </c>
      <c r="AO185" s="59">
        <f t="shared" si="144"/>
        <v>289.08677371938779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#VALUE!</v>
      </c>
      <c r="AV185" s="21" t="e">
        <f>EXP(-LN(2)/25)*AV184+(1-EXP(-LN(2)/25))/(LN(2)/25)*Calculateur!AQ185*Calculateur!AS185*VLOOKUP('Données projet'!$B$10,Paramètres!$A$1:$I$89,3,0)*0.475*44/12</f>
        <v>#VALUE!</v>
      </c>
      <c r="AW185" s="21" t="e">
        <f>EXP(-LN(2)/2)*AW184+(1-EXP(-LN(2)/2))/(LN(2)/2)*AQ185*AT185*VLOOKUP('Données projet'!$B$10,Paramètres!$A$1:$I$89,3,0)*0.475*44/12</f>
        <v>#VALUE!</v>
      </c>
      <c r="AX185" s="21" t="e">
        <f t="shared" si="166"/>
        <v>#VALUE!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8.5265128291212022E-14</v>
      </c>
      <c r="O186" s="13">
        <f>N186*VLOOKUP('Données projet'!$B$9,Paramètres!$A$1:$I$89,3,0)*VLOOKUP('Données projet'!$B$9,Paramètres!$A$1:$I$89,5,0)</f>
        <v>7.4487616075202836E-14</v>
      </c>
      <c r="P186" s="13">
        <f t="shared" si="141"/>
        <v>1.1580453144473142E-12</v>
      </c>
      <c r="Q186" s="20">
        <f t="shared" si="162"/>
        <v>2.1466615206600508E-12</v>
      </c>
      <c r="R186" s="59">
        <f t="shared" si="109"/>
        <v>289.60612764011512</v>
      </c>
      <c r="S186" s="59">
        <f ca="1">AVERAGE(OFFSET($R$3,0,0,'Données projet'!$E$9+1,1))-AVERAGE(OFFSET($H$3,0,0,'Données projet'!$E$9+1,1))</f>
        <v>328.99319251806747</v>
      </c>
      <c r="T186" s="59">
        <f t="shared" si="142"/>
        <v>270.36198290276695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2.4075666206085922E-2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1.1929126657395691E-22</v>
      </c>
      <c r="AC186" s="22">
        <f t="shared" si="163"/>
        <v>2.4075666206085922E-2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3.3992364478763198E-14</v>
      </c>
      <c r="AK186" s="13">
        <f t="shared" si="164"/>
        <v>5.790027782444094E-13</v>
      </c>
      <c r="AL186" s="20">
        <f t="shared" si="165"/>
        <v>1.0676332069095257E-12</v>
      </c>
      <c r="AM186" s="59">
        <f t="shared" si="113"/>
        <v>289.60612764011404</v>
      </c>
      <c r="AN186" s="59">
        <f ca="1">AVERAGE(OFFSET($AM$3,0,0,'Données projet'!$E$10+1,1))-AVERAGE(OFFSET($H$3,0,0,'Données projet'!$E$10+1,1))</f>
        <v>274.23303062063621</v>
      </c>
      <c r="AO186" s="59">
        <f t="shared" si="144"/>
        <v>289.08677371938779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#VALUE!</v>
      </c>
      <c r="AV186" s="21" t="e">
        <f>EXP(-LN(2)/25)*AV185+(1-EXP(-LN(2)/25))/(LN(2)/25)*Calculateur!AQ186*Calculateur!AS186*VLOOKUP('Données projet'!$B$10,Paramètres!$A$1:$I$89,3,0)*0.475*44/12</f>
        <v>#VALUE!</v>
      </c>
      <c r="AW186" s="21" t="e">
        <f>EXP(-LN(2)/2)*AW185+(1-EXP(-LN(2)/2))/(LN(2)/2)*AQ186*AT186*VLOOKUP('Données projet'!$B$10,Paramètres!$A$1:$I$89,3,0)*0.475*44/12</f>
        <v>#VALUE!</v>
      </c>
      <c r="AX186" s="21" t="e">
        <f t="shared" si="166"/>
        <v>#VALUE!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8.5265128291212022E-14</v>
      </c>
      <c r="O187" s="13">
        <f>N187*VLOOKUP('Données projet'!$B$9,Paramètres!$A$1:$I$89,3,0)*VLOOKUP('Données projet'!$B$9,Paramètres!$A$1:$I$89,5,0)</f>
        <v>7.4487616075202836E-14</v>
      </c>
      <c r="P187" s="13">
        <f t="shared" si="141"/>
        <v>1.1580453144473142E-12</v>
      </c>
      <c r="Q187" s="20">
        <f t="shared" si="162"/>
        <v>2.1466615206600508E-12</v>
      </c>
      <c r="R187" s="59">
        <f t="shared" si="109"/>
        <v>289.6707863261089</v>
      </c>
      <c r="S187" s="59">
        <f ca="1">AVERAGE(OFFSET($R$3,0,0,'Données projet'!$E$9+1,1))-AVERAGE(OFFSET($H$3,0,0,'Données projet'!$E$9+1,1))</f>
        <v>328.99319251806747</v>
      </c>
      <c r="T187" s="59">
        <f t="shared" si="142"/>
        <v>270.36198290276695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2.3603557076490967E-2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8.4351663530777062E-23</v>
      </c>
      <c r="AC187" s="22">
        <f t="shared" si="163"/>
        <v>2.3603557076490967E-2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3.3992364478763198E-14</v>
      </c>
      <c r="AK187" s="13">
        <f t="shared" si="164"/>
        <v>5.790027782444094E-13</v>
      </c>
      <c r="AL187" s="20">
        <f t="shared" si="165"/>
        <v>1.0676332069095257E-12</v>
      </c>
      <c r="AM187" s="59">
        <f t="shared" si="113"/>
        <v>289.67078632610782</v>
      </c>
      <c r="AN187" s="59">
        <f ca="1">AVERAGE(OFFSET($AM$3,0,0,'Données projet'!$E$10+1,1))-AVERAGE(OFFSET($H$3,0,0,'Données projet'!$E$10+1,1))</f>
        <v>274.23303062063621</v>
      </c>
      <c r="AO187" s="59">
        <f t="shared" si="144"/>
        <v>289.08677371938779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#VALUE!</v>
      </c>
      <c r="AV187" s="21" t="e">
        <f>EXP(-LN(2)/25)*AV186+(1-EXP(-LN(2)/25))/(LN(2)/25)*Calculateur!AQ187*Calculateur!AS187*VLOOKUP('Données projet'!$B$10,Paramètres!$A$1:$I$89,3,0)*0.475*44/12</f>
        <v>#VALUE!</v>
      </c>
      <c r="AW187" s="21" t="e">
        <f>EXP(-LN(2)/2)*AW186+(1-EXP(-LN(2)/2))/(LN(2)/2)*AQ187*AT187*VLOOKUP('Données projet'!$B$10,Paramètres!$A$1:$I$89,3,0)*0.475*44/12</f>
        <v>#VALUE!</v>
      </c>
      <c r="AX187" s="21" t="e">
        <f t="shared" si="166"/>
        <v>#VALUE!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8.5265128291212022E-14</v>
      </c>
      <c r="O188" s="13">
        <f>N188*VLOOKUP('Données projet'!$B$9,Paramètres!$A$1:$I$89,3,0)*VLOOKUP('Données projet'!$B$9,Paramètres!$A$1:$I$89,5,0)</f>
        <v>7.4487616075202836E-14</v>
      </c>
      <c r="P188" s="13">
        <f t="shared" si="141"/>
        <v>1.1580453144473142E-12</v>
      </c>
      <c r="Q188" s="20">
        <f t="shared" si="162"/>
        <v>2.1466615206600508E-12</v>
      </c>
      <c r="R188" s="59">
        <f t="shared" si="109"/>
        <v>289.7343233284559</v>
      </c>
      <c r="S188" s="59">
        <f ca="1">AVERAGE(OFFSET($R$3,0,0,'Données projet'!$E$9+1,1))-AVERAGE(OFFSET($H$3,0,0,'Données projet'!$E$9+1,1))</f>
        <v>328.99319251806747</v>
      </c>
      <c r="T188" s="59">
        <f t="shared" si="142"/>
        <v>270.36198290276695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2.3140705718969236E-2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5.9645633286978456E-23</v>
      </c>
      <c r="AC188" s="22">
        <f t="shared" si="163"/>
        <v>2.3140705718969236E-2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3.3992364478763198E-14</v>
      </c>
      <c r="AK188" s="13">
        <f t="shared" si="164"/>
        <v>5.790027782444094E-13</v>
      </c>
      <c r="AL188" s="20">
        <f t="shared" si="165"/>
        <v>1.0676332069095257E-12</v>
      </c>
      <c r="AM188" s="59">
        <f t="shared" si="113"/>
        <v>289.73432332845482</v>
      </c>
      <c r="AN188" s="59">
        <f ca="1">AVERAGE(OFFSET($AM$3,0,0,'Données projet'!$E$10+1,1))-AVERAGE(OFFSET($H$3,0,0,'Données projet'!$E$10+1,1))</f>
        <v>274.23303062063621</v>
      </c>
      <c r="AO188" s="59">
        <f t="shared" si="144"/>
        <v>289.08677371938779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#VALUE!</v>
      </c>
      <c r="AV188" s="21" t="e">
        <f>EXP(-LN(2)/25)*AV187+(1-EXP(-LN(2)/25))/(LN(2)/25)*Calculateur!AQ188*Calculateur!AS188*VLOOKUP('Données projet'!$B$10,Paramètres!$A$1:$I$89,3,0)*0.475*44/12</f>
        <v>#VALUE!</v>
      </c>
      <c r="AW188" s="21" t="e">
        <f>EXP(-LN(2)/2)*AW187+(1-EXP(-LN(2)/2))/(LN(2)/2)*AQ188*AT188*VLOOKUP('Données projet'!$B$10,Paramètres!$A$1:$I$89,3,0)*0.475*44/12</f>
        <v>#VALUE!</v>
      </c>
      <c r="AX188" s="21" t="e">
        <f t="shared" si="166"/>
        <v>#VALUE!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8.5265128291212022E-14</v>
      </c>
      <c r="O189" s="13">
        <f>N189*VLOOKUP('Données projet'!$B$9,Paramètres!$A$1:$I$89,3,0)*VLOOKUP('Données projet'!$B$9,Paramètres!$A$1:$I$89,5,0)</f>
        <v>7.4487616075202836E-14</v>
      </c>
      <c r="P189" s="13">
        <f t="shared" si="141"/>
        <v>1.1580453144473142E-12</v>
      </c>
      <c r="Q189" s="20">
        <f t="shared" si="162"/>
        <v>2.1466615206600508E-12</v>
      </c>
      <c r="R189" s="59">
        <f t="shared" si="109"/>
        <v>289.79675810585957</v>
      </c>
      <c r="S189" s="59">
        <f ca="1">AVERAGE(OFFSET($R$3,0,0,'Données projet'!$E$9+1,1))-AVERAGE(OFFSET($H$3,0,0,'Données projet'!$E$9+1,1))</f>
        <v>328.99319251806747</v>
      </c>
      <c r="T189" s="59">
        <f t="shared" si="142"/>
        <v>270.36198290276695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2.2686930594257054E-2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4.2175831765388531E-23</v>
      </c>
      <c r="AC189" s="22">
        <f t="shared" si="163"/>
        <v>2.2686930594257054E-2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3.3992364478763198E-14</v>
      </c>
      <c r="AK189" s="13">
        <f t="shared" si="164"/>
        <v>5.790027782444094E-13</v>
      </c>
      <c r="AL189" s="20">
        <f t="shared" si="165"/>
        <v>1.0676332069095257E-12</v>
      </c>
      <c r="AM189" s="59">
        <f t="shared" si="113"/>
        <v>289.79675810585849</v>
      </c>
      <c r="AN189" s="59">
        <f ca="1">AVERAGE(OFFSET($AM$3,0,0,'Données projet'!$E$10+1,1))-AVERAGE(OFFSET($H$3,0,0,'Données projet'!$E$10+1,1))</f>
        <v>274.23303062063621</v>
      </c>
      <c r="AO189" s="59">
        <f t="shared" si="144"/>
        <v>289.08677371938779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#VALUE!</v>
      </c>
      <c r="AV189" s="21" t="e">
        <f>EXP(-LN(2)/25)*AV188+(1-EXP(-LN(2)/25))/(LN(2)/25)*Calculateur!AQ189*Calculateur!AS189*VLOOKUP('Données projet'!$B$10,Paramètres!$A$1:$I$89,3,0)*0.475*44/12</f>
        <v>#VALUE!</v>
      </c>
      <c r="AW189" s="21" t="e">
        <f>EXP(-LN(2)/2)*AW188+(1-EXP(-LN(2)/2))/(LN(2)/2)*AQ189*AT189*VLOOKUP('Données projet'!$B$10,Paramètres!$A$1:$I$89,3,0)*0.475*44/12</f>
        <v>#VALUE!</v>
      </c>
      <c r="AX189" s="21" t="e">
        <f t="shared" si="166"/>
        <v>#VALUE!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8.5265128291212022E-14</v>
      </c>
      <c r="O190" s="13">
        <f>N190*VLOOKUP('Données projet'!$B$9,Paramètres!$A$1:$I$89,3,0)*VLOOKUP('Données projet'!$B$9,Paramètres!$A$1:$I$89,5,0)</f>
        <v>7.4487616075202836E-14</v>
      </c>
      <c r="P190" s="13">
        <f t="shared" si="141"/>
        <v>1.1580453144473142E-12</v>
      </c>
      <c r="Q190" s="20">
        <f t="shared" si="162"/>
        <v>2.1466615206600508E-12</v>
      </c>
      <c r="R190" s="59">
        <f t="shared" si="109"/>
        <v>289.85810977945857</v>
      </c>
      <c r="S190" s="59">
        <f ca="1">AVERAGE(OFFSET($R$3,0,0,'Données projet'!$E$9+1,1))-AVERAGE(OFFSET($H$3,0,0,'Données projet'!$E$9+1,1))</f>
        <v>328.99319251806747</v>
      </c>
      <c r="T190" s="59">
        <f t="shared" si="142"/>
        <v>270.36198290276695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2.2242053722964981E-2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2.9822816643489228E-23</v>
      </c>
      <c r="AC190" s="22">
        <f t="shared" si="163"/>
        <v>2.2242053722964981E-2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3.3992364478763198E-14</v>
      </c>
      <c r="AK190" s="13">
        <f t="shared" si="164"/>
        <v>5.790027782444094E-13</v>
      </c>
      <c r="AL190" s="20">
        <f t="shared" si="165"/>
        <v>1.0676332069095257E-12</v>
      </c>
      <c r="AM190" s="59">
        <f t="shared" si="113"/>
        <v>289.85810977945749</v>
      </c>
      <c r="AN190" s="59">
        <f ca="1">AVERAGE(OFFSET($AM$3,0,0,'Données projet'!$E$10+1,1))-AVERAGE(OFFSET($H$3,0,0,'Données projet'!$E$10+1,1))</f>
        <v>274.23303062063621</v>
      </c>
      <c r="AO190" s="59">
        <f t="shared" si="144"/>
        <v>289.08677371938779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#VALUE!</v>
      </c>
      <c r="AV190" s="21" t="e">
        <f>EXP(-LN(2)/25)*AV189+(1-EXP(-LN(2)/25))/(LN(2)/25)*Calculateur!AQ190*Calculateur!AS190*VLOOKUP('Données projet'!$B$10,Paramètres!$A$1:$I$89,3,0)*0.475*44/12</f>
        <v>#VALUE!</v>
      </c>
      <c r="AW190" s="21" t="e">
        <f>EXP(-LN(2)/2)*AW189+(1-EXP(-LN(2)/2))/(LN(2)/2)*AQ190*AT190*VLOOKUP('Données projet'!$B$10,Paramètres!$A$1:$I$89,3,0)*0.475*44/12</f>
        <v>#VALUE!</v>
      </c>
      <c r="AX190" s="21" t="e">
        <f t="shared" si="166"/>
        <v>#VALUE!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8.5265128291212022E-14</v>
      </c>
      <c r="O191" s="13">
        <f>N191*VLOOKUP('Données projet'!$B$9,Paramètres!$A$1:$I$89,3,0)*VLOOKUP('Données projet'!$B$9,Paramètres!$A$1:$I$89,5,0)</f>
        <v>7.4487616075202836E-14</v>
      </c>
      <c r="P191" s="13">
        <f t="shared" si="141"/>
        <v>1.1580453144473142E-12</v>
      </c>
      <c r="Q191" s="20">
        <f t="shared" si="162"/>
        <v>2.1466615206600508E-12</v>
      </c>
      <c r="R191" s="59">
        <f t="shared" si="109"/>
        <v>289.91839713868239</v>
      </c>
      <c r="S191" s="59">
        <f ca="1">AVERAGE(OFFSET($R$3,0,0,'Données projet'!$E$9+1,1))-AVERAGE(OFFSET($H$3,0,0,'Données projet'!$E$9+1,1))</f>
        <v>328.99319251806747</v>
      </c>
      <c r="T191" s="59">
        <f t="shared" si="142"/>
        <v>270.36198290276695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2.1805900615770847E-2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2.1087915882694266E-23</v>
      </c>
      <c r="AC191" s="22">
        <f t="shared" si="163"/>
        <v>2.1805900615770847E-2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3.3992364478763198E-14</v>
      </c>
      <c r="AK191" s="13">
        <f t="shared" si="164"/>
        <v>5.790027782444094E-13</v>
      </c>
      <c r="AL191" s="20">
        <f t="shared" si="165"/>
        <v>1.0676332069095257E-12</v>
      </c>
      <c r="AM191" s="59">
        <f t="shared" si="113"/>
        <v>289.91839713868131</v>
      </c>
      <c r="AN191" s="59">
        <f ca="1">AVERAGE(OFFSET($AM$3,0,0,'Données projet'!$E$10+1,1))-AVERAGE(OFFSET($H$3,0,0,'Données projet'!$E$10+1,1))</f>
        <v>274.23303062063621</v>
      </c>
      <c r="AO191" s="59">
        <f t="shared" si="144"/>
        <v>289.08677371938779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#VALUE!</v>
      </c>
      <c r="AV191" s="21" t="e">
        <f>EXP(-LN(2)/25)*AV190+(1-EXP(-LN(2)/25))/(LN(2)/25)*Calculateur!AQ191*Calculateur!AS191*VLOOKUP('Données projet'!$B$10,Paramètres!$A$1:$I$89,3,0)*0.475*44/12</f>
        <v>#VALUE!</v>
      </c>
      <c r="AW191" s="21" t="e">
        <f>EXP(-LN(2)/2)*AW190+(1-EXP(-LN(2)/2))/(LN(2)/2)*AQ191*AT191*VLOOKUP('Données projet'!$B$10,Paramètres!$A$1:$I$89,3,0)*0.475*44/12</f>
        <v>#VALUE!</v>
      </c>
      <c r="AX191" s="21" t="e">
        <f t="shared" si="166"/>
        <v>#VALUE!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8.5265128291212022E-14</v>
      </c>
      <c r="O192" s="13">
        <f>N192*VLOOKUP('Données projet'!$B$9,Paramètres!$A$1:$I$89,3,0)*VLOOKUP('Données projet'!$B$9,Paramètres!$A$1:$I$89,5,0)</f>
        <v>7.4487616075202836E-14</v>
      </c>
      <c r="P192" s="13">
        <f t="shared" si="141"/>
        <v>1.1580453144473142E-12</v>
      </c>
      <c r="Q192" s="20">
        <f t="shared" si="162"/>
        <v>2.1466615206600508E-12</v>
      </c>
      <c r="R192" s="59">
        <f t="shared" si="109"/>
        <v>289.97763864700602</v>
      </c>
      <c r="S192" s="59">
        <f ca="1">AVERAGE(OFFSET($R$3,0,0,'Données projet'!$E$9+1,1))-AVERAGE(OFFSET($H$3,0,0,'Données projet'!$E$9+1,1))</f>
        <v>328.99319251806747</v>
      </c>
      <c r="T192" s="59">
        <f t="shared" si="142"/>
        <v>270.36198290276695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2.1378300204981663E-2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1.4911408321744614E-23</v>
      </c>
      <c r="AC192" s="22">
        <f t="shared" si="163"/>
        <v>2.1378300204981663E-2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3.3992364478763198E-14</v>
      </c>
      <c r="AK192" s="13">
        <f t="shared" si="164"/>
        <v>5.790027782444094E-13</v>
      </c>
      <c r="AL192" s="20">
        <f t="shared" si="165"/>
        <v>1.0676332069095257E-12</v>
      </c>
      <c r="AM192" s="59">
        <f t="shared" si="113"/>
        <v>289.97763864700494</v>
      </c>
      <c r="AN192" s="59">
        <f ca="1">AVERAGE(OFFSET($AM$3,0,0,'Données projet'!$E$10+1,1))-AVERAGE(OFFSET($H$3,0,0,'Données projet'!$E$10+1,1))</f>
        <v>274.23303062063621</v>
      </c>
      <c r="AO192" s="59">
        <f t="shared" si="144"/>
        <v>289.08677371938779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#VALUE!</v>
      </c>
      <c r="AV192" s="21" t="e">
        <f>EXP(-LN(2)/25)*AV191+(1-EXP(-LN(2)/25))/(LN(2)/25)*Calculateur!AQ192*Calculateur!AS192*VLOOKUP('Données projet'!$B$10,Paramètres!$A$1:$I$89,3,0)*0.475*44/12</f>
        <v>#VALUE!</v>
      </c>
      <c r="AW192" s="21" t="e">
        <f>EXP(-LN(2)/2)*AW191+(1-EXP(-LN(2)/2))/(LN(2)/2)*AQ192*AT192*VLOOKUP('Données projet'!$B$10,Paramètres!$A$1:$I$89,3,0)*0.475*44/12</f>
        <v>#VALUE!</v>
      </c>
      <c r="AX192" s="21" t="e">
        <f t="shared" si="166"/>
        <v>#VALUE!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8.5265128291212022E-14</v>
      </c>
      <c r="O193" s="13">
        <f>N193*VLOOKUP('Données projet'!$B$9,Paramètres!$A$1:$I$89,3,0)*VLOOKUP('Données projet'!$B$9,Paramètres!$A$1:$I$89,5,0)</f>
        <v>7.4487616075202836E-14</v>
      </c>
      <c r="P193" s="13">
        <f t="shared" si="141"/>
        <v>1.1580453144473142E-12</v>
      </c>
      <c r="Q193" s="20">
        <f t="shared" si="162"/>
        <v>2.1466615206600508E-12</v>
      </c>
      <c r="R193" s="59">
        <f t="shared" si="109"/>
        <v>290.03585244760444</v>
      </c>
      <c r="S193" s="59">
        <f ca="1">AVERAGE(OFFSET($R$3,0,0,'Données projet'!$E$9+1,1))-AVERAGE(OFFSET($H$3,0,0,'Données projet'!$E$9+1,1))</f>
        <v>328.99319251806747</v>
      </c>
      <c r="T193" s="59">
        <f t="shared" si="142"/>
        <v>270.36198290276695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2.0959084777437555E-2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1.0543957941347133E-23</v>
      </c>
      <c r="AC193" s="22">
        <f t="shared" si="163"/>
        <v>2.0959084777437555E-2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3.3992364478763198E-14</v>
      </c>
      <c r="AK193" s="13">
        <f t="shared" si="164"/>
        <v>5.790027782444094E-13</v>
      </c>
      <c r="AL193" s="20">
        <f t="shared" si="165"/>
        <v>1.0676332069095257E-12</v>
      </c>
      <c r="AM193" s="59">
        <f t="shared" si="113"/>
        <v>290.03585244760336</v>
      </c>
      <c r="AN193" s="59">
        <f ca="1">AVERAGE(OFFSET($AM$3,0,0,'Données projet'!$E$10+1,1))-AVERAGE(OFFSET($H$3,0,0,'Données projet'!$E$10+1,1))</f>
        <v>274.23303062063621</v>
      </c>
      <c r="AO193" s="59">
        <f t="shared" si="144"/>
        <v>289.08677371938779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#VALUE!</v>
      </c>
      <c r="AV193" s="21" t="e">
        <f>EXP(-LN(2)/25)*AV192+(1-EXP(-LN(2)/25))/(LN(2)/25)*Calculateur!AQ193*Calculateur!AS193*VLOOKUP('Données projet'!$B$10,Paramètres!$A$1:$I$89,3,0)*0.475*44/12</f>
        <v>#VALUE!</v>
      </c>
      <c r="AW193" s="21" t="e">
        <f>EXP(-LN(2)/2)*AW192+(1-EXP(-LN(2)/2))/(LN(2)/2)*AQ193*AT193*VLOOKUP('Données projet'!$B$10,Paramètres!$A$1:$I$89,3,0)*0.475*44/12</f>
        <v>#VALUE!</v>
      </c>
      <c r="AX193" s="21" t="e">
        <f t="shared" si="166"/>
        <v>#VALUE!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8.5265128291212022E-14</v>
      </c>
      <c r="O194" s="13">
        <f>N194*VLOOKUP('Données projet'!$B$9,Paramètres!$A$1:$I$89,3,0)*VLOOKUP('Données projet'!$B$9,Paramètres!$A$1:$I$89,5,0)</f>
        <v>7.4487616075202836E-14</v>
      </c>
      <c r="P194" s="13">
        <f t="shared" si="141"/>
        <v>1.1580453144473142E-12</v>
      </c>
      <c r="Q194" s="20">
        <f t="shared" si="162"/>
        <v>2.1466615206600508E-12</v>
      </c>
      <c r="R194" s="59">
        <f t="shared" si="109"/>
        <v>290.093056368909</v>
      </c>
      <c r="S194" s="59">
        <f ca="1">AVERAGE(OFFSET($R$3,0,0,'Données projet'!$E$9+1,1))-AVERAGE(OFFSET($H$3,0,0,'Données projet'!$E$9+1,1))</f>
        <v>328.99319251806747</v>
      </c>
      <c r="T194" s="59">
        <f t="shared" si="142"/>
        <v>270.36198290276695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2.0548089908731425E-2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7.455704160872307E-24</v>
      </c>
      <c r="AC194" s="22">
        <f t="shared" si="163"/>
        <v>2.0548089908731425E-2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3.3992364478763198E-14</v>
      </c>
      <c r="AK194" s="13">
        <f t="shared" si="164"/>
        <v>5.790027782444094E-13</v>
      </c>
      <c r="AL194" s="20">
        <f t="shared" si="165"/>
        <v>1.0676332069095257E-12</v>
      </c>
      <c r="AM194" s="59">
        <f t="shared" si="113"/>
        <v>290.09305636890792</v>
      </c>
      <c r="AN194" s="59">
        <f ca="1">AVERAGE(OFFSET($AM$3,0,0,'Données projet'!$E$10+1,1))-AVERAGE(OFFSET($H$3,0,0,'Données projet'!$E$10+1,1))</f>
        <v>274.23303062063621</v>
      </c>
      <c r="AO194" s="59">
        <f t="shared" si="144"/>
        <v>289.08677371938779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#VALUE!</v>
      </c>
      <c r="AV194" s="21" t="e">
        <f>EXP(-LN(2)/25)*AV193+(1-EXP(-LN(2)/25))/(LN(2)/25)*Calculateur!AQ194*Calculateur!AS194*VLOOKUP('Données projet'!$B$10,Paramètres!$A$1:$I$89,3,0)*0.475*44/12</f>
        <v>#VALUE!</v>
      </c>
      <c r="AW194" s="21" t="e">
        <f>EXP(-LN(2)/2)*AW193+(1-EXP(-LN(2)/2))/(LN(2)/2)*AQ194*AT194*VLOOKUP('Données projet'!$B$10,Paramètres!$A$1:$I$89,3,0)*0.475*44/12</f>
        <v>#VALUE!</v>
      </c>
      <c r="AX194" s="21" t="e">
        <f t="shared" si="166"/>
        <v>#VALUE!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8.5265128291212022E-14</v>
      </c>
      <c r="O195" s="13">
        <f>N195*VLOOKUP('Données projet'!$B$9,Paramètres!$A$1:$I$89,3,0)*VLOOKUP('Données projet'!$B$9,Paramètres!$A$1:$I$89,5,0)</f>
        <v>7.4487616075202836E-14</v>
      </c>
      <c r="P195" s="13">
        <f t="shared" si="141"/>
        <v>1.1580453144473142E-12</v>
      </c>
      <c r="Q195" s="20">
        <f t="shared" si="162"/>
        <v>2.1466615206600508E-12</v>
      </c>
      <c r="R195" s="59">
        <f t="shared" ref="R195:R203" si="191">Q195+(I195+J195)*44/12</f>
        <v>290.14926793006782</v>
      </c>
      <c r="S195" s="59">
        <f ca="1">AVERAGE(OFFSET($R$3,0,0,'Données projet'!$E$9+1,1))-AVERAGE(OFFSET($H$3,0,0,'Données projet'!$E$9+1,1))</f>
        <v>328.99319251806747</v>
      </c>
      <c r="T195" s="59">
        <f t="shared" si="142"/>
        <v>270.36198290276695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2.0145154398718505E-2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5.2719789706735664E-24</v>
      </c>
      <c r="AC195" s="22">
        <f t="shared" si="163"/>
        <v>2.0145154398718505E-2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3.3992364478763198E-14</v>
      </c>
      <c r="AK195" s="13">
        <f t="shared" si="164"/>
        <v>5.790027782444094E-13</v>
      </c>
      <c r="AL195" s="20">
        <f t="shared" si="165"/>
        <v>1.0676332069095257E-12</v>
      </c>
      <c r="AM195" s="59">
        <f t="shared" si="113"/>
        <v>290.14926793006674</v>
      </c>
      <c r="AN195" s="59">
        <f ca="1">AVERAGE(OFFSET($AM$3,0,0,'Données projet'!$E$10+1,1))-AVERAGE(OFFSET($H$3,0,0,'Données projet'!$E$10+1,1))</f>
        <v>274.23303062063621</v>
      </c>
      <c r="AO195" s="59">
        <f t="shared" si="144"/>
        <v>289.08677371938779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#VALUE!</v>
      </c>
      <c r="AV195" s="21" t="e">
        <f>EXP(-LN(2)/25)*AV194+(1-EXP(-LN(2)/25))/(LN(2)/25)*Calculateur!AQ195*Calculateur!AS195*VLOOKUP('Données projet'!$B$10,Paramètres!$A$1:$I$89,3,0)*0.475*44/12</f>
        <v>#VALUE!</v>
      </c>
      <c r="AW195" s="21" t="e">
        <f>EXP(-LN(2)/2)*AW194+(1-EXP(-LN(2)/2))/(LN(2)/2)*AQ195*AT195*VLOOKUP('Données projet'!$B$10,Paramètres!$A$1:$I$89,3,0)*0.475*44/12</f>
        <v>#VALUE!</v>
      </c>
      <c r="AX195" s="21" t="e">
        <f t="shared" si="166"/>
        <v>#VALUE!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8.5265128291212022E-14</v>
      </c>
      <c r="O196" s="13">
        <f>N196*VLOOKUP('Données projet'!$B$9,Paramètres!$A$1:$I$89,3,0)*VLOOKUP('Données projet'!$B$9,Paramètres!$A$1:$I$89,5,0)</f>
        <v>7.4487616075202836E-14</v>
      </c>
      <c r="P196" s="13">
        <f t="shared" si="141"/>
        <v>1.1580453144473142E-12</v>
      </c>
      <c r="Q196" s="20">
        <f t="shared" si="162"/>
        <v>2.1466615206600508E-12</v>
      </c>
      <c r="R196" s="59">
        <f t="shared" si="191"/>
        <v>290.20450434631067</v>
      </c>
      <c r="S196" s="59">
        <f ca="1">AVERAGE(OFFSET($R$3,0,0,'Données projet'!$E$9+1,1))-AVERAGE(OFFSET($H$3,0,0,'Données projet'!$E$9+1,1))</f>
        <v>328.99319251806747</v>
      </c>
      <c r="T196" s="59">
        <f t="shared" si="142"/>
        <v>270.36198290276695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1.9750120208290544E-2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3.7278520804361535E-24</v>
      </c>
      <c r="AC196" s="22">
        <f t="shared" si="163"/>
        <v>1.9750120208290544E-2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3.3992364478763198E-14</v>
      </c>
      <c r="AK196" s="13">
        <f t="shared" si="164"/>
        <v>5.790027782444094E-13</v>
      </c>
      <c r="AL196" s="20">
        <f t="shared" si="165"/>
        <v>1.0676332069095257E-12</v>
      </c>
      <c r="AM196" s="59">
        <f t="shared" ref="AM196:AM203" si="193">AL196+(AD196+AE196)*44/12</f>
        <v>290.20450434630959</v>
      </c>
      <c r="AN196" s="59">
        <f ca="1">AVERAGE(OFFSET($AM$3,0,0,'Données projet'!$E$10+1,1))-AVERAGE(OFFSET($H$3,0,0,'Données projet'!$E$10+1,1))</f>
        <v>274.23303062063621</v>
      </c>
      <c r="AO196" s="59">
        <f t="shared" si="144"/>
        <v>289.08677371938779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#VALUE!</v>
      </c>
      <c r="AV196" s="21" t="e">
        <f>EXP(-LN(2)/25)*AV195+(1-EXP(-LN(2)/25))/(LN(2)/25)*Calculateur!AQ196*Calculateur!AS196*VLOOKUP('Données projet'!$B$10,Paramètres!$A$1:$I$89,3,0)*0.475*44/12</f>
        <v>#VALUE!</v>
      </c>
      <c r="AW196" s="21" t="e">
        <f>EXP(-LN(2)/2)*AW195+(1-EXP(-LN(2)/2))/(LN(2)/2)*AQ196*AT196*VLOOKUP('Données projet'!$B$10,Paramètres!$A$1:$I$89,3,0)*0.475*44/12</f>
        <v>#VALUE!</v>
      </c>
      <c r="AX196" s="21" t="e">
        <f t="shared" si="166"/>
        <v>#VALUE!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8.5265128291212022E-14</v>
      </c>
      <c r="O197" s="13">
        <f>N197*VLOOKUP('Données projet'!$B$9,Paramètres!$A$1:$I$89,3,0)*VLOOKUP('Données projet'!$B$9,Paramètres!$A$1:$I$89,5,0)</f>
        <v>7.4487616075202836E-14</v>
      </c>
      <c r="P197" s="13">
        <f t="shared" ref="P197:P203" si="203">EXP(-1.0587+0.8836*LN(O197)+0.284)</f>
        <v>1.1580453144473142E-12</v>
      </c>
      <c r="Q197" s="20">
        <f t="shared" si="162"/>
        <v>2.1466615206600508E-12</v>
      </c>
      <c r="R197" s="59">
        <f t="shared" si="191"/>
        <v>290.25878253422189</v>
      </c>
      <c r="S197" s="59">
        <f ca="1">AVERAGE(OFFSET($R$3,0,0,'Données projet'!$E$9+1,1))-AVERAGE(OFFSET($H$3,0,0,'Données projet'!$E$9+1,1))</f>
        <v>328.99319251806747</v>
      </c>
      <c r="T197" s="59">
        <f t="shared" ref="T197:T203" si="204">$T$3</f>
        <v>270.36198290276695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1.9362832397389812E-2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2.6359894853367832E-24</v>
      </c>
      <c r="AC197" s="22">
        <f t="shared" si="163"/>
        <v>1.9362832397389812E-2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3.3992364478763198E-14</v>
      </c>
      <c r="AK197" s="13">
        <f t="shared" si="164"/>
        <v>5.790027782444094E-13</v>
      </c>
      <c r="AL197" s="20">
        <f t="shared" si="165"/>
        <v>1.0676332069095257E-12</v>
      </c>
      <c r="AM197" s="59">
        <f t="shared" si="193"/>
        <v>290.25878253422081</v>
      </c>
      <c r="AN197" s="59">
        <f ca="1">AVERAGE(OFFSET($AM$3,0,0,'Données projet'!$E$10+1,1))-AVERAGE(OFFSET($H$3,0,0,'Données projet'!$E$10+1,1))</f>
        <v>274.23303062063621</v>
      </c>
      <c r="AO197" s="59">
        <f t="shared" ref="AO197:AO203" si="205">$AO$3</f>
        <v>289.08677371938779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#VALUE!</v>
      </c>
      <c r="AV197" s="21" t="e">
        <f>EXP(-LN(2)/25)*AV196+(1-EXP(-LN(2)/25))/(LN(2)/25)*Calculateur!AQ197*Calculateur!AS197*VLOOKUP('Données projet'!$B$10,Paramètres!$A$1:$I$89,3,0)*0.475*44/12</f>
        <v>#VALUE!</v>
      </c>
      <c r="AW197" s="21" t="e">
        <f>EXP(-LN(2)/2)*AW196+(1-EXP(-LN(2)/2))/(LN(2)/2)*AQ197*AT197*VLOOKUP('Données projet'!$B$10,Paramètres!$A$1:$I$89,3,0)*0.475*44/12</f>
        <v>#VALUE!</v>
      </c>
      <c r="AX197" s="21" t="e">
        <f t="shared" si="166"/>
        <v>#VALUE!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8.5265128291212022E-14</v>
      </c>
      <c r="O198" s="13">
        <f>N198*VLOOKUP('Données projet'!$B$9,Paramètres!$A$1:$I$89,3,0)*VLOOKUP('Données projet'!$B$9,Paramètres!$A$1:$I$89,5,0)</f>
        <v>7.4487616075202836E-14</v>
      </c>
      <c r="P198" s="13">
        <f t="shared" si="203"/>
        <v>1.1580453144473142E-12</v>
      </c>
      <c r="Q198" s="20">
        <f t="shared" si="162"/>
        <v>2.1466615206600508E-12</v>
      </c>
      <c r="R198" s="59">
        <f t="shared" si="191"/>
        <v>290.31211911692066</v>
      </c>
      <c r="S198" s="59">
        <f ca="1">AVERAGE(OFFSET($R$3,0,0,'Données projet'!$E$9+1,1))-AVERAGE(OFFSET($H$3,0,0,'Données projet'!$E$9+1,1))</f>
        <v>328.99319251806747</v>
      </c>
      <c r="T198" s="59">
        <f t="shared" si="204"/>
        <v>270.36198290276695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1.8983139064238604E-2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1.8639260402180768E-24</v>
      </c>
      <c r="AC198" s="22">
        <f t="shared" si="163"/>
        <v>1.8983139064238604E-2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3.3992364478763198E-14</v>
      </c>
      <c r="AK198" s="13">
        <f t="shared" si="164"/>
        <v>5.790027782444094E-13</v>
      </c>
      <c r="AL198" s="20">
        <f t="shared" si="165"/>
        <v>1.0676332069095257E-12</v>
      </c>
      <c r="AM198" s="59">
        <f t="shared" si="193"/>
        <v>290.31211911691958</v>
      </c>
      <c r="AN198" s="59">
        <f ca="1">AVERAGE(OFFSET($AM$3,0,0,'Données projet'!$E$10+1,1))-AVERAGE(OFFSET($H$3,0,0,'Données projet'!$E$10+1,1))</f>
        <v>274.23303062063621</v>
      </c>
      <c r="AO198" s="59">
        <f t="shared" si="205"/>
        <v>289.08677371938779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#VALUE!</v>
      </c>
      <c r="AV198" s="21" t="e">
        <f>EXP(-LN(2)/25)*AV197+(1-EXP(-LN(2)/25))/(LN(2)/25)*Calculateur!AQ198*Calculateur!AS198*VLOOKUP('Données projet'!$B$10,Paramètres!$A$1:$I$89,3,0)*0.475*44/12</f>
        <v>#VALUE!</v>
      </c>
      <c r="AW198" s="21" t="e">
        <f>EXP(-LN(2)/2)*AW197+(1-EXP(-LN(2)/2))/(LN(2)/2)*AQ198*AT198*VLOOKUP('Données projet'!$B$10,Paramètres!$A$1:$I$89,3,0)*0.475*44/12</f>
        <v>#VALUE!</v>
      </c>
      <c r="AX198" s="21" t="e">
        <f t="shared" si="166"/>
        <v>#VALUE!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8.5265128291212022E-14</v>
      </c>
      <c r="O199" s="13">
        <f>N199*VLOOKUP('Données projet'!$B$9,Paramètres!$A$1:$I$89,3,0)*VLOOKUP('Données projet'!$B$9,Paramètres!$A$1:$I$89,5,0)</f>
        <v>7.4487616075202836E-14</v>
      </c>
      <c r="P199" s="13">
        <f t="shared" si="203"/>
        <v>1.1580453144473142E-12</v>
      </c>
      <c r="Q199" s="20">
        <f t="shared" si="162"/>
        <v>2.1466615206600508E-12</v>
      </c>
      <c r="R199" s="59">
        <f t="shared" si="191"/>
        <v>290.36453042915235</v>
      </c>
      <c r="S199" s="59">
        <f ca="1">AVERAGE(OFFSET($R$3,0,0,'Données projet'!$E$9+1,1))-AVERAGE(OFFSET($H$3,0,0,'Données projet'!$E$9+1,1))</f>
        <v>328.99319251806747</v>
      </c>
      <c r="T199" s="59">
        <f t="shared" si="204"/>
        <v>270.36198290276695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1.8610891285760423E-2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1.3179947426683916E-24</v>
      </c>
      <c r="AC199" s="22">
        <f t="shared" si="163"/>
        <v>1.8610891285760423E-2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3.3992364478763198E-14</v>
      </c>
      <c r="AK199" s="13">
        <f t="shared" si="164"/>
        <v>5.790027782444094E-13</v>
      </c>
      <c r="AL199" s="20">
        <f t="shared" si="165"/>
        <v>1.0676332069095257E-12</v>
      </c>
      <c r="AM199" s="59">
        <f t="shared" si="193"/>
        <v>290.36453042915127</v>
      </c>
      <c r="AN199" s="59">
        <f ca="1">AVERAGE(OFFSET($AM$3,0,0,'Données projet'!$E$10+1,1))-AVERAGE(OFFSET($H$3,0,0,'Données projet'!$E$10+1,1))</f>
        <v>274.23303062063621</v>
      </c>
      <c r="AO199" s="59">
        <f t="shared" si="205"/>
        <v>289.08677371938779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#VALUE!</v>
      </c>
      <c r="AV199" s="21" t="e">
        <f>EXP(-LN(2)/25)*AV198+(1-EXP(-LN(2)/25))/(LN(2)/25)*Calculateur!AQ199*Calculateur!AS199*VLOOKUP('Données projet'!$B$10,Paramètres!$A$1:$I$89,3,0)*0.475*44/12</f>
        <v>#VALUE!</v>
      </c>
      <c r="AW199" s="21" t="e">
        <f>EXP(-LN(2)/2)*AW198+(1-EXP(-LN(2)/2))/(LN(2)/2)*AQ199*AT199*VLOOKUP('Données projet'!$B$10,Paramètres!$A$1:$I$89,3,0)*0.475*44/12</f>
        <v>#VALUE!</v>
      </c>
      <c r="AX199" s="21" t="e">
        <f t="shared" si="166"/>
        <v>#VALUE!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8.5265128291212022E-14</v>
      </c>
      <c r="O200" s="13">
        <f>N200*VLOOKUP('Données projet'!$B$9,Paramètres!$A$1:$I$89,3,0)*VLOOKUP('Données projet'!$B$9,Paramètres!$A$1:$I$89,5,0)</f>
        <v>7.4487616075202836E-14</v>
      </c>
      <c r="P200" s="13">
        <f t="shared" si="203"/>
        <v>1.1580453144473142E-12</v>
      </c>
      <c r="Q200" s="20">
        <f t="shared" si="162"/>
        <v>2.1466615206600508E-12</v>
      </c>
      <c r="R200" s="59">
        <f t="shared" si="191"/>
        <v>290.41603252229095</v>
      </c>
      <c r="S200" s="59">
        <f ca="1">AVERAGE(OFFSET($R$3,0,0,'Données projet'!$E$9+1,1))-AVERAGE(OFFSET($H$3,0,0,'Données projet'!$E$9+1,1))</f>
        <v>328.99319251806747</v>
      </c>
      <c r="T200" s="59">
        <f t="shared" si="204"/>
        <v>270.36198290276695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1.8245943059169475E-2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9.3196302010903838E-25</v>
      </c>
      <c r="AC200" s="22">
        <f t="shared" si="163"/>
        <v>1.8245943059169475E-2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3.3992364478763198E-14</v>
      </c>
      <c r="AK200" s="13">
        <f t="shared" si="164"/>
        <v>5.790027782444094E-13</v>
      </c>
      <c r="AL200" s="20">
        <f t="shared" si="165"/>
        <v>1.0676332069095257E-12</v>
      </c>
      <c r="AM200" s="59">
        <f t="shared" si="193"/>
        <v>290.41603252228987</v>
      </c>
      <c r="AN200" s="59">
        <f ca="1">AVERAGE(OFFSET($AM$3,0,0,'Données projet'!$E$10+1,1))-AVERAGE(OFFSET($H$3,0,0,'Données projet'!$E$10+1,1))</f>
        <v>274.23303062063621</v>
      </c>
      <c r="AO200" s="59">
        <f t="shared" si="205"/>
        <v>289.08677371938779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#VALUE!</v>
      </c>
      <c r="AV200" s="21" t="e">
        <f>EXP(-LN(2)/25)*AV199+(1-EXP(-LN(2)/25))/(LN(2)/25)*Calculateur!AQ200*Calculateur!AS200*VLOOKUP('Données projet'!$B$10,Paramètres!$A$1:$I$89,3,0)*0.475*44/12</f>
        <v>#VALUE!</v>
      </c>
      <c r="AW200" s="21" t="e">
        <f>EXP(-LN(2)/2)*AW199+(1-EXP(-LN(2)/2))/(LN(2)/2)*AQ200*AT200*VLOOKUP('Données projet'!$B$10,Paramètres!$A$1:$I$89,3,0)*0.475*44/12</f>
        <v>#VALUE!</v>
      </c>
      <c r="AX200" s="21" t="e">
        <f t="shared" si="166"/>
        <v>#VALUE!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8.5265128291212022E-14</v>
      </c>
      <c r="O201" s="13">
        <f>N201*VLOOKUP('Données projet'!$B$9,Paramètres!$A$1:$I$89,3,0)*VLOOKUP('Données projet'!$B$9,Paramètres!$A$1:$I$89,5,0)</f>
        <v>7.4487616075202836E-14</v>
      </c>
      <c r="P201" s="13">
        <f t="shared" si="203"/>
        <v>1.1580453144473142E-12</v>
      </c>
      <c r="Q201" s="20">
        <f t="shared" si="162"/>
        <v>2.1466615206600508E-12</v>
      </c>
      <c r="R201" s="59">
        <f t="shared" si="191"/>
        <v>290.46664116925507</v>
      </c>
      <c r="S201" s="59">
        <f ca="1">AVERAGE(OFFSET($R$3,0,0,'Données projet'!$E$9+1,1))-AVERAGE(OFFSET($H$3,0,0,'Données projet'!$E$9+1,1))</f>
        <v>328.99319251806747</v>
      </c>
      <c r="T201" s="59">
        <f t="shared" si="204"/>
        <v>270.36198290276695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1.7888151244705539E-2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6.589973713341958E-25</v>
      </c>
      <c r="AC201" s="22">
        <f t="shared" si="163"/>
        <v>1.7888151244705539E-2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3.3992364478763198E-14</v>
      </c>
      <c r="AK201" s="13">
        <f t="shared" si="164"/>
        <v>5.790027782444094E-13</v>
      </c>
      <c r="AL201" s="20">
        <f t="shared" si="165"/>
        <v>1.0676332069095257E-12</v>
      </c>
      <c r="AM201" s="59">
        <f t="shared" si="193"/>
        <v>290.46664116925399</v>
      </c>
      <c r="AN201" s="59">
        <f ca="1">AVERAGE(OFFSET($AM$3,0,0,'Données projet'!$E$10+1,1))-AVERAGE(OFFSET($H$3,0,0,'Données projet'!$E$10+1,1))</f>
        <v>274.23303062063621</v>
      </c>
      <c r="AO201" s="59">
        <f t="shared" si="205"/>
        <v>289.08677371938779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#VALUE!</v>
      </c>
      <c r="AV201" s="21" t="e">
        <f>EXP(-LN(2)/25)*AV200+(1-EXP(-LN(2)/25))/(LN(2)/25)*Calculateur!AQ201*Calculateur!AS201*VLOOKUP('Données projet'!$B$10,Paramètres!$A$1:$I$89,3,0)*0.475*44/12</f>
        <v>#VALUE!</v>
      </c>
      <c r="AW201" s="21" t="e">
        <f>EXP(-LN(2)/2)*AW200+(1-EXP(-LN(2)/2))/(LN(2)/2)*AQ201*AT201*VLOOKUP('Données projet'!$B$10,Paramètres!$A$1:$I$89,3,0)*0.475*44/12</f>
        <v>#VALUE!</v>
      </c>
      <c r="AX201" s="21" t="e">
        <f t="shared" si="166"/>
        <v>#VALUE!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8.5265128291212022E-14</v>
      </c>
      <c r="O202" s="13">
        <f>N202*VLOOKUP('Données projet'!$B$9,Paramètres!$A$1:$I$89,3,0)*VLOOKUP('Données projet'!$B$9,Paramètres!$A$1:$I$89,5,0)</f>
        <v>7.4487616075202836E-14</v>
      </c>
      <c r="P202" s="13">
        <f t="shared" si="203"/>
        <v>1.1580453144473142E-12</v>
      </c>
      <c r="Q202" s="20">
        <f t="shared" si="162"/>
        <v>2.1466615206600508E-12</v>
      </c>
      <c r="R202" s="59">
        <f t="shared" si="191"/>
        <v>290.51637186933829</v>
      </c>
      <c r="S202" s="59">
        <f ca="1">AVERAGE(OFFSET($R$3,0,0,'Données projet'!$E$9+1,1))-AVERAGE(OFFSET($H$3,0,0,'Données projet'!$E$9+1,1))</f>
        <v>328.99319251806747</v>
      </c>
      <c r="T202" s="59">
        <f t="shared" si="204"/>
        <v>270.36198290276695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1.753737550949178E-2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4.6598151005451919E-25</v>
      </c>
      <c r="AC202" s="22">
        <f t="shared" si="163"/>
        <v>1.753737550949178E-2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3.3992364478763198E-14</v>
      </c>
      <c r="AK202" s="13">
        <f t="shared" si="164"/>
        <v>5.790027782444094E-13</v>
      </c>
      <c r="AL202" s="20">
        <f t="shared" si="165"/>
        <v>1.0676332069095257E-12</v>
      </c>
      <c r="AM202" s="59">
        <f t="shared" si="193"/>
        <v>290.51637186933721</v>
      </c>
      <c r="AN202" s="59">
        <f ca="1">AVERAGE(OFFSET($AM$3,0,0,'Données projet'!$E$10+1,1))-AVERAGE(OFFSET($H$3,0,0,'Données projet'!$E$10+1,1))</f>
        <v>274.23303062063621</v>
      </c>
      <c r="AO202" s="59">
        <f t="shared" si="205"/>
        <v>289.08677371938779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#VALUE!</v>
      </c>
      <c r="AV202" s="21" t="e">
        <f>EXP(-LN(2)/25)*AV201+(1-EXP(-LN(2)/25))/(LN(2)/25)*Calculateur!AQ202*Calculateur!AS202*VLOOKUP('Données projet'!$B$10,Paramètres!$A$1:$I$89,3,0)*0.475*44/12</f>
        <v>#VALUE!</v>
      </c>
      <c r="AW202" s="21" t="e">
        <f>EXP(-LN(2)/2)*AW201+(1-EXP(-LN(2)/2))/(LN(2)/2)*AQ202*AT202*VLOOKUP('Données projet'!$B$10,Paramètres!$A$1:$I$89,3,0)*0.475*44/12</f>
        <v>#VALUE!</v>
      </c>
      <c r="AX202" s="21" t="e">
        <f t="shared" si="166"/>
        <v>#VALUE!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8.5265128291212022E-14</v>
      </c>
      <c r="O203" s="13">
        <f>N203*VLOOKUP('Données projet'!$B$9,Paramètres!$A$1:$I$89,3,0)*VLOOKUP('Données projet'!$B$9,Paramètres!$A$1:$I$89,5,0)</f>
        <v>7.4487616075202836E-14</v>
      </c>
      <c r="P203" s="13">
        <f t="shared" si="203"/>
        <v>1.1580453144473142E-12</v>
      </c>
      <c r="Q203" s="20">
        <f t="shared" si="162"/>
        <v>2.1466615206600508E-12</v>
      </c>
      <c r="R203" s="59">
        <f t="shared" si="191"/>
        <v>290.56523985295627</v>
      </c>
      <c r="S203" s="59">
        <f ca="1">AVERAGE(OFFSET($R$3,0,0,'Données projet'!$E$9+1,1))-AVERAGE(OFFSET($H$3,0,0,'Données projet'!$E$9+1,1))</f>
        <v>328.99319251806747</v>
      </c>
      <c r="T203" s="59">
        <f t="shared" si="204"/>
        <v>270.36198290276695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1.7193478272493491E-2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3.294986856670979E-25</v>
      </c>
      <c r="AC203" s="22">
        <f t="shared" si="163"/>
        <v>1.7193478272493491E-2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3.3992364478763198E-14</v>
      </c>
      <c r="AK203" s="13">
        <f t="shared" si="164"/>
        <v>5.790027782444094E-13</v>
      </c>
      <c r="AL203" s="20">
        <f t="shared" si="165"/>
        <v>1.0676332069095257E-12</v>
      </c>
      <c r="AM203" s="59">
        <f t="shared" si="193"/>
        <v>290.56523985295519</v>
      </c>
      <c r="AN203" s="59">
        <f ca="1">AVERAGE(OFFSET($AM$3,0,0,'Données projet'!$E$10+1,1))-AVERAGE(OFFSET($H$3,0,0,'Données projet'!$E$10+1,1))</f>
        <v>274.23303062063621</v>
      </c>
      <c r="AO203" s="59">
        <f t="shared" si="205"/>
        <v>289.08677371938779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#VALUE!</v>
      </c>
      <c r="AV203" s="21" t="e">
        <f>EXP(-LN(2)/25)*AV202+(1-EXP(-LN(2)/25))/(LN(2)/25)*Calculateur!AQ203*Calculateur!AS203*VLOOKUP('Données projet'!$B$10,Paramètres!$A$1:$I$89,3,0)*0.475*44/12</f>
        <v>#VALUE!</v>
      </c>
      <c r="AW203" s="21" t="e">
        <f>EXP(-LN(2)/2)*AW202+(1-EXP(-LN(2)/2))/(LN(2)/2)*AQ203*AT203*VLOOKUP('Données projet'!$B$10,Paramètres!$A$1:$I$89,3,0)*0.475*44/12</f>
        <v>#VALUE!</v>
      </c>
      <c r="AX203" s="21" t="e">
        <f t="shared" si="166"/>
        <v>#VALUE!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1.3682730833261529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1.3292661998652846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94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5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94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6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6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5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94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5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11" sqref="N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85" t="s">
        <v>271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rouge d'Amérique</v>
      </c>
      <c r="B6" s="146">
        <f>'Données projet'!D9</f>
        <v>1.1800000000000002</v>
      </c>
      <c r="C6" s="147">
        <f ca="1">IF(OR('Données projet'!B9="",'Données projet'!C9="",'Données projet'!C9=0%),0,Calculateur!S3)</f>
        <v>328.99319251806747</v>
      </c>
      <c r="D6" s="147">
        <f>IF(OR('Données projet'!B9="",'Données projet'!C9="",'Données projet'!C9=0%),0,Calculateur!T3)</f>
        <v>270.36198290276695</v>
      </c>
      <c r="E6" s="147">
        <f ca="1">MIN(C6,D6)</f>
        <v>270.36198290276695</v>
      </c>
      <c r="F6" s="147">
        <f ca="1">E6*B6</f>
        <v>319.02713982526507</v>
      </c>
      <c r="G6" s="147">
        <f ca="1">F6*(100%-'Données projet'!$C$24)*(100%-'Données projet'!$C$25)*(100%-'Données projet'!$C$26)*(100%-'Données projet'!$C$27)</f>
        <v>287.12442584273856</v>
      </c>
      <c r="H6" s="148">
        <f>IF(OR('Données projet'!B9="",'Données projet'!C9="",'Données projet'!C9=0%),0,AVERAGE(Calculateur!$AC$3:$AC$33)*B6)</f>
        <v>5.1249225334388671</v>
      </c>
      <c r="I6" s="149">
        <f>H6*(100%-'Données projet'!$C$24)*(100%-'Données projet'!$C$25)*(100%-'Données projet'!$C$26)*(100%-'Données projet'!$C$27)</f>
        <v>4.6124302800949808</v>
      </c>
      <c r="J6" s="150">
        <f>IF(OR('Données projet'!B9="",'Données projet'!C9="",'Données projet'!C9=0%),0,SUM(Calculateur!$V$3:$V$33)*VLOOKUP('Données projet'!$B$9,Paramètres!$A$1:$I$89,9,0)*B6)</f>
        <v>25.960000000000004</v>
      </c>
      <c r="K6" s="151">
        <f>J6*(100%-'Données projet'!$C$24)*(100%-'Données projet'!$C$25)*(100%-'Données projet'!$C$26)*(100%-'Données projet'!$C$27)</f>
        <v>23.364000000000004</v>
      </c>
      <c r="L6" s="152">
        <f ca="1">G6+I6+K6</f>
        <v>315.10085612283353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maritime</v>
      </c>
      <c r="B7" s="154">
        <f>'Données projet'!D10</f>
        <v>4.7200000000000006</v>
      </c>
      <c r="C7" s="147">
        <f ca="1">IF(OR('Données projet'!B10="",'Données projet'!C10="",'Données projet'!C10=0%),0,Calculateur!AN3)</f>
        <v>274.23303062063621</v>
      </c>
      <c r="D7" s="147">
        <f>IF(OR('Données projet'!B10="",'Données projet'!C10="",'Données projet'!C10=0%),0,Calculateur!AO3)</f>
        <v>289.08677371938779</v>
      </c>
      <c r="E7" s="147">
        <f t="shared" ref="E7:E15" ca="1" si="0">MIN(C7,D7)</f>
        <v>274.23303062063621</v>
      </c>
      <c r="F7" s="147">
        <f t="shared" ref="F7:F15" ca="1" si="1">E7*B7</f>
        <v>1294.3799045294031</v>
      </c>
      <c r="G7" s="147">
        <f ca="1">F7*(100%-'Données projet'!$C$24)*(100%-'Données projet'!$C$25)*(100%-'Données projet'!$C$26)*(100%-'Données projet'!$C$27)</f>
        <v>1164.9419140764628</v>
      </c>
      <c r="H7" s="155">
        <f>IF(OR('Données projet'!B10="",'Données projet'!C10="",'Données projet'!C10=0%),0,AVERAGE(Calculateur!$AX$3:$AX$33)*B7)</f>
        <v>39.950291444342625</v>
      </c>
      <c r="I7" s="149">
        <f>H7*(100%-'Données projet'!$C$24)*(100%-'Données projet'!$C$25)*(100%-'Données projet'!$C$26)*(100%-'Données projet'!$C$27)</f>
        <v>35.955262299908362</v>
      </c>
      <c r="J7" s="150">
        <f>IF(OR('Données projet'!B10="",'Données projet'!C10="",'Données projet'!C10=0%),0,SUM(Calculateur!$AQ$3:$AQ$33)*VLOOKUP('Données projet'!$B$10,Paramètres!$A$1:$I$89,9,0)*B7)</f>
        <v>400.17575999999997</v>
      </c>
      <c r="K7" s="151">
        <f>J7*(100%-'Données projet'!$C$24)*(100%-'Données projet'!$C$25)*(100%-'Données projet'!$C$26)*(100%-'Données projet'!$C$27)</f>
        <v>360.15818400000001</v>
      </c>
      <c r="L7" s="152">
        <f t="shared" ref="L7:L15" ca="1" si="2">G7+I7+K7</f>
        <v>1561.055360376371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1613.4070443546682</v>
      </c>
      <c r="G16" s="166">
        <f t="shared" ca="1" si="3"/>
        <v>1452.0663399192013</v>
      </c>
      <c r="H16" s="167">
        <f t="shared" si="3"/>
        <v>45.075213977781495</v>
      </c>
      <c r="I16" s="167">
        <f t="shared" si="3"/>
        <v>40.567692580003346</v>
      </c>
      <c r="J16" s="168">
        <f t="shared" si="3"/>
        <v>426.13575999999995</v>
      </c>
      <c r="K16" s="168">
        <f t="shared" si="3"/>
        <v>383.52218400000004</v>
      </c>
      <c r="L16" s="169">
        <f t="shared" ca="1" si="3"/>
        <v>1876.1562164992047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97" t="s">
        <v>246</v>
      </c>
      <c r="G17" s="298"/>
      <c r="H17" s="298"/>
      <c r="I17" s="298"/>
      <c r="J17" s="298"/>
      <c r="K17" s="298"/>
      <c r="L17" s="298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84"/>
      <c r="G18" s="284"/>
      <c r="H18" s="284"/>
      <c r="I18" s="284"/>
      <c r="J18" s="284"/>
      <c r="K18" s="284"/>
      <c r="L18" s="284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80" zoomScaleNormal="8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85" t="s">
        <v>272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75" t="s">
        <v>315</v>
      </c>
      <c r="I4" s="275"/>
      <c r="K4" s="299" t="s">
        <v>253</v>
      </c>
      <c r="L4" s="300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9" t="s">
        <v>310</v>
      </c>
      <c r="S7" s="310"/>
      <c r="T7" s="310"/>
      <c r="U7" s="310"/>
      <c r="V7" s="31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-532.29765541546533</v>
      </c>
      <c r="U10" s="178">
        <f>'Données projet'!D9</f>
        <v>1.1800000000000002</v>
      </c>
      <c r="V10" s="177">
        <f>U10*T10</f>
        <v>-628.11123339024914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-3660.1360499365942</v>
      </c>
      <c r="U11" s="178">
        <f>'Données projet'!D10</f>
        <v>4.7200000000000006</v>
      </c>
      <c r="V11" s="177">
        <f t="shared" ref="V11" si="0">U11*T11</f>
        <v>-17275.842155700728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2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2"/>
      <c r="H16" s="190"/>
      <c r="I16" s="191"/>
      <c r="J16" s="202"/>
      <c r="K16" s="208"/>
      <c r="L16" s="299" t="s">
        <v>254</v>
      </c>
      <c r="M16" s="300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0.2*11361.3/5.9</f>
        <v>385.128813559322</v>
      </c>
      <c r="F17" s="230"/>
      <c r="G17" s="302"/>
      <c r="J17" s="202"/>
      <c r="K17" s="208"/>
      <c r="L17" s="272" t="s">
        <v>289</v>
      </c>
      <c r="M17" s="274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0.2*(5119+4280.8)/5.9</f>
        <v>318.63728813559322</v>
      </c>
      <c r="F18" s="230"/>
      <c r="G18" s="302"/>
      <c r="J18" s="202"/>
      <c r="K18" s="208"/>
      <c r="L18" s="272" t="s">
        <v>255</v>
      </c>
      <c r="M18" s="274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>
        <f>5728*0.2/5.9</f>
        <v>194.16949152542375</v>
      </c>
      <c r="F19" s="230"/>
      <c r="G19" s="302"/>
      <c r="H19" s="212" t="s">
        <v>178</v>
      </c>
      <c r="I19" s="212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>
        <f>6133*0.2/5.9</f>
        <v>207.89830508474577</v>
      </c>
      <c r="F20" s="230"/>
      <c r="G20" s="302"/>
      <c r="H20" s="190">
        <v>1</v>
      </c>
      <c r="I20" s="191">
        <f>(6086.4+25290+200+3000)/5.9</f>
        <v>5860.406779661017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>
        <f>6133*0.2/5.9</f>
        <v>207.89830508474577</v>
      </c>
      <c r="F21" s="230"/>
      <c r="H21" s="190">
        <v>2</v>
      </c>
      <c r="I21" s="191">
        <f>200/5.9</f>
        <v>33.898305084745758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>
        <f>4663*0.2/5.9</f>
        <v>158.06779661016949</v>
      </c>
      <c r="F22" s="230"/>
      <c r="H22" s="190">
        <v>3</v>
      </c>
      <c r="I22" s="191">
        <f t="shared" ref="I22:I23" si="2">200/5.9</f>
        <v>33.898305084745758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4</v>
      </c>
      <c r="I23" s="191">
        <f t="shared" si="2"/>
        <v>33.898305084745758</v>
      </c>
      <c r="K23" s="208"/>
      <c r="L23" s="301" t="s">
        <v>260</v>
      </c>
      <c r="M23" s="301"/>
      <c r="N23" s="301"/>
      <c r="O23" s="23"/>
      <c r="P23" s="23"/>
      <c r="Q23" s="234"/>
      <c r="R23" s="23"/>
      <c r="S23" s="36" t="s">
        <v>264</v>
      </c>
      <c r="T23" s="31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-52480.476339501431</v>
      </c>
      <c r="U23" s="314"/>
      <c r="V23" s="31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15</v>
      </c>
      <c r="B24" s="181">
        <f>'Données projet'!D37</f>
        <v>0</v>
      </c>
      <c r="C24" s="193"/>
      <c r="D24" s="182">
        <f t="shared" ref="D24:D42" si="3">B24*C24</f>
        <v>0</v>
      </c>
      <c r="E24" s="193"/>
      <c r="F24" s="233"/>
      <c r="H24" s="190">
        <v>5</v>
      </c>
      <c r="I24" s="191">
        <f>1200/5.9</f>
        <v>203.38983050847457</v>
      </c>
      <c r="K24" s="208"/>
      <c r="O24" s="23"/>
      <c r="P24" s="23"/>
      <c r="Q24" s="234"/>
      <c r="R24" s="23"/>
      <c r="S24" s="36" t="s">
        <v>261</v>
      </c>
      <c r="T24" s="315">
        <f ca="1">'Scénario référence'!$B$8*$M$30*'Données projet'!$C$5+('Scénario référence'!B9+'Scénario référence'!B10+'Scénario référence'!F8+'Scénario référence'!F9)*$N$19/(1+M4)^N16*'Données projet'!$C$5</f>
        <v>12717.920557131787</v>
      </c>
      <c r="U24" s="315"/>
      <c r="V24" s="31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41</v>
      </c>
      <c r="C25" s="193">
        <v>5</v>
      </c>
      <c r="D25" s="182">
        <f t="shared" si="3"/>
        <v>205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99.62</v>
      </c>
      <c r="Q25" s="234"/>
      <c r="R25" s="23"/>
      <c r="S25" s="186" t="s">
        <v>266</v>
      </c>
      <c r="T25" s="316">
        <f ca="1">T23-T24</f>
        <v>-65198.396896633218</v>
      </c>
      <c r="U25" s="316"/>
      <c r="V25" s="31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25</v>
      </c>
      <c r="B26" s="181">
        <f>'Données projet'!D39</f>
        <v>23</v>
      </c>
      <c r="C26" s="193">
        <v>6.2</v>
      </c>
      <c r="D26" s="182">
        <f t="shared" si="3"/>
        <v>142.6</v>
      </c>
      <c r="E26" s="193"/>
      <c r="F26" s="233"/>
      <c r="G26" s="229"/>
      <c r="H26" s="190"/>
      <c r="I26" s="191"/>
      <c r="K26" s="208"/>
      <c r="L26" s="303" t="s">
        <v>258</v>
      </c>
      <c r="M26" s="304"/>
      <c r="N26" s="304"/>
      <c r="O26" s="304"/>
      <c r="P26" s="305"/>
      <c r="Q26" s="234"/>
      <c r="R26" s="23"/>
      <c r="S26" s="186" t="s">
        <v>265</v>
      </c>
      <c r="T26" s="313" t="str">
        <f ca="1">IF(T25&lt;0,"Votre projet est additionnel","Votre projet n'est pas additionnel")</f>
        <v>Votre projet est additionnel</v>
      </c>
      <c r="U26" s="313"/>
      <c r="V26" s="31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30</v>
      </c>
      <c r="B27" s="181">
        <f>'Données projet'!D40</f>
        <v>24</v>
      </c>
      <c r="C27" s="193">
        <v>8</v>
      </c>
      <c r="D27" s="182">
        <f t="shared" si="3"/>
        <v>192</v>
      </c>
      <c r="E27" s="193"/>
      <c r="F27" s="233"/>
      <c r="G27" s="229"/>
      <c r="H27" s="190"/>
      <c r="I27" s="191"/>
      <c r="K27" s="208"/>
      <c r="L27" s="306"/>
      <c r="M27" s="307"/>
      <c r="N27" s="307"/>
      <c r="O27" s="307"/>
      <c r="P27" s="308"/>
      <c r="Q27" s="234"/>
      <c r="R27" s="23"/>
      <c r="S27" s="312" t="s">
        <v>267</v>
      </c>
      <c r="T27" s="312"/>
      <c r="U27" s="312"/>
      <c r="V27" s="31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35</v>
      </c>
      <c r="B28" s="181">
        <f>'Données projet'!D41</f>
        <v>24</v>
      </c>
      <c r="C28" s="193">
        <v>15</v>
      </c>
      <c r="D28" s="182">
        <f t="shared" si="3"/>
        <v>360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23</v>
      </c>
      <c r="C29" s="193">
        <v>15</v>
      </c>
      <c r="D29" s="182">
        <f t="shared" si="3"/>
        <v>345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45</v>
      </c>
      <c r="B30" s="181">
        <f>'Données projet'!D43</f>
        <v>22</v>
      </c>
      <c r="C30" s="193">
        <v>30</v>
      </c>
      <c r="D30" s="182">
        <f t="shared" si="3"/>
        <v>660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2155.5797554460655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50</v>
      </c>
      <c r="B31" s="181">
        <f>'Données projet'!D44</f>
        <v>21</v>
      </c>
      <c r="C31" s="193">
        <v>40</v>
      </c>
      <c r="D31" s="182">
        <f t="shared" si="3"/>
        <v>840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55</v>
      </c>
      <c r="B32" s="181">
        <f>'Données projet'!D45</f>
        <v>20</v>
      </c>
      <c r="C32" s="193">
        <v>50</v>
      </c>
      <c r="D32" s="182">
        <f t="shared" si="3"/>
        <v>1000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60</v>
      </c>
      <c r="B33" s="181">
        <f>'Données projet'!D46</f>
        <v>18</v>
      </c>
      <c r="C33" s="193">
        <v>60</v>
      </c>
      <c r="D33" s="182">
        <f t="shared" si="3"/>
        <v>1080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99.62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65</v>
      </c>
      <c r="B34" s="181">
        <f>'Données projet'!D47</f>
        <v>17</v>
      </c>
      <c r="C34" s="193">
        <v>70</v>
      </c>
      <c r="D34" s="182">
        <f t="shared" si="3"/>
        <v>1190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95.330143540669866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70</v>
      </c>
      <c r="B35" s="181">
        <f>'Données projet'!D48</f>
        <v>16</v>
      </c>
      <c r="C35" s="193">
        <v>110</v>
      </c>
      <c r="D35" s="182">
        <f t="shared" si="3"/>
        <v>1760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91.225017742267823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75</v>
      </c>
      <c r="B36" s="181">
        <f>'Données projet'!D49</f>
        <v>14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87.296667695950077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80</v>
      </c>
      <c r="B37" s="181">
        <f>'Données projet'!D50</f>
        <v>13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83.537481048756078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85</v>
      </c>
      <c r="B38" s="181">
        <f>'Données projet'!D51</f>
        <v>12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79.940173252398154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90</v>
      </c>
      <c r="B39" s="181">
        <f>'Données projet'!D52</f>
        <v>11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76.497773447270987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95</v>
      </c>
      <c r="B40" s="181">
        <f>'Données projet'!D53</f>
        <v>11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73.203610954326294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100</v>
      </c>
      <c r="B41" s="181">
        <f>'Données projet'!D54</f>
        <v>228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70.05130234863762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67.034739089605381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64.148075683832914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61.385718357734845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58.742314217928097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56.212740878400091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53.792096534354165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0.8*11361.3/5.9</f>
        <v>1540.515254237288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51.475690463496804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>
        <f>0.8*(4280.8+5119)/5.9</f>
        <v>1274.5491525423729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49.259033936360595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>
        <f>0.8*5728/5.9</f>
        <v>776.67796610169501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47.137831518048415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>
        <f>0.8*6133/5.9</f>
        <v>831.59322033898309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45.10797274454395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>
        <f>0.8*6133/5.9</f>
        <v>831.59322033898309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43.165524157458329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>
        <f>0.8*4663/5.9</f>
        <v>632.27118644067798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41.306721681778313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17</v>
      </c>
      <c r="B54" s="181">
        <f>'Données projet'!D62</f>
        <v>42</v>
      </c>
      <c r="C54" s="191">
        <v>5</v>
      </c>
      <c r="D54" s="179">
        <f>B54*C54</f>
        <v>210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39.527963331845271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23</v>
      </c>
      <c r="B55" s="181">
        <f>'Données projet'!D63</f>
        <v>54.099999999999994</v>
      </c>
      <c r="C55" s="191">
        <v>10</v>
      </c>
      <c r="D55" s="179">
        <f t="shared" ref="D55:D73" si="5">B55*C55</f>
        <v>541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37.825802231430899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25</v>
      </c>
      <c r="B56" s="181">
        <f>'Données projet'!D64</f>
        <v>0</v>
      </c>
      <c r="C56" s="191">
        <v>0</v>
      </c>
      <c r="D56" s="179">
        <f t="shared" si="5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36.196939934383629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29</v>
      </c>
      <c r="B57" s="181">
        <f>'Données projet'!D65</f>
        <v>47.6</v>
      </c>
      <c r="C57" s="191">
        <v>15</v>
      </c>
      <c r="D57" s="179">
        <f t="shared" si="5"/>
        <v>714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34.638220032903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34</v>
      </c>
      <c r="B58" s="181">
        <f>'Données projet'!D66</f>
        <v>0</v>
      </c>
      <c r="C58" s="191">
        <v>25</v>
      </c>
      <c r="D58" s="179">
        <f t="shared" si="5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33.146622041055508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36</v>
      </c>
      <c r="B59" s="181">
        <f>'Données projet'!D67</f>
        <v>65.599999999999994</v>
      </c>
      <c r="C59" s="191">
        <v>45</v>
      </c>
      <c r="D59" s="179">
        <f t="shared" si="5"/>
        <v>2951.9999999999995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31.719255541679921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44</v>
      </c>
      <c r="B60" s="181">
        <f>'Données projet'!D68</f>
        <v>64.5</v>
      </c>
      <c r="C60" s="191">
        <v>50</v>
      </c>
      <c r="D60" s="179">
        <f t="shared" si="5"/>
        <v>3225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30.353354585339634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52</v>
      </c>
      <c r="B61" s="181">
        <f>'Données projet'!D69</f>
        <v>61.8</v>
      </c>
      <c r="C61" s="191">
        <v>60</v>
      </c>
      <c r="D61" s="179">
        <f t="shared" si="5"/>
        <v>3708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29.046272330468557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353.5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27.795475914323973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26.598541544807642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25.453149803643669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24.357081151812139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23.308211628528365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22.304508735433842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21.344027498022818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20.424906696672558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19.545365259973739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18.703698813372004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17.898276376432538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17.127537202327794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16.389987753423725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15.684198807104048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15.008802686223968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14.362490608826766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13.744010151987336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13.152162824868267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12.585801746285421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12.043829422282705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11.525195619409287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11.028895329578267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6"/>
        <v>10.553966822562936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6"/>
        <v>10.099489782356878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7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6"/>
        <v>9.6645835237864866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7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6"/>
        <v>9.2484052859200858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7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6"/>
        <v>8.8501485989665873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7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6"/>
        <v>8.4690417214991296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7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6"/>
        <v>8.1043461449752456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7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6"/>
        <v>7.7553551626557384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7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6"/>
        <v>7.4213925001490324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6"/>
        <v>7.1018110049273044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00777-425A-4BF3-9739-2CDDF60F05D2}">
  <dimension ref="A1:K43"/>
  <sheetViews>
    <sheetView topLeftCell="A17" zoomScale="115" zoomScaleNormal="115" workbookViewId="0">
      <selection activeCell="I27" sqref="I27"/>
    </sheetView>
  </sheetViews>
  <sheetFormatPr baseColWidth="10" defaultRowHeight="15" x14ac:dyDescent="0.25"/>
  <cols>
    <col min="1" max="1" width="11.42578125" style="259"/>
    <col min="2" max="2" width="16.85546875" style="259" bestFit="1" customWidth="1"/>
    <col min="3" max="3" width="20.7109375" style="259" customWidth="1"/>
    <col min="4" max="4" width="9" style="259" customWidth="1"/>
    <col min="5" max="6" width="20.7109375" style="259" customWidth="1"/>
    <col min="7" max="7" width="25.28515625" style="259" customWidth="1"/>
    <col min="8" max="10" width="11.42578125" style="259"/>
    <col min="11" max="16384" width="11.42578125" style="257"/>
  </cols>
  <sheetData>
    <row r="1" spans="1:10" ht="15.75" x14ac:dyDescent="0.25">
      <c r="A1" s="267" t="s">
        <v>331</v>
      </c>
      <c r="B1" s="263"/>
      <c r="C1" s="263"/>
      <c r="D1" s="263"/>
      <c r="E1" s="263"/>
      <c r="F1" s="263"/>
      <c r="G1" s="263"/>
    </row>
    <row r="2" spans="1:10" x14ac:dyDescent="0.25">
      <c r="A2" s="263"/>
      <c r="B2" s="263"/>
      <c r="C2" s="263"/>
      <c r="D2" s="263"/>
      <c r="E2" s="263"/>
      <c r="F2" s="263"/>
      <c r="G2" s="263"/>
    </row>
    <row r="3" spans="1:10" ht="23.25" customHeight="1" x14ac:dyDescent="0.25">
      <c r="A3" s="268" t="s">
        <v>332</v>
      </c>
      <c r="B3" s="263"/>
      <c r="C3" s="263"/>
      <c r="D3" s="263"/>
      <c r="E3" s="263"/>
      <c r="F3" s="263"/>
      <c r="G3" s="263"/>
    </row>
    <row r="4" spans="1:10" ht="30" x14ac:dyDescent="0.25">
      <c r="A4" s="264" t="s">
        <v>325</v>
      </c>
      <c r="B4" s="264" t="s">
        <v>326</v>
      </c>
      <c r="C4" s="264" t="s">
        <v>327</v>
      </c>
      <c r="D4" s="264" t="s">
        <v>328</v>
      </c>
      <c r="E4" s="264" t="s">
        <v>330</v>
      </c>
      <c r="F4" s="264" t="s">
        <v>329</v>
      </c>
      <c r="G4" s="264" t="s">
        <v>335</v>
      </c>
      <c r="H4" s="260"/>
      <c r="I4" s="260"/>
      <c r="J4" s="260"/>
    </row>
    <row r="5" spans="1:10" x14ac:dyDescent="0.25">
      <c r="A5" s="261">
        <v>10</v>
      </c>
      <c r="B5" s="262">
        <v>66.069999999999993</v>
      </c>
      <c r="C5" s="262">
        <v>50.823076923076918</v>
      </c>
      <c r="D5" s="261"/>
      <c r="E5" s="261"/>
      <c r="F5" s="261"/>
      <c r="G5" s="262">
        <f>B5/A5</f>
        <v>6.6069999999999993</v>
      </c>
      <c r="H5" s="263"/>
      <c r="I5" s="263"/>
      <c r="J5" s="263"/>
    </row>
    <row r="6" spans="1:10" x14ac:dyDescent="0.25">
      <c r="A6" s="261">
        <v>15</v>
      </c>
      <c r="B6" s="262">
        <v>183.53</v>
      </c>
      <c r="C6" s="262">
        <v>141.17692307692306</v>
      </c>
      <c r="D6" s="261">
        <v>1</v>
      </c>
      <c r="E6" s="262">
        <v>64.72</v>
      </c>
      <c r="F6" s="262">
        <v>49.784615384615385</v>
      </c>
      <c r="G6" s="262">
        <f>(B6+E5)/A6</f>
        <v>12.235333333333333</v>
      </c>
      <c r="H6" s="263"/>
      <c r="I6" s="263"/>
      <c r="J6" s="263"/>
    </row>
    <row r="7" spans="1:10" x14ac:dyDescent="0.25">
      <c r="A7" s="261">
        <v>20</v>
      </c>
      <c r="B7" s="262">
        <v>238.82</v>
      </c>
      <c r="C7" s="262">
        <v>183.7076923076923</v>
      </c>
      <c r="D7" s="261">
        <v>2</v>
      </c>
      <c r="E7" s="262">
        <v>63.34</v>
      </c>
      <c r="F7" s="262">
        <v>48.723076923076924</v>
      </c>
      <c r="G7" s="262">
        <f>(B7+E5+E6)/A7</f>
        <v>15.176999999999998</v>
      </c>
      <c r="H7" s="263"/>
      <c r="I7" s="263"/>
      <c r="J7" s="263"/>
    </row>
    <row r="8" spans="1:10" x14ac:dyDescent="0.25">
      <c r="A8" s="261">
        <v>26</v>
      </c>
      <c r="B8" s="262">
        <v>324.24</v>
      </c>
      <c r="C8" s="262">
        <v>249.41538461538462</v>
      </c>
      <c r="D8" s="261">
        <v>3</v>
      </c>
      <c r="E8" s="262">
        <v>61.08</v>
      </c>
      <c r="F8" s="262">
        <v>46.984615384615381</v>
      </c>
      <c r="G8" s="262">
        <f>(B8+E5+E6+E7)/A8</f>
        <v>17.396153846153847</v>
      </c>
      <c r="H8" s="263"/>
      <c r="I8" s="263"/>
      <c r="J8" s="263"/>
    </row>
    <row r="9" spans="1:10" x14ac:dyDescent="0.25">
      <c r="A9" s="261">
        <v>30</v>
      </c>
      <c r="B9" s="262">
        <v>364.55</v>
      </c>
      <c r="C9" s="262">
        <v>280.42307692307691</v>
      </c>
      <c r="D9" s="261"/>
      <c r="E9" s="262"/>
      <c r="F9" s="262"/>
      <c r="G9" s="262">
        <f>(B9+E5+E6+E7+E8)/A9</f>
        <v>18.456333333333337</v>
      </c>
      <c r="H9" s="263"/>
      <c r="I9" s="263"/>
      <c r="J9" s="263"/>
    </row>
    <row r="10" spans="1:10" x14ac:dyDescent="0.25">
      <c r="A10" s="261">
        <v>32</v>
      </c>
      <c r="B10" s="262">
        <v>414.43</v>
      </c>
      <c r="C10" s="262">
        <v>318.7923076923077</v>
      </c>
      <c r="D10" s="261">
        <v>4</v>
      </c>
      <c r="E10" s="262">
        <v>83.88</v>
      </c>
      <c r="F10" s="262">
        <v>64.523076923076914</v>
      </c>
      <c r="G10" s="262">
        <f>(B10+E5+E6+E7+E8+E9)/A10</f>
        <v>18.861562500000002</v>
      </c>
      <c r="H10" s="263"/>
      <c r="I10" s="263"/>
      <c r="J10" s="263"/>
    </row>
    <row r="11" spans="1:10" x14ac:dyDescent="0.25">
      <c r="A11" s="261">
        <v>36</v>
      </c>
      <c r="B11" s="262">
        <v>424.32</v>
      </c>
      <c r="C11" s="262">
        <v>326.39999999999998</v>
      </c>
      <c r="D11" s="261"/>
      <c r="E11" s="262"/>
      <c r="F11" s="262"/>
      <c r="G11" s="262">
        <f>(B11+E5+E6+E7+E8+E9+E10)/A11</f>
        <v>19.370555555555555</v>
      </c>
      <c r="H11" s="263"/>
      <c r="I11" s="263"/>
      <c r="J11" s="263"/>
    </row>
    <row r="12" spans="1:10" x14ac:dyDescent="0.25">
      <c r="A12" s="261">
        <v>40</v>
      </c>
      <c r="B12" s="262">
        <v>518.33000000000004</v>
      </c>
      <c r="C12" s="262">
        <v>398.71538461538461</v>
      </c>
      <c r="D12" s="261">
        <v>5</v>
      </c>
      <c r="E12" s="262">
        <v>120.46</v>
      </c>
      <c r="F12" s="262">
        <v>92.661538461538456</v>
      </c>
      <c r="G12" s="262">
        <f>(B12+E5+E6+E7+E8+E9+E10+E11)/A12</f>
        <v>19.783750000000005</v>
      </c>
    </row>
    <row r="13" spans="1:10" x14ac:dyDescent="0.25">
      <c r="A13" s="261">
        <v>45</v>
      </c>
      <c r="B13" s="262">
        <v>497.06</v>
      </c>
      <c r="C13" s="262">
        <v>382.35384615384612</v>
      </c>
      <c r="D13" s="261"/>
      <c r="E13" s="262"/>
      <c r="F13" s="262"/>
      <c r="G13" s="262">
        <f>(B13+E5+E6+E8+E10+E11+E12)/A13</f>
        <v>18.382222222222222</v>
      </c>
    </row>
    <row r="14" spans="1:10" x14ac:dyDescent="0.25">
      <c r="A14" s="261">
        <v>48</v>
      </c>
      <c r="B14" s="262">
        <v>556.07000000000005</v>
      </c>
      <c r="C14" s="262">
        <v>427.74615384615385</v>
      </c>
      <c r="D14" s="261">
        <v>6</v>
      </c>
      <c r="E14" s="262">
        <v>109.16</v>
      </c>
      <c r="F14" s="262">
        <v>83.969230769230762</v>
      </c>
      <c r="G14" s="262">
        <f>(B14+SUM(E5:E13))/A14</f>
        <v>19.782291666666666</v>
      </c>
    </row>
    <row r="15" spans="1:10" x14ac:dyDescent="0.25">
      <c r="A15" s="261">
        <v>54</v>
      </c>
      <c r="B15" s="262">
        <v>547.35</v>
      </c>
      <c r="C15" s="262">
        <v>421.03846153846155</v>
      </c>
      <c r="D15" s="261"/>
      <c r="E15" s="262"/>
      <c r="F15" s="262"/>
      <c r="G15" s="262">
        <f>(B15+SUM(E5:E14))/A15</f>
        <v>19.444259259259258</v>
      </c>
    </row>
    <row r="16" spans="1:10" x14ac:dyDescent="0.25">
      <c r="A16" s="261">
        <v>56</v>
      </c>
      <c r="B16" s="262">
        <v>580.41999999999996</v>
      </c>
      <c r="C16" s="262">
        <v>446.47692307692301</v>
      </c>
      <c r="D16" s="261">
        <v>7</v>
      </c>
      <c r="E16" s="262">
        <v>580.41999999999996</v>
      </c>
      <c r="F16" s="262">
        <v>446.47692307692301</v>
      </c>
      <c r="G16" s="262">
        <f>(B16+SUM(E5:E15))/A16</f>
        <v>19.34035714285714</v>
      </c>
    </row>
    <row r="17" spans="1:10" x14ac:dyDescent="0.25">
      <c r="A17" s="263"/>
      <c r="B17" s="263"/>
      <c r="C17" s="269"/>
      <c r="D17" s="263"/>
      <c r="E17" s="269"/>
      <c r="F17" s="269"/>
      <c r="G17" s="263"/>
    </row>
    <row r="18" spans="1:10" x14ac:dyDescent="0.25">
      <c r="A18" s="263"/>
      <c r="B18" s="263"/>
      <c r="C18" s="269"/>
      <c r="D18" s="263"/>
      <c r="E18" s="269"/>
      <c r="F18" s="269"/>
      <c r="G18" s="263"/>
    </row>
    <row r="19" spans="1:10" ht="30.75" customHeight="1" x14ac:dyDescent="0.25">
      <c r="A19" s="268" t="s">
        <v>333</v>
      </c>
      <c r="B19" s="263"/>
      <c r="C19" s="263"/>
      <c r="D19" s="263"/>
      <c r="E19" s="263"/>
      <c r="F19" s="263"/>
      <c r="G19" s="263"/>
    </row>
    <row r="20" spans="1:10" s="258" customFormat="1" ht="39" customHeight="1" x14ac:dyDescent="0.25">
      <c r="A20" s="264" t="s">
        <v>325</v>
      </c>
      <c r="B20" s="264" t="s">
        <v>326</v>
      </c>
      <c r="C20" s="264" t="s">
        <v>327</v>
      </c>
      <c r="D20" s="264" t="s">
        <v>328</v>
      </c>
      <c r="E20" s="264" t="s">
        <v>330</v>
      </c>
      <c r="F20" s="264" t="s">
        <v>329</v>
      </c>
      <c r="G20" s="264" t="s">
        <v>335</v>
      </c>
      <c r="H20" s="260"/>
      <c r="I20" s="260"/>
      <c r="J20" s="260"/>
    </row>
    <row r="21" spans="1:10" x14ac:dyDescent="0.25">
      <c r="A21" s="261">
        <v>17</v>
      </c>
      <c r="B21" s="261">
        <v>164.23</v>
      </c>
      <c r="C21" s="262">
        <v>126.33076923076922</v>
      </c>
      <c r="D21" s="261">
        <v>1</v>
      </c>
      <c r="E21" s="261">
        <v>54.71</v>
      </c>
      <c r="F21" s="262">
        <v>42.084615384615383</v>
      </c>
      <c r="G21" s="262">
        <f>B21/A21</f>
        <v>9.6605882352941173</v>
      </c>
      <c r="H21" s="263"/>
      <c r="I21" s="263"/>
      <c r="J21" s="263"/>
    </row>
    <row r="22" spans="1:10" x14ac:dyDescent="0.25">
      <c r="A22" s="261">
        <v>23</v>
      </c>
      <c r="B22" s="261">
        <v>225.95</v>
      </c>
      <c r="C22" s="262">
        <v>173.80769230769229</v>
      </c>
      <c r="D22" s="261">
        <v>2</v>
      </c>
      <c r="E22" s="262">
        <v>70.33</v>
      </c>
      <c r="F22" s="262">
        <v>54.099999999999994</v>
      </c>
      <c r="G22" s="262">
        <f>(B22+E21)/A22</f>
        <v>12.202608695652172</v>
      </c>
      <c r="H22" s="263"/>
      <c r="I22" s="263"/>
      <c r="J22" s="263"/>
    </row>
    <row r="23" spans="1:10" x14ac:dyDescent="0.25">
      <c r="A23" s="261">
        <v>25</v>
      </c>
      <c r="B23" s="261">
        <v>194.78</v>
      </c>
      <c r="C23" s="262">
        <v>149.83076923076922</v>
      </c>
      <c r="D23" s="261"/>
      <c r="E23" s="262"/>
      <c r="F23" s="262"/>
      <c r="G23" s="262">
        <f>(B23+E21+E22)/A23</f>
        <v>12.7928</v>
      </c>
      <c r="H23" s="263"/>
      <c r="I23" s="263"/>
      <c r="J23" s="263"/>
    </row>
    <row r="24" spans="1:10" x14ac:dyDescent="0.25">
      <c r="A24" s="261">
        <v>29</v>
      </c>
      <c r="B24" s="261">
        <v>273.19</v>
      </c>
      <c r="C24" s="262">
        <v>210.14615384615385</v>
      </c>
      <c r="D24" s="261">
        <v>3</v>
      </c>
      <c r="E24" s="262">
        <v>61.96</v>
      </c>
      <c r="F24" s="262">
        <v>47.661538461538463</v>
      </c>
      <c r="G24" s="262">
        <f>(B24+E21+E22+E23)/A24</f>
        <v>13.732068965517239</v>
      </c>
      <c r="H24" s="263"/>
      <c r="I24" s="263"/>
      <c r="J24" s="263"/>
    </row>
    <row r="25" spans="1:10" x14ac:dyDescent="0.25">
      <c r="A25" s="261">
        <v>34</v>
      </c>
      <c r="B25" s="261">
        <v>303.37</v>
      </c>
      <c r="C25" s="262">
        <v>233.36153846153846</v>
      </c>
      <c r="D25" s="261"/>
      <c r="E25" s="262"/>
      <c r="F25" s="262"/>
      <c r="G25" s="262">
        <f>(B25+E21+E22+E23+E24)/A25</f>
        <v>14.422647058823529</v>
      </c>
      <c r="H25" s="263"/>
      <c r="I25" s="263"/>
      <c r="J25" s="263"/>
    </row>
    <row r="26" spans="1:10" x14ac:dyDescent="0.25">
      <c r="A26" s="261">
        <v>36</v>
      </c>
      <c r="B26" s="261">
        <v>341.35</v>
      </c>
      <c r="C26" s="262">
        <v>262.57692307692309</v>
      </c>
      <c r="D26" s="261">
        <v>4</v>
      </c>
      <c r="E26" s="262">
        <v>83.92</v>
      </c>
      <c r="F26" s="262">
        <v>64.553846153846152</v>
      </c>
      <c r="G26" s="262">
        <f>(B26+E21+E22+E23+E24+E25)/A26</f>
        <v>14.676388888888889</v>
      </c>
      <c r="H26" s="263"/>
      <c r="I26" s="263"/>
      <c r="J26" s="263"/>
    </row>
    <row r="27" spans="1:10" x14ac:dyDescent="0.25">
      <c r="A27" s="261">
        <v>44</v>
      </c>
      <c r="B27" s="261">
        <v>376.94</v>
      </c>
      <c r="C27" s="262">
        <v>289.95384615384614</v>
      </c>
      <c r="D27" s="261">
        <v>5</v>
      </c>
      <c r="E27" s="262">
        <v>83.82</v>
      </c>
      <c r="F27" s="262">
        <v>64.476923076923072</v>
      </c>
      <c r="G27" s="262">
        <f>(B27+E21+E22+E23+E24+E25+E26)/A27</f>
        <v>14.724090909090906</v>
      </c>
      <c r="H27" s="263"/>
      <c r="I27" s="263"/>
      <c r="J27" s="263"/>
    </row>
    <row r="28" spans="1:10" x14ac:dyDescent="0.25">
      <c r="A28" s="261">
        <v>52</v>
      </c>
      <c r="B28" s="261">
        <v>431.36</v>
      </c>
      <c r="C28" s="262">
        <v>331.81538461538463</v>
      </c>
      <c r="D28" s="261">
        <v>6</v>
      </c>
      <c r="E28" s="262">
        <v>80.319999999999993</v>
      </c>
      <c r="F28" s="262">
        <v>61.784615384615378</v>
      </c>
      <c r="G28" s="262">
        <f>(B28+E21+E22+E23+E24+E25+E26+E27)/A28</f>
        <v>15.117307692307691</v>
      </c>
      <c r="H28" s="263"/>
      <c r="I28" s="263"/>
      <c r="J28" s="263"/>
    </row>
    <row r="29" spans="1:10" x14ac:dyDescent="0.25">
      <c r="A29" s="261">
        <v>60</v>
      </c>
      <c r="B29" s="261">
        <v>459.55</v>
      </c>
      <c r="C29" s="262">
        <v>353.5</v>
      </c>
      <c r="D29" s="261">
        <v>7</v>
      </c>
      <c r="E29" s="262">
        <v>459.55</v>
      </c>
      <c r="F29" s="262">
        <v>353.5</v>
      </c>
      <c r="G29" s="262">
        <f>(B29+E21+E22+E24+E26+E27+E28)/A29</f>
        <v>14.910166666666665</v>
      </c>
      <c r="H29" s="263"/>
      <c r="I29" s="263"/>
      <c r="J29" s="263"/>
    </row>
    <row r="30" spans="1:10" x14ac:dyDescent="0.25">
      <c r="A30" s="263"/>
      <c r="B30" s="263"/>
      <c r="C30" s="263"/>
      <c r="D30" s="263"/>
      <c r="E30" s="263"/>
      <c r="F30" s="263"/>
      <c r="G30" s="263"/>
      <c r="H30" s="263"/>
      <c r="I30" s="263"/>
      <c r="J30" s="263"/>
    </row>
    <row r="31" spans="1:10" x14ac:dyDescent="0.25">
      <c r="A31" s="263"/>
      <c r="B31" s="263"/>
      <c r="C31" s="263"/>
      <c r="D31" s="263"/>
      <c r="E31" s="263"/>
      <c r="F31" s="263"/>
      <c r="G31" s="263"/>
    </row>
    <row r="32" spans="1:10" ht="29.25" customHeight="1" x14ac:dyDescent="0.25">
      <c r="A32" s="268" t="s">
        <v>334</v>
      </c>
      <c r="B32" s="263"/>
      <c r="C32" s="263"/>
      <c r="D32" s="263"/>
      <c r="E32" s="263"/>
      <c r="F32" s="263"/>
      <c r="G32" s="263"/>
    </row>
    <row r="33" spans="1:11" ht="30" x14ac:dyDescent="0.25">
      <c r="A33" s="264" t="s">
        <v>325</v>
      </c>
      <c r="B33" s="264" t="s">
        <v>326</v>
      </c>
      <c r="C33" s="264" t="s">
        <v>327</v>
      </c>
      <c r="D33" s="264" t="s">
        <v>328</v>
      </c>
      <c r="E33" s="264" t="s">
        <v>330</v>
      </c>
      <c r="F33" s="264" t="s">
        <v>329</v>
      </c>
      <c r="G33" s="264" t="s">
        <v>335</v>
      </c>
      <c r="H33" s="265"/>
      <c r="I33" s="265"/>
      <c r="J33" s="265"/>
      <c r="K33" s="266"/>
    </row>
    <row r="34" spans="1:11" x14ac:dyDescent="0.25">
      <c r="A34" s="261">
        <v>24</v>
      </c>
      <c r="B34" s="262">
        <v>175.2</v>
      </c>
      <c r="C34" s="262">
        <v>134.76923076923075</v>
      </c>
      <c r="D34" s="261">
        <v>1</v>
      </c>
      <c r="E34" s="261">
        <v>63.63</v>
      </c>
      <c r="F34" s="262">
        <v>48.946153846153848</v>
      </c>
      <c r="G34" s="262">
        <f>B34/A34</f>
        <v>7.3</v>
      </c>
      <c r="H34" s="263"/>
      <c r="I34" s="263"/>
      <c r="J34" s="263"/>
      <c r="K34" s="266"/>
    </row>
    <row r="35" spans="1:11" x14ac:dyDescent="0.25">
      <c r="A35" s="261">
        <v>30</v>
      </c>
      <c r="B35" s="262">
        <v>201.73</v>
      </c>
      <c r="C35" s="262">
        <v>155.17692307692306</v>
      </c>
      <c r="D35" s="261">
        <v>2</v>
      </c>
      <c r="E35" s="262">
        <v>45.5</v>
      </c>
      <c r="F35" s="262">
        <v>35</v>
      </c>
      <c r="G35" s="262">
        <f>(B35+E34)/A35</f>
        <v>8.8453333333333344</v>
      </c>
      <c r="H35" s="263"/>
      <c r="I35" s="263"/>
      <c r="J35" s="263"/>
      <c r="K35" s="266"/>
    </row>
    <row r="36" spans="1:11" x14ac:dyDescent="0.25">
      <c r="A36" s="261">
        <v>32</v>
      </c>
      <c r="B36" s="262">
        <v>184.32</v>
      </c>
      <c r="C36" s="262">
        <v>141.78461538461536</v>
      </c>
      <c r="D36" s="261"/>
      <c r="E36" s="262"/>
      <c r="F36" s="262"/>
      <c r="G36" s="262">
        <f>(B36+E34+E35)/A36</f>
        <v>9.1703124999999996</v>
      </c>
    </row>
    <row r="37" spans="1:11" x14ac:dyDescent="0.25">
      <c r="A37" s="261">
        <v>38</v>
      </c>
      <c r="B37" s="262">
        <v>274.01</v>
      </c>
      <c r="C37" s="262">
        <v>210.77692307692305</v>
      </c>
      <c r="D37" s="261">
        <v>3</v>
      </c>
      <c r="E37" s="262">
        <v>63.02</v>
      </c>
      <c r="F37" s="262">
        <v>48.476923076923079</v>
      </c>
      <c r="G37" s="262">
        <f>(B37+E34+E35+E36)/A37</f>
        <v>10.082631578947368</v>
      </c>
    </row>
    <row r="38" spans="1:11" x14ac:dyDescent="0.25">
      <c r="A38" s="261">
        <v>41</v>
      </c>
      <c r="B38" s="262">
        <v>252.95</v>
      </c>
      <c r="C38" s="262">
        <v>194.57692307692307</v>
      </c>
      <c r="D38" s="261"/>
      <c r="E38" s="262"/>
      <c r="F38" s="262"/>
      <c r="G38" s="262">
        <f>(B38+E34+E35+E36+E37)/A38</f>
        <v>10.368292682926828</v>
      </c>
    </row>
    <row r="39" spans="1:11" x14ac:dyDescent="0.25">
      <c r="A39" s="261">
        <v>46</v>
      </c>
      <c r="B39" s="262">
        <v>322.82</v>
      </c>
      <c r="C39" s="262">
        <v>248.32307692307691</v>
      </c>
      <c r="D39" s="261">
        <v>4</v>
      </c>
      <c r="E39" s="262">
        <v>74.19</v>
      </c>
      <c r="F39" s="262">
        <v>57.069230769230764</v>
      </c>
      <c r="G39" s="262">
        <f>(B39+E34+E35+E36+E37+E38)/A39</f>
        <v>10.760217391304348</v>
      </c>
    </row>
    <row r="40" spans="1:11" x14ac:dyDescent="0.25">
      <c r="A40" s="261">
        <v>50</v>
      </c>
      <c r="B40" s="262">
        <v>300.93</v>
      </c>
      <c r="C40" s="262">
        <v>231.48461538461538</v>
      </c>
      <c r="D40" s="261"/>
      <c r="E40" s="262"/>
      <c r="F40" s="262"/>
      <c r="G40" s="262">
        <f>(B40+E34+E35+E36+E37+E38+E39)/A40</f>
        <v>10.945399999999999</v>
      </c>
    </row>
    <row r="41" spans="1:11" x14ac:dyDescent="0.25">
      <c r="A41" s="261">
        <v>54</v>
      </c>
      <c r="B41" s="262">
        <v>351.49</v>
      </c>
      <c r="C41" s="262">
        <v>270.37692307692305</v>
      </c>
      <c r="D41" s="261">
        <v>5</v>
      </c>
      <c r="E41" s="262">
        <v>80.06</v>
      </c>
      <c r="F41" s="262">
        <v>61.584615384615383</v>
      </c>
      <c r="G41" s="262">
        <f>(B41+E34+E35+E36+E37+E38+E39+E40)/A41</f>
        <v>11.070925925925925</v>
      </c>
    </row>
    <row r="42" spans="1:11" x14ac:dyDescent="0.25">
      <c r="A42" s="261">
        <v>59</v>
      </c>
      <c r="B42" s="262">
        <v>326.06</v>
      </c>
      <c r="C42" s="262">
        <v>250.8153846153846</v>
      </c>
      <c r="D42" s="261"/>
      <c r="E42" s="262"/>
      <c r="F42" s="262"/>
      <c r="G42" s="262">
        <f>(B42+E34+E35+E37+E39+E40+E41)/A42</f>
        <v>11.05864406779661</v>
      </c>
    </row>
    <row r="43" spans="1:11" x14ac:dyDescent="0.25">
      <c r="A43" s="261">
        <v>62</v>
      </c>
      <c r="B43" s="262">
        <v>358.15</v>
      </c>
      <c r="C43" s="262">
        <v>275.5</v>
      </c>
      <c r="D43" s="261">
        <v>6</v>
      </c>
      <c r="E43" s="262">
        <v>358.15</v>
      </c>
      <c r="F43" s="262">
        <v>275.5</v>
      </c>
      <c r="G43" s="262">
        <f>(B43+SUM(E34:E42))/A43</f>
        <v>11.041129032258064</v>
      </c>
    </row>
  </sheetData>
  <pageMargins left="0.7" right="0.7" top="0.75" bottom="0.75" header="0.3" footer="0.3"/>
  <pageSetup paperSize="9" orientation="portrait" verticalDpi="0" r:id="rId1"/>
  <ignoredErrors>
    <ignoredError sqref="G4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Table production Pin maritime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Gregoire Thauvin</cp:lastModifiedBy>
  <dcterms:created xsi:type="dcterms:W3CDTF">2021-02-01T08:22:39Z</dcterms:created>
  <dcterms:modified xsi:type="dcterms:W3CDTF">2025-09-22T10:16:36Z</dcterms:modified>
</cp:coreProperties>
</file>